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D:\VEDA\VEDA_Models\E4SMA-User\OMNIA\"/>
    </mc:Choice>
  </mc:AlternateContent>
  <xr:revisionPtr revIDLastSave="0" documentId="13_ncr:1_{99CB3F44-5126-4A12-88ED-52E40FF285B8}" xr6:coauthVersionLast="47" xr6:coauthVersionMax="47" xr10:uidLastSave="{00000000-0000-0000-0000-000000000000}"/>
  <bookViews>
    <workbookView xWindow="-120" yWindow="-120" windowWidth="29040" windowHeight="15840" xr2:uid="{C7ED20F5-A369-4C40-A77C-9F2953B5774D}"/>
  </bookViews>
  <sheets>
    <sheet name="Legend" sheetId="47" r:id="rId1"/>
    <sheet name="OMNIA - Key Inputs_EB" sheetId="61" r:id="rId2"/>
    <sheet name="Key Inputs_BY Techs" sheetId="62" r:id="rId3"/>
    <sheet name="Key Inputs_New Techs" sheetId="63" r:id="rId4"/>
    <sheet name="Commodities &amp; Processes" sheetId="10" r:id="rId5"/>
    <sheet name="Fuel Techs" sheetId="17" r:id="rId6"/>
    <sheet name="RSD_BY Techs" sheetId="49" r:id="rId7"/>
    <sheet name="RSD_New Techs" sheetId="56" r:id="rId8"/>
    <sheet name="Demands" sheetId="50" r:id="rId9"/>
  </sheets>
  <definedNames>
    <definedName name="__123Graph_A" hidden="1">#REF!</definedName>
    <definedName name="__123Graph_B" hidden="1">#REF!</definedName>
    <definedName name="__123Graph_C" hidden="1">#REF!</definedName>
    <definedName name="__123Graph_D" hidden="1">#REF!</definedName>
    <definedName name="__123Graph_E" hidden="1">#REF!</definedName>
    <definedName name="__123Graph_X" hidden="1">#REF!</definedName>
    <definedName name="_1__123Graph_ACHART_4" hidden="1">#REF!</definedName>
    <definedName name="_118__123Graph_CCHART_2" hidden="1">#REF!</definedName>
    <definedName name="_134__123Graph_XCHART_1" hidden="1">#REF!</definedName>
    <definedName name="_150__123Graph_XCHART_3" hidden="1">#REF!</definedName>
    <definedName name="_16__123Graph_ACHART_1" hidden="1">#REF!</definedName>
    <definedName name="_2__123Graph_XCHART_3" hidden="1">#REF!</definedName>
    <definedName name="_3__123Graph_XCHART_4" hidden="1">#REF!</definedName>
    <definedName name="_32__123Graph_ACHART_3" hidden="1">#REF!</definedName>
    <definedName name="_48__123Graph_BCHART_1" hidden="1">#REF!</definedName>
    <definedName name="_77__123Graph_BCHART_2" hidden="1">#REF!</definedName>
    <definedName name="_78__123Graph_BCHART_4" hidden="1">#REF!</definedName>
    <definedName name="_93__123Graph_CCHART_1" hidden="1">#REF!</definedName>
    <definedName name="_AMO_UniqueIdentifier" hidden="1">"'0777fe52-7234-4cf2-bc23-eda151c2f48f'"</definedName>
    <definedName name="_com8"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dc1" hidden="1">{#N/A,#N/A,FALSE,"Aging Summary";#N/A,#N/A,FALSE,"Ratio Analysis";#N/A,#N/A,FALSE,"Test 120 Day Accts";#N/A,#N/A,FALSE,"Tickmarks"}</definedName>
    <definedName name="_ffd1" hidden="1">{"Valuation_Common",#N/A,FALSE,"Valuation"}</definedName>
    <definedName name="_xlnm._FilterDatabase" localSheetId="3" hidden="1">'Key Inputs_New Techs'!$A$4:$AG$125</definedName>
    <definedName name="_Fin1" hidden="1">{"Valuation_Common",#N/A,FALSE,"Valuation"}</definedName>
    <definedName name="_GP2" hidden="1">{"'eb011 a1 GDP per capita in PPS'!$I$55:$K$76","'eb011 a1 GDP per capita in PPS'!$M$3:$W$24"}</definedName>
    <definedName name="_GP3" hidden="1">{"'eb011 a1 GDP per capita in PPS'!$I$55:$K$76","'eb011 a1 GDP per capita in PPS'!$M$3:$W$24"}</definedName>
    <definedName name="_ir024" hidden="1">{"'eb011 a1 GDP per capita in PPS'!$I$55:$K$76","'eb011 a1 GDP per capita in PPS'!$M$3:$W$24"}</definedName>
    <definedName name="_Order1" hidden="1">255</definedName>
    <definedName name="_Order2" hidden="1">255</definedName>
    <definedName name="_wrn2" hidden="1">{"glc1",#N/A,FALSE,"GLC";"glc2",#N/A,FALSE,"GLC";"glc3",#N/A,FALSE,"GLC";"glc4",#N/A,FALSE,"GLC";"glc5",#N/A,FALSE,"GLC"}</definedName>
    <definedName name="_wrn22" hidden="1">{"glc1",#N/A,FALSE,"GLC";"glc2",#N/A,FALSE,"GLC";"glc3",#N/A,FALSE,"GLC";"glc4",#N/A,FALSE,"GLC";"glc5",#N/A,FALSE,"GLC"}</definedName>
    <definedName name="_wrn222" hidden="1">{"glc1",#N/A,FALSE,"GLC";"glc2",#N/A,FALSE,"GLC";"glc3",#N/A,FALSE,"GLC";"glc4",#N/A,FALSE,"GLC";"glc5",#N/A,FALSE,"GLC"}</definedName>
    <definedName name="_wrn2222" hidden="1">{"glc1",#N/A,FALSE,"GLC";"glc2",#N/A,FALSE,"GLC";"glc3",#N/A,FALSE,"GLC";"glc4",#N/A,FALSE,"GLC";"glc5",#N/A,FALSE,"GLC"}</definedName>
    <definedName name="_wrn23" hidden="1">{"glc1",#N/A,FALSE,"GLC";"glc2",#N/A,FALSE,"GLC";"glc3",#N/A,FALSE,"GLC";"glc4",#N/A,FALSE,"GLC";"glc5",#N/A,FALSE,"GLC"}</definedName>
    <definedName name="aa"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a" hidden="1">#REF!</definedName>
    <definedName name="AS2DocOpenMode" hidden="1">"AS2DocumentEdit"</definedName>
    <definedName name="BLPH1" hidden="1">#REF!</definedName>
    <definedName name="BLPH2" hidden="1">#REF!</definedName>
    <definedName name="ciao" hidden="1">{#N/A,#N/A,FALSE,"Aging Summary";#N/A,#N/A,FALSE,"Ratio Analysis";#N/A,#N/A,FALSE,"Test 120 Day Accts";#N/A,#N/A,FALSE,"Tickmarks"}</definedName>
    <definedName name="compex7"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lex" hidden="1">{#N/A,#N/A,FALSE,"Aging Summary";#N/A,#N/A,FALSE,"Ratio Analysis";#N/A,#N/A,FALSE,"Test 120 Day Accts";#N/A,#N/A,FALSE,"Tickmarks"}</definedName>
    <definedName name="complex2" hidden="1">{#N/A,#N/A,FALSE,"Aging Summary";#N/A,#N/A,FALSE,"Ratio Analysis";#N/A,#N/A,FALSE,"Test 120 Day Accts";#N/A,#N/A,FALSE,"Tickmarks"}</definedName>
    <definedName name="complex3" hidden="1">{"assets",#N/A,FALSE,"historicBS";"liab",#N/A,FALSE,"historicBS";"is",#N/A,FALSE,"historicIS";"ratios",#N/A,FALSE,"ratios"}</definedName>
    <definedName name="complex4" hidden="1">{"assets",#N/A,FALSE,"historicBS";"liab",#N/A,FALSE,"historicBS";"is",#N/A,FALSE,"historicIS";"ratios",#N/A,FALSE,"ratios"}</definedName>
    <definedName name="complex5" hidden="1">{"glcbs",#N/A,FALSE,"GLCBS";"glccsbs",#N/A,FALSE,"GLCCSBS";"glcis",#N/A,FALSE,"GLCIS";"glccsis",#N/A,FALSE,"GLCCSIS";"glcrat1",#N/A,FALSE,"GLC-ratios1"}</definedName>
    <definedName name="complex6" hidden="1">{"glc1",#N/A,FALSE,"GLC";"glc2",#N/A,FALSE,"GLC";"glc3",#N/A,FALSE,"GLC";"glc4",#N/A,FALSE,"GLC";"glc5",#N/A,FALSE,"GLC"}</definedName>
    <definedName name="complex8" hidden="1">{"Valuation_Common",#N/A,FALSE,"Valuation"}</definedName>
    <definedName name="ddddddd"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emanda" hidden="1">#REF!</definedName>
    <definedName name="Discl" hidden="1">{"Valuation_Common",#N/A,FALSE,"Valuation"}</definedName>
    <definedName name="Discl1" hidden="1">{"Valuation_Common",#N/A,FALSE,"Valuation"}</definedName>
    <definedName name="e" hidden="1">#REF!</definedName>
    <definedName name="ee" hidden="1">#REF!</definedName>
    <definedName name="elec"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man" hidden="1">#REF!</definedName>
    <definedName name="EV__LASTREFTIME__" hidden="1">38516.7241087963</definedName>
    <definedName name="ffd" hidden="1">{"Valuation_Common",#N/A,FALSE,"Valuation"}</definedName>
    <definedName name="Fin" hidden="1">{"Valuation_Common",#N/A,FALSE,"Valuation"}</definedName>
    <definedName name="Finance" hidden="1">{"Valuation_Common",#N/A,FALSE,"Valuation"}</definedName>
    <definedName name="Finance1" hidden="1">{"Valuation_Common",#N/A,FALSE,"Valuation"}</definedName>
    <definedName name="HTML_CodePage" hidden="1">1252</definedName>
    <definedName name="HTML_Control" hidden="1">{"'eb011 a1 GDP per capita in PPS'!$I$55:$K$76","'eb011 a1 GDP per capita in PPS'!$M$3:$W$24"}</definedName>
    <definedName name="HTML_Description" hidden="1">""</definedName>
    <definedName name="HTML_Email" hidden="1">""</definedName>
    <definedName name="HTML_Header" hidden="1">"eb011 a1 GDP per capita in PPS"</definedName>
    <definedName name="HTML_LastUpdate" hidden="1">"29/10/2002"</definedName>
    <definedName name="HTML_LineAfter" hidden="1">FALSE</definedName>
    <definedName name="HTML_LineBefore" hidden="1">FALSE</definedName>
    <definedName name="HTML_Name" hidden="1">"C system 1"</definedName>
    <definedName name="HTML_OBDlg2" hidden="1">TRUE</definedName>
    <definedName name="HTML_OBDlg4" hidden="1">TRUE</definedName>
    <definedName name="HTML_OS" hidden="1">0</definedName>
    <definedName name="HTML_PathFile" hidden="1">"G:\atelier\charles\struc_ind work files\xls_data.tri\en\eb011\eb011.htm"</definedName>
    <definedName name="HTML_Title" hidden="1">"eb011 a1 GDP per capita in PPS"</definedName>
    <definedName name="Index2" hidden="1">{#N/A,#N/A,FALSE,"Aging Summary";#N/A,#N/A,FALSE,"Ratio Analysis";#N/A,#N/A,FALSE,"Test 120 Day Accts";#N/A,#N/A,FALSE,"Tickmarks"}</definedName>
    <definedName name="Index22" hidden="1">{#N/A,#N/A,FALSE,"Aging Summary";#N/A,#N/A,FALSE,"Ratio Analysis";#N/A,#N/A,FALSE,"Test 120 Day Accts";#N/A,#N/A,FALSE,"Tickmarks"}</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cenario_hbscen2" hidden="1">#N/A</definedName>
    <definedName name="Scenario_hbscen3" hidden="1">#N/A</definedName>
    <definedName name="Scenario_hbscen4" hidden="1">#N/A</definedName>
    <definedName name="Scenario_Setup_hblp" hidden="1">#REF!</definedName>
    <definedName name="solver_adj" localSheetId="2" hidden="1">'Key Inputs_BY Techs'!$O$212</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'Key Inputs_BY Techs'!$P$118</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3</definedName>
    <definedName name="table6"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 hidden="1">{"glc1",#N/A,FALSE,"GLC";"glc2",#N/A,FALSE,"GLC";"glc3",#N/A,FALSE,"GLC";"glc4",#N/A,FALSE,"GLC";"glc5",#N/A,FALSE,"GLC"}</definedName>
    <definedName name="wrn.Aging._.and._.Trend._.Analysis." hidden="1">{#N/A,#N/A,FALSE,"Aging Summary";#N/A,#N/A,FALSE,"Ratio Analysis";#N/A,#N/A,FALSE,"Test 120 Day Accts";#N/A,#N/A,FALSE,"Tickmarks"}</definedName>
    <definedName name="wrn.Aging.and._Trend._.Analysis.2" hidden="1">{#N/A,#N/A,FALSE,"Aging Summary";#N/A,#N/A,FALSE,"Ratio Analysis";#N/A,#N/A,FALSE,"Test 120 Day Accts";#N/A,#N/A,FALSE,"Tickmarks"}</definedName>
    <definedName name="wrn.basicfin." hidden="1">{"assets",#N/A,FALSE,"historicBS";"liab",#N/A,FALSE,"historicBS";"is",#N/A,FALSE,"historicIS";"ratios",#N/A,FALSE,"ratios"}</definedName>
    <definedName name="wrn.basicfin.2" hidden="1">{"assets",#N/A,FALSE,"historicBS";"liab",#N/A,FALSE,"historicBS";"is",#N/A,FALSE,"historicIS";"ratios",#N/A,FALSE,"ratios"}</definedName>
    <definedName name="wrn.Electricity._.Questionnaire."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glc." hidden="1">{"glcbs",#N/A,FALSE,"GLCBS";"glccsbs",#N/A,FALSE,"GLCCSBS";"glcis",#N/A,FALSE,"GLCIS";"glccsis",#N/A,FALSE,"GLCCSIS";"glcrat1",#N/A,FALSE,"GLC-ratios1"}</definedName>
    <definedName name="wrn.glcpromonte." hidden="1">{"glc1",#N/A,FALSE,"GLC";"glc2",#N/A,FALSE,"GLC";"glc3",#N/A,FALSE,"GLC";"glc4",#N/A,FALSE,"GLC";"glc5",#N/A,FALSE,"GLC"}</definedName>
    <definedName name="wrn.print."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test." hidden="1">{"Valuation_Common",#N/A,FALSE,"Valuation"}</definedName>
    <definedName name="xxxxx" hidden="1">#REF!</definedName>
    <definedName name="вввввввв"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8" i="10" l="1"/>
  <c r="M78" i="10"/>
  <c r="N78" i="10"/>
  <c r="O78" i="10"/>
  <c r="L105" i="10"/>
  <c r="M105" i="10"/>
  <c r="N105" i="10"/>
  <c r="O105" i="10"/>
  <c r="A361" i="56"/>
  <c r="B361" i="56"/>
  <c r="C361" i="56"/>
  <c r="D361" i="56"/>
  <c r="E361" i="56"/>
  <c r="F361" i="56"/>
  <c r="G361" i="56"/>
  <c r="Q361" i="56"/>
  <c r="R361" i="56"/>
  <c r="S361" i="56"/>
  <c r="T361" i="56"/>
  <c r="U361" i="56"/>
  <c r="V361" i="56"/>
  <c r="W361" i="56"/>
  <c r="X361" i="56"/>
  <c r="Y361" i="56"/>
  <c r="Z361" i="56"/>
  <c r="AA361" i="56"/>
  <c r="AB361" i="56"/>
  <c r="AC361" i="56"/>
  <c r="AD361" i="56"/>
  <c r="AE361" i="56"/>
  <c r="AF361" i="56"/>
  <c r="AG361" i="56"/>
  <c r="AH361" i="56"/>
  <c r="AI361" i="56"/>
  <c r="AJ361" i="56"/>
  <c r="AK361" i="56"/>
  <c r="AL361" i="56"/>
  <c r="AM361" i="56"/>
  <c r="AN361" i="56"/>
  <c r="AO361" i="56"/>
  <c r="AP361" i="56"/>
  <c r="AQ361" i="56"/>
  <c r="AR361" i="56"/>
  <c r="F334" i="56"/>
  <c r="G334" i="56"/>
  <c r="K286" i="56"/>
  <c r="N286" i="56"/>
  <c r="P286" i="56"/>
  <c r="Q286" i="56"/>
  <c r="R286" i="56"/>
  <c r="S286" i="56"/>
  <c r="T286" i="56"/>
  <c r="U286" i="56"/>
  <c r="V286" i="56"/>
  <c r="W286" i="56"/>
  <c r="X286" i="56"/>
  <c r="Y286" i="56"/>
  <c r="Z286" i="56"/>
  <c r="AA286" i="56"/>
  <c r="AB286" i="56"/>
  <c r="AC286" i="56"/>
  <c r="AD286" i="56"/>
  <c r="AE286" i="56"/>
  <c r="AF286" i="56"/>
  <c r="AG286" i="56"/>
  <c r="AH286" i="56"/>
  <c r="AI286" i="56"/>
  <c r="AJ286" i="56"/>
  <c r="AK286" i="56"/>
  <c r="AL286" i="56"/>
  <c r="AM286" i="56"/>
  <c r="AN286" i="56"/>
  <c r="AO286" i="56"/>
  <c r="AP286" i="56"/>
  <c r="AQ286" i="56"/>
  <c r="AR286" i="56"/>
  <c r="K236" i="56"/>
  <c r="N236" i="56"/>
  <c r="P236" i="56"/>
  <c r="Q236" i="56"/>
  <c r="R236" i="56"/>
  <c r="S236" i="56"/>
  <c r="T236" i="56"/>
  <c r="U236" i="56"/>
  <c r="V236" i="56"/>
  <c r="W236" i="56"/>
  <c r="X236" i="56"/>
  <c r="Y236" i="56"/>
  <c r="Z236" i="56"/>
  <c r="AA236" i="56"/>
  <c r="AB236" i="56"/>
  <c r="AC236" i="56"/>
  <c r="AD236" i="56"/>
  <c r="AE236" i="56"/>
  <c r="AF236" i="56"/>
  <c r="AG236" i="56"/>
  <c r="AH236" i="56"/>
  <c r="AI236" i="56"/>
  <c r="AJ236" i="56"/>
  <c r="AK236" i="56"/>
  <c r="AL236" i="56"/>
  <c r="AM236" i="56"/>
  <c r="AN236" i="56"/>
  <c r="AO236" i="56"/>
  <c r="AP236" i="56"/>
  <c r="AQ236" i="56"/>
  <c r="AR236" i="56"/>
  <c r="K120" i="56"/>
  <c r="N120" i="56"/>
  <c r="Q120" i="56"/>
  <c r="R120" i="56"/>
  <c r="S120" i="56"/>
  <c r="T120" i="56"/>
  <c r="U120" i="56"/>
  <c r="V120" i="56"/>
  <c r="W120" i="56"/>
  <c r="X120" i="56"/>
  <c r="Y120" i="56"/>
  <c r="Z120" i="56"/>
  <c r="AA120" i="56"/>
  <c r="AB120" i="56"/>
  <c r="AC120" i="56"/>
  <c r="AD120" i="56"/>
  <c r="AE120" i="56"/>
  <c r="AF120" i="56"/>
  <c r="AG120" i="56"/>
  <c r="AH120" i="56"/>
  <c r="AI120" i="56"/>
  <c r="AJ120" i="56"/>
  <c r="AK120" i="56"/>
  <c r="AL120" i="56"/>
  <c r="AM120" i="56"/>
  <c r="AN120" i="56"/>
  <c r="AO120" i="56"/>
  <c r="AP120" i="56"/>
  <c r="AQ120" i="56"/>
  <c r="AR120" i="56"/>
  <c r="K166" i="56"/>
  <c r="N166" i="56"/>
  <c r="Q166" i="56"/>
  <c r="R166" i="56"/>
  <c r="S166" i="56"/>
  <c r="T166" i="56"/>
  <c r="U166" i="56"/>
  <c r="V166" i="56"/>
  <c r="W166" i="56"/>
  <c r="X166" i="56"/>
  <c r="Y166" i="56"/>
  <c r="Z166" i="56"/>
  <c r="AA166" i="56"/>
  <c r="AB166" i="56"/>
  <c r="AC166" i="56"/>
  <c r="AD166" i="56"/>
  <c r="AE166" i="56"/>
  <c r="AF166" i="56"/>
  <c r="AG166" i="56"/>
  <c r="AH166" i="56"/>
  <c r="AI166" i="56"/>
  <c r="AJ166" i="56"/>
  <c r="AK166" i="56"/>
  <c r="AL166" i="56"/>
  <c r="AM166" i="56"/>
  <c r="AN166" i="56"/>
  <c r="AO166" i="56"/>
  <c r="AP166" i="56"/>
  <c r="AQ166" i="56"/>
  <c r="AR166" i="56"/>
  <c r="A29" i="56"/>
  <c r="B29" i="56"/>
  <c r="I29" i="56"/>
  <c r="H29" i="56"/>
  <c r="D29" i="56"/>
  <c r="D334" i="56" s="1"/>
  <c r="C29" i="56"/>
  <c r="C334" i="56" s="1"/>
  <c r="D56" i="56"/>
  <c r="C56" i="56"/>
  <c r="A56" i="56"/>
  <c r="B56" i="56"/>
  <c r="E56" i="56"/>
  <c r="H56" i="56"/>
  <c r="I56" i="56"/>
  <c r="K56" i="56"/>
  <c r="L56" i="56"/>
  <c r="M56" i="56"/>
  <c r="N56" i="56"/>
  <c r="O56" i="56"/>
  <c r="P56" i="56"/>
  <c r="Q56" i="56"/>
  <c r="AL221" i="63"/>
  <c r="AK221" i="63"/>
  <c r="AJ221" i="63"/>
  <c r="AI221" i="63"/>
  <c r="AH221" i="63"/>
  <c r="AG221" i="63"/>
  <c r="AF221" i="63"/>
  <c r="AE221" i="63"/>
  <c r="AD221" i="63"/>
  <c r="AC221" i="63"/>
  <c r="AB221" i="63"/>
  <c r="AA221" i="63"/>
  <c r="Z221" i="63"/>
  <c r="Y221" i="63"/>
  <c r="X221" i="63"/>
  <c r="W221" i="63"/>
  <c r="V221" i="63"/>
  <c r="U221" i="63"/>
  <c r="T221" i="63"/>
  <c r="S221" i="63"/>
  <c r="R221" i="63"/>
  <c r="Q221" i="63"/>
  <c r="P221" i="63"/>
  <c r="O221" i="63"/>
  <c r="N221" i="63"/>
  <c r="M221" i="63"/>
  <c r="L221" i="63"/>
  <c r="K221" i="63"/>
  <c r="R167" i="63"/>
  <c r="R171" i="63"/>
  <c r="C123" i="49"/>
  <c r="N29" i="56" l="1"/>
  <c r="B334" i="56"/>
  <c r="P29" i="56"/>
  <c r="A334" i="56"/>
  <c r="L29" i="56"/>
  <c r="E29" i="56"/>
  <c r="M29" i="56"/>
  <c r="H39" i="62"/>
  <c r="K29" i="56" l="1"/>
  <c r="E334" i="56"/>
  <c r="Q334" i="56"/>
  <c r="O29" i="56"/>
  <c r="Q29" i="56"/>
  <c r="M117" i="61"/>
  <c r="N185" i="56"/>
  <c r="N186" i="56"/>
  <c r="N187" i="56"/>
  <c r="N188" i="56"/>
  <c r="N189" i="56"/>
  <c r="N190" i="56"/>
  <c r="N191" i="56"/>
  <c r="N192" i="56"/>
  <c r="N193" i="56"/>
  <c r="N194" i="56"/>
  <c r="N195" i="56"/>
  <c r="N196" i="56"/>
  <c r="N181" i="56"/>
  <c r="N182" i="56"/>
  <c r="N183" i="56"/>
  <c r="N184" i="56"/>
  <c r="N180" i="56"/>
  <c r="G372" i="56"/>
  <c r="F372" i="56"/>
  <c r="P298" i="56"/>
  <c r="N298" i="56"/>
  <c r="K298" i="56"/>
  <c r="K183" i="56"/>
  <c r="AL233" i="63"/>
  <c r="AR298" i="56" s="1"/>
  <c r="AK233" i="63"/>
  <c r="AQ298" i="56" s="1"/>
  <c r="AJ233" i="63"/>
  <c r="AP298" i="56" s="1"/>
  <c r="AI233" i="63"/>
  <c r="AO298" i="56" s="1"/>
  <c r="AH233" i="63"/>
  <c r="AN298" i="56" s="1"/>
  <c r="AG233" i="63"/>
  <c r="AM298" i="56" s="1"/>
  <c r="AF233" i="63"/>
  <c r="AL298" i="56" s="1"/>
  <c r="AE233" i="63"/>
  <c r="AK298" i="56" s="1"/>
  <c r="AD233" i="63"/>
  <c r="AJ298" i="56" s="1"/>
  <c r="AC233" i="63"/>
  <c r="AI298" i="56" s="1"/>
  <c r="AB233" i="63"/>
  <c r="AH298" i="56" s="1"/>
  <c r="AA233" i="63"/>
  <c r="AG298" i="56" s="1"/>
  <c r="Z233" i="63"/>
  <c r="AF298" i="56" s="1"/>
  <c r="Y233" i="63"/>
  <c r="AE298" i="56" s="1"/>
  <c r="X233" i="63"/>
  <c r="AD298" i="56" s="1"/>
  <c r="W233" i="63"/>
  <c r="AC298" i="56" s="1"/>
  <c r="V233" i="63"/>
  <c r="AB298" i="56" s="1"/>
  <c r="U233" i="63"/>
  <c r="AA298" i="56" s="1"/>
  <c r="T233" i="63"/>
  <c r="Z298" i="56" s="1"/>
  <c r="S233" i="63"/>
  <c r="Y298" i="56" s="1"/>
  <c r="R233" i="63"/>
  <c r="X298" i="56" s="1"/>
  <c r="Q233" i="63"/>
  <c r="W298" i="56" s="1"/>
  <c r="P233" i="63"/>
  <c r="V298" i="56" s="1"/>
  <c r="O233" i="63"/>
  <c r="U298" i="56" s="1"/>
  <c r="N233" i="63"/>
  <c r="T298" i="56" s="1"/>
  <c r="M233" i="63"/>
  <c r="S298" i="56" s="1"/>
  <c r="L233" i="63"/>
  <c r="R298" i="56" s="1"/>
  <c r="K233" i="63"/>
  <c r="Q298" i="56" s="1"/>
  <c r="L112" i="63"/>
  <c r="R183" i="56" s="1"/>
  <c r="M112" i="63"/>
  <c r="S183" i="56" s="1"/>
  <c r="N112" i="63"/>
  <c r="T183" i="56" s="1"/>
  <c r="O112" i="63"/>
  <c r="U183" i="56" s="1"/>
  <c r="P112" i="63"/>
  <c r="V183" i="56" s="1"/>
  <c r="Q112" i="63"/>
  <c r="W183" i="56" s="1"/>
  <c r="R112" i="63"/>
  <c r="X183" i="56" s="1"/>
  <c r="S112" i="63"/>
  <c r="Y183" i="56" s="1"/>
  <c r="T112" i="63"/>
  <c r="Z183" i="56" s="1"/>
  <c r="U112" i="63"/>
  <c r="AA183" i="56" s="1"/>
  <c r="V112" i="63"/>
  <c r="AB183" i="56" s="1"/>
  <c r="W112" i="63"/>
  <c r="AC183" i="56" s="1"/>
  <c r="X112" i="63"/>
  <c r="AD183" i="56" s="1"/>
  <c r="Y112" i="63"/>
  <c r="AE183" i="56" s="1"/>
  <c r="Z112" i="63"/>
  <c r="AF183" i="56" s="1"/>
  <c r="AA112" i="63"/>
  <c r="AG183" i="56" s="1"/>
  <c r="AB112" i="63"/>
  <c r="AH183" i="56" s="1"/>
  <c r="AC112" i="63"/>
  <c r="AI183" i="56" s="1"/>
  <c r="AD112" i="63"/>
  <c r="AJ183" i="56" s="1"/>
  <c r="AE112" i="63"/>
  <c r="AK183" i="56" s="1"/>
  <c r="AF112" i="63"/>
  <c r="AL183" i="56" s="1"/>
  <c r="AG112" i="63"/>
  <c r="AM183" i="56" s="1"/>
  <c r="AH112" i="63"/>
  <c r="AN183" i="56" s="1"/>
  <c r="AI112" i="63"/>
  <c r="AO183" i="56" s="1"/>
  <c r="AJ112" i="63"/>
  <c r="AP183" i="56" s="1"/>
  <c r="AK112" i="63"/>
  <c r="AQ183" i="56" s="1"/>
  <c r="AL112" i="63"/>
  <c r="AR183" i="56" s="1"/>
  <c r="K112" i="63"/>
  <c r="Q183" i="56" s="1"/>
  <c r="I112" i="63"/>
  <c r="G113" i="63"/>
  <c r="G112" i="63"/>
  <c r="C67" i="56"/>
  <c r="C372" i="56" s="1"/>
  <c r="D67" i="56"/>
  <c r="D372" i="56" s="1"/>
  <c r="B67" i="56"/>
  <c r="A67" i="56"/>
  <c r="P67" i="56" l="1"/>
  <c r="A372" i="56"/>
  <c r="N67" i="56"/>
  <c r="B372" i="56"/>
  <c r="Q372" i="56"/>
  <c r="L67" i="56"/>
  <c r="M116" i="10" s="1"/>
  <c r="L372" i="56" s="1"/>
  <c r="M67" i="56"/>
  <c r="E67" i="56"/>
  <c r="H184" i="62"/>
  <c r="H183" i="62"/>
  <c r="H182" i="62"/>
  <c r="H181" i="62"/>
  <c r="I21" i="62"/>
  <c r="I11" i="62"/>
  <c r="P123" i="49"/>
  <c r="Q123" i="49"/>
  <c r="R123" i="49"/>
  <c r="S123" i="49"/>
  <c r="T123" i="49"/>
  <c r="U123" i="49"/>
  <c r="V123" i="49"/>
  <c r="W123" i="49"/>
  <c r="X123" i="49"/>
  <c r="Y123" i="49"/>
  <c r="Z123" i="49"/>
  <c r="AA123" i="49"/>
  <c r="AB123" i="49"/>
  <c r="AC123" i="49"/>
  <c r="AD123" i="49"/>
  <c r="AE123" i="49"/>
  <c r="AF123" i="49"/>
  <c r="AG123" i="49"/>
  <c r="AH123" i="49"/>
  <c r="AI123" i="49"/>
  <c r="AJ123" i="49"/>
  <c r="AK123" i="49"/>
  <c r="AL123" i="49"/>
  <c r="AM123" i="49"/>
  <c r="AN123" i="49"/>
  <c r="AO123" i="49"/>
  <c r="AP123" i="49"/>
  <c r="D123" i="49"/>
  <c r="E123" i="49" s="1"/>
  <c r="O123" i="49"/>
  <c r="K67" i="56" l="1"/>
  <c r="L116" i="10" s="1"/>
  <c r="O116" i="10"/>
  <c r="N116" i="10"/>
  <c r="E372" i="56"/>
  <c r="Q67" i="56"/>
  <c r="O67" i="56"/>
  <c r="I114" i="63"/>
  <c r="I116" i="63" s="1"/>
  <c r="I118" i="63" s="1"/>
  <c r="K241" i="63"/>
  <c r="L241" i="63"/>
  <c r="M241" i="63"/>
  <c r="N241" i="63"/>
  <c r="O241" i="63"/>
  <c r="P241" i="63"/>
  <c r="Q241" i="63"/>
  <c r="R241" i="63"/>
  <c r="S241" i="63"/>
  <c r="T241" i="63"/>
  <c r="U241" i="63"/>
  <c r="V241" i="63"/>
  <c r="W241" i="63"/>
  <c r="X241" i="63"/>
  <c r="Y241" i="63"/>
  <c r="Z241" i="63"/>
  <c r="AA241" i="63"/>
  <c r="AB241" i="63"/>
  <c r="AC241" i="63"/>
  <c r="AD241" i="63"/>
  <c r="AE241" i="63"/>
  <c r="AF241" i="63"/>
  <c r="AG241" i="63"/>
  <c r="AH241" i="63"/>
  <c r="AI241" i="63"/>
  <c r="AJ241" i="63"/>
  <c r="AK241" i="63"/>
  <c r="AL241" i="63"/>
  <c r="K242" i="63"/>
  <c r="L242" i="63"/>
  <c r="M242" i="63"/>
  <c r="N242" i="63"/>
  <c r="O242" i="63"/>
  <c r="P242" i="63"/>
  <c r="Q242" i="63"/>
  <c r="R242" i="63"/>
  <c r="S242" i="63"/>
  <c r="T242" i="63"/>
  <c r="U242" i="63"/>
  <c r="V242" i="63"/>
  <c r="W242" i="63"/>
  <c r="X242" i="63"/>
  <c r="Y242" i="63"/>
  <c r="Z242" i="63"/>
  <c r="AA242" i="63"/>
  <c r="AB242" i="63"/>
  <c r="AC242" i="63"/>
  <c r="AD242" i="63"/>
  <c r="AE242" i="63"/>
  <c r="AF242" i="63"/>
  <c r="AG242" i="63"/>
  <c r="AH242" i="63"/>
  <c r="AI242" i="63"/>
  <c r="AJ242" i="63"/>
  <c r="AK242" i="63"/>
  <c r="AL242" i="63"/>
  <c r="K243" i="63"/>
  <c r="L243" i="63"/>
  <c r="M243" i="63"/>
  <c r="N243" i="63"/>
  <c r="O243" i="63"/>
  <c r="P243" i="63"/>
  <c r="Q243" i="63"/>
  <c r="R243" i="63"/>
  <c r="S243" i="63"/>
  <c r="T243" i="63"/>
  <c r="U243" i="63"/>
  <c r="V243" i="63"/>
  <c r="W243" i="63"/>
  <c r="X243" i="63"/>
  <c r="Y243" i="63"/>
  <c r="Z243" i="63"/>
  <c r="AA243" i="63"/>
  <c r="AB243" i="63"/>
  <c r="AC243" i="63"/>
  <c r="AD243" i="63"/>
  <c r="AE243" i="63"/>
  <c r="AF243" i="63"/>
  <c r="AG243" i="63"/>
  <c r="AH243" i="63"/>
  <c r="AI243" i="63"/>
  <c r="AJ243" i="63"/>
  <c r="AK243" i="63"/>
  <c r="AL243" i="63"/>
  <c r="K244" i="63"/>
  <c r="L244" i="63"/>
  <c r="M244" i="63"/>
  <c r="N244" i="63"/>
  <c r="O244" i="63"/>
  <c r="P244" i="63"/>
  <c r="Q244" i="63"/>
  <c r="R244" i="63"/>
  <c r="S244" i="63"/>
  <c r="T244" i="63"/>
  <c r="U244" i="63"/>
  <c r="V244" i="63"/>
  <c r="W244" i="63"/>
  <c r="X244" i="63"/>
  <c r="Y244" i="63"/>
  <c r="Z244" i="63"/>
  <c r="AA244" i="63"/>
  <c r="AB244" i="63"/>
  <c r="AC244" i="63"/>
  <c r="AD244" i="63"/>
  <c r="AE244" i="63"/>
  <c r="AF244" i="63"/>
  <c r="AG244" i="63"/>
  <c r="AH244" i="63"/>
  <c r="AI244" i="63"/>
  <c r="AJ244" i="63"/>
  <c r="AK244" i="63"/>
  <c r="AL244" i="63"/>
  <c r="AL240" i="63"/>
  <c r="AK240" i="63"/>
  <c r="AJ240" i="63"/>
  <c r="AI240" i="63"/>
  <c r="AH240" i="63"/>
  <c r="AG240" i="63"/>
  <c r="AF240" i="63"/>
  <c r="AE240" i="63"/>
  <c r="AD240" i="63"/>
  <c r="AC240" i="63"/>
  <c r="AB240" i="63"/>
  <c r="AA240" i="63"/>
  <c r="Z240" i="63"/>
  <c r="Y240" i="63"/>
  <c r="X240" i="63"/>
  <c r="W240" i="63"/>
  <c r="V240" i="63"/>
  <c r="U240" i="63"/>
  <c r="T240" i="63"/>
  <c r="S240" i="63"/>
  <c r="R240" i="63"/>
  <c r="Q240" i="63"/>
  <c r="P240" i="63"/>
  <c r="O240" i="63"/>
  <c r="N240" i="63"/>
  <c r="M240" i="63"/>
  <c r="L240" i="63"/>
  <c r="K240" i="63"/>
  <c r="K236" i="63"/>
  <c r="L236" i="63"/>
  <c r="M236" i="63"/>
  <c r="N236" i="63"/>
  <c r="O236" i="63"/>
  <c r="P236" i="63"/>
  <c r="Q236" i="63"/>
  <c r="R236" i="63"/>
  <c r="S236" i="63"/>
  <c r="T236" i="63"/>
  <c r="U236" i="63"/>
  <c r="V236" i="63"/>
  <c r="W236" i="63"/>
  <c r="X236" i="63"/>
  <c r="Y236" i="63"/>
  <c r="Z236" i="63"/>
  <c r="AA236" i="63"/>
  <c r="AB236" i="63"/>
  <c r="AC236" i="63"/>
  <c r="AD236" i="63"/>
  <c r="AE236" i="63"/>
  <c r="AF236" i="63"/>
  <c r="AG236" i="63"/>
  <c r="AH236" i="63"/>
  <c r="AI236" i="63"/>
  <c r="AJ236" i="63"/>
  <c r="AK236" i="63"/>
  <c r="AL236" i="63"/>
  <c r="K237" i="63"/>
  <c r="L237" i="63"/>
  <c r="M237" i="63"/>
  <c r="N237" i="63"/>
  <c r="O237" i="63"/>
  <c r="P237" i="63"/>
  <c r="Q237" i="63"/>
  <c r="R237" i="63"/>
  <c r="S237" i="63"/>
  <c r="T237" i="63"/>
  <c r="U237" i="63"/>
  <c r="V237" i="63"/>
  <c r="W237" i="63"/>
  <c r="X237" i="63"/>
  <c r="Y237" i="63"/>
  <c r="Z237" i="63"/>
  <c r="AA237" i="63"/>
  <c r="AB237" i="63"/>
  <c r="AC237" i="63"/>
  <c r="AD237" i="63"/>
  <c r="AE237" i="63"/>
  <c r="AF237" i="63"/>
  <c r="AG237" i="63"/>
  <c r="AH237" i="63"/>
  <c r="AI237" i="63"/>
  <c r="AJ237" i="63"/>
  <c r="AK237" i="63"/>
  <c r="AL237" i="63"/>
  <c r="K238" i="63"/>
  <c r="L238" i="63"/>
  <c r="M238" i="63"/>
  <c r="N238" i="63"/>
  <c r="O238" i="63"/>
  <c r="P238" i="63"/>
  <c r="Q238" i="63"/>
  <c r="R238" i="63"/>
  <c r="S238" i="63"/>
  <c r="T238" i="63"/>
  <c r="U238" i="63"/>
  <c r="V238" i="63"/>
  <c r="W238" i="63"/>
  <c r="X238" i="63"/>
  <c r="Y238" i="63"/>
  <c r="Z238" i="63"/>
  <c r="AA238" i="63"/>
  <c r="AB238" i="63"/>
  <c r="AC238" i="63"/>
  <c r="AD238" i="63"/>
  <c r="AE238" i="63"/>
  <c r="AF238" i="63"/>
  <c r="AG238" i="63"/>
  <c r="AH238" i="63"/>
  <c r="AI238" i="63"/>
  <c r="AJ238" i="63"/>
  <c r="AK238" i="63"/>
  <c r="AL238" i="63"/>
  <c r="K239" i="63"/>
  <c r="L239" i="63"/>
  <c r="M239" i="63"/>
  <c r="N239" i="63"/>
  <c r="O239" i="63"/>
  <c r="P239" i="63"/>
  <c r="Q239" i="63"/>
  <c r="R239" i="63"/>
  <c r="S239" i="63"/>
  <c r="T239" i="63"/>
  <c r="U239" i="63"/>
  <c r="V239" i="63"/>
  <c r="W239" i="63"/>
  <c r="X239" i="63"/>
  <c r="Y239" i="63"/>
  <c r="Z239" i="63"/>
  <c r="AA239" i="63"/>
  <c r="AB239" i="63"/>
  <c r="AC239" i="63"/>
  <c r="AD239" i="63"/>
  <c r="AE239" i="63"/>
  <c r="AF239" i="63"/>
  <c r="AG239" i="63"/>
  <c r="AH239" i="63"/>
  <c r="AI239" i="63"/>
  <c r="AJ239" i="63"/>
  <c r="AK239" i="63"/>
  <c r="AL239" i="63"/>
  <c r="AL235" i="63"/>
  <c r="AK235" i="63"/>
  <c r="AJ235" i="63"/>
  <c r="AI235" i="63"/>
  <c r="AH235" i="63"/>
  <c r="AG235" i="63"/>
  <c r="AF235" i="63"/>
  <c r="AE235" i="63"/>
  <c r="AD235" i="63"/>
  <c r="AC235" i="63"/>
  <c r="AB235" i="63"/>
  <c r="AA235" i="63"/>
  <c r="Z235" i="63"/>
  <c r="Y235" i="63"/>
  <c r="X235" i="63"/>
  <c r="W235" i="63"/>
  <c r="V235" i="63"/>
  <c r="U235" i="63"/>
  <c r="T235" i="63"/>
  <c r="S235" i="63"/>
  <c r="R235" i="63"/>
  <c r="Q235" i="63"/>
  <c r="P235" i="63"/>
  <c r="O235" i="63"/>
  <c r="N235" i="63"/>
  <c r="M235" i="63"/>
  <c r="L235" i="63"/>
  <c r="K235" i="63"/>
  <c r="K231" i="63"/>
  <c r="L231" i="63"/>
  <c r="M231" i="63"/>
  <c r="N231" i="63"/>
  <c r="O231" i="63"/>
  <c r="P231" i="63"/>
  <c r="Q231" i="63"/>
  <c r="R231" i="63"/>
  <c r="S231" i="63"/>
  <c r="T231" i="63"/>
  <c r="U231" i="63"/>
  <c r="V231" i="63"/>
  <c r="W231" i="63"/>
  <c r="X231" i="63"/>
  <c r="Y231" i="63"/>
  <c r="Z231" i="63"/>
  <c r="AA231" i="63"/>
  <c r="AB231" i="63"/>
  <c r="AC231" i="63"/>
  <c r="AD231" i="63"/>
  <c r="AE231" i="63"/>
  <c r="AF231" i="63"/>
  <c r="AG231" i="63"/>
  <c r="AH231" i="63"/>
  <c r="AI231" i="63"/>
  <c r="AJ231" i="63"/>
  <c r="AK231" i="63"/>
  <c r="AL231" i="63"/>
  <c r="K232" i="63"/>
  <c r="L232" i="63"/>
  <c r="M232" i="63"/>
  <c r="N232" i="63"/>
  <c r="O232" i="63"/>
  <c r="P232" i="63"/>
  <c r="Q232" i="63"/>
  <c r="R232" i="63"/>
  <c r="S232" i="63"/>
  <c r="T232" i="63"/>
  <c r="U232" i="63"/>
  <c r="V232" i="63"/>
  <c r="W232" i="63"/>
  <c r="X232" i="63"/>
  <c r="Y232" i="63"/>
  <c r="Z232" i="63"/>
  <c r="AA232" i="63"/>
  <c r="AB232" i="63"/>
  <c r="AC232" i="63"/>
  <c r="AD232" i="63"/>
  <c r="AE232" i="63"/>
  <c r="AF232" i="63"/>
  <c r="AG232" i="63"/>
  <c r="AH232" i="63"/>
  <c r="AI232" i="63"/>
  <c r="AJ232" i="63"/>
  <c r="AK232" i="63"/>
  <c r="AL232" i="63"/>
  <c r="K234" i="63"/>
  <c r="L234" i="63"/>
  <c r="M234" i="63"/>
  <c r="N234" i="63"/>
  <c r="O234" i="63"/>
  <c r="P234" i="63"/>
  <c r="Q234" i="63"/>
  <c r="R234" i="63"/>
  <c r="S234" i="63"/>
  <c r="T234" i="63"/>
  <c r="U234" i="63"/>
  <c r="V234" i="63"/>
  <c r="W234" i="63"/>
  <c r="X234" i="63"/>
  <c r="Y234" i="63"/>
  <c r="Z234" i="63"/>
  <c r="AA234" i="63"/>
  <c r="AB234" i="63"/>
  <c r="AC234" i="63"/>
  <c r="AD234" i="63"/>
  <c r="AE234" i="63"/>
  <c r="AF234" i="63"/>
  <c r="AG234" i="63"/>
  <c r="AH234" i="63"/>
  <c r="AI234" i="63"/>
  <c r="AJ234" i="63"/>
  <c r="AK234" i="63"/>
  <c r="AL234" i="63"/>
  <c r="AL230" i="63"/>
  <c r="AK230" i="63"/>
  <c r="AJ230" i="63"/>
  <c r="AI230" i="63"/>
  <c r="AH230" i="63"/>
  <c r="AG230" i="63"/>
  <c r="AF230" i="63"/>
  <c r="AE230" i="63"/>
  <c r="AD230" i="63"/>
  <c r="AC230" i="63"/>
  <c r="AB230" i="63"/>
  <c r="AA230" i="63"/>
  <c r="Z230" i="63"/>
  <c r="Y230" i="63"/>
  <c r="X230" i="63"/>
  <c r="W230" i="63"/>
  <c r="V230" i="63"/>
  <c r="U230" i="63"/>
  <c r="T230" i="63"/>
  <c r="S230" i="63"/>
  <c r="R230" i="63"/>
  <c r="Q230" i="63"/>
  <c r="P230" i="63"/>
  <c r="O230" i="63"/>
  <c r="N230" i="63"/>
  <c r="M230" i="63"/>
  <c r="L230" i="63"/>
  <c r="K230" i="63"/>
  <c r="K226" i="63"/>
  <c r="L226" i="63"/>
  <c r="M226" i="63"/>
  <c r="N226" i="63"/>
  <c r="O226" i="63"/>
  <c r="P226" i="63"/>
  <c r="Q226" i="63"/>
  <c r="R226" i="63"/>
  <c r="S226" i="63"/>
  <c r="T226" i="63"/>
  <c r="U226" i="63"/>
  <c r="V226" i="63"/>
  <c r="W226" i="63"/>
  <c r="X226" i="63"/>
  <c r="Y226" i="63"/>
  <c r="Z226" i="63"/>
  <c r="AA226" i="63"/>
  <c r="AB226" i="63"/>
  <c r="AC226" i="63"/>
  <c r="AD226" i="63"/>
  <c r="AE226" i="63"/>
  <c r="AF226" i="63"/>
  <c r="AG226" i="63"/>
  <c r="AH226" i="63"/>
  <c r="AI226" i="63"/>
  <c r="AJ226" i="63"/>
  <c r="AK226" i="63"/>
  <c r="AL226" i="63"/>
  <c r="K227" i="63"/>
  <c r="L227" i="63"/>
  <c r="M227" i="63"/>
  <c r="N227" i="63"/>
  <c r="O227" i="63"/>
  <c r="P227" i="63"/>
  <c r="Q227" i="63"/>
  <c r="R227" i="63"/>
  <c r="S227" i="63"/>
  <c r="T227" i="63"/>
  <c r="U227" i="63"/>
  <c r="V227" i="63"/>
  <c r="W227" i="63"/>
  <c r="X227" i="63"/>
  <c r="Y227" i="63"/>
  <c r="Z227" i="63"/>
  <c r="AA227" i="63"/>
  <c r="AB227" i="63"/>
  <c r="AC227" i="63"/>
  <c r="AD227" i="63"/>
  <c r="AE227" i="63"/>
  <c r="AF227" i="63"/>
  <c r="AG227" i="63"/>
  <c r="AH227" i="63"/>
  <c r="AI227" i="63"/>
  <c r="AJ227" i="63"/>
  <c r="AK227" i="63"/>
  <c r="AL227" i="63"/>
  <c r="K228" i="63"/>
  <c r="L228" i="63"/>
  <c r="M228" i="63"/>
  <c r="N228" i="63"/>
  <c r="O228" i="63"/>
  <c r="P228" i="63"/>
  <c r="Q228" i="63"/>
  <c r="R228" i="63"/>
  <c r="S228" i="63"/>
  <c r="T228" i="63"/>
  <c r="U228" i="63"/>
  <c r="V228" i="63"/>
  <c r="W228" i="63"/>
  <c r="X228" i="63"/>
  <c r="Y228" i="63"/>
  <c r="Z228" i="63"/>
  <c r="AA228" i="63"/>
  <c r="AB228" i="63"/>
  <c r="AC228" i="63"/>
  <c r="AD228" i="63"/>
  <c r="AE228" i="63"/>
  <c r="AF228" i="63"/>
  <c r="AG228" i="63"/>
  <c r="AH228" i="63"/>
  <c r="AI228" i="63"/>
  <c r="AJ228" i="63"/>
  <c r="AK228" i="63"/>
  <c r="AL228" i="63"/>
  <c r="K229" i="63"/>
  <c r="L229" i="63"/>
  <c r="M229" i="63"/>
  <c r="N229" i="63"/>
  <c r="O229" i="63"/>
  <c r="P229" i="63"/>
  <c r="Q229" i="63"/>
  <c r="R229" i="63"/>
  <c r="S229" i="63"/>
  <c r="T229" i="63"/>
  <c r="U229" i="63"/>
  <c r="V229" i="63"/>
  <c r="W229" i="63"/>
  <c r="X229" i="63"/>
  <c r="Y229" i="63"/>
  <c r="Z229" i="63"/>
  <c r="AA229" i="63"/>
  <c r="AB229" i="63"/>
  <c r="AC229" i="63"/>
  <c r="AD229" i="63"/>
  <c r="AE229" i="63"/>
  <c r="AF229" i="63"/>
  <c r="AG229" i="63"/>
  <c r="AH229" i="63"/>
  <c r="AI229" i="63"/>
  <c r="AJ229" i="63"/>
  <c r="AK229" i="63"/>
  <c r="AL229" i="63"/>
  <c r="AL225" i="63"/>
  <c r="AK225" i="63"/>
  <c r="AJ225" i="63"/>
  <c r="AI225" i="63"/>
  <c r="AH225" i="63"/>
  <c r="AG225" i="63"/>
  <c r="AF225" i="63"/>
  <c r="AE225" i="63"/>
  <c r="AD225" i="63"/>
  <c r="AC225" i="63"/>
  <c r="AB225" i="63"/>
  <c r="AA225" i="63"/>
  <c r="Z225" i="63"/>
  <c r="Y225" i="63"/>
  <c r="X225" i="63"/>
  <c r="W225" i="63"/>
  <c r="V225" i="63"/>
  <c r="U225" i="63"/>
  <c r="T225" i="63"/>
  <c r="S225" i="63"/>
  <c r="R225" i="63"/>
  <c r="Q225" i="63"/>
  <c r="P225" i="63"/>
  <c r="O225" i="63"/>
  <c r="N225" i="63"/>
  <c r="M225" i="63"/>
  <c r="L225" i="63"/>
  <c r="K225" i="63"/>
  <c r="K210" i="63"/>
  <c r="L210" i="63"/>
  <c r="M210" i="63"/>
  <c r="N210" i="63"/>
  <c r="O210" i="63"/>
  <c r="P210" i="63"/>
  <c r="Q210" i="63"/>
  <c r="R210" i="63"/>
  <c r="S210" i="63"/>
  <c r="T210" i="63"/>
  <c r="U210" i="63"/>
  <c r="V210" i="63"/>
  <c r="W210" i="63"/>
  <c r="X210" i="63"/>
  <c r="Y210" i="63"/>
  <c r="Z210" i="63"/>
  <c r="AA210" i="63"/>
  <c r="AB210" i="63"/>
  <c r="AC210" i="63"/>
  <c r="AD210" i="63"/>
  <c r="AE210" i="63"/>
  <c r="AF210" i="63"/>
  <c r="AG210" i="63"/>
  <c r="AH210" i="63"/>
  <c r="AI210" i="63"/>
  <c r="AJ210" i="63"/>
  <c r="AK210" i="63"/>
  <c r="AL210" i="63"/>
  <c r="K211" i="63"/>
  <c r="L211" i="63"/>
  <c r="M211" i="63"/>
  <c r="N211" i="63"/>
  <c r="O211" i="63"/>
  <c r="P211" i="63"/>
  <c r="Q211" i="63"/>
  <c r="R211" i="63"/>
  <c r="S211" i="63"/>
  <c r="T211" i="63"/>
  <c r="U211" i="63"/>
  <c r="V211" i="63"/>
  <c r="W211" i="63"/>
  <c r="X211" i="63"/>
  <c r="Y211" i="63"/>
  <c r="Z211" i="63"/>
  <c r="AA211" i="63"/>
  <c r="AB211" i="63"/>
  <c r="AC211" i="63"/>
  <c r="AD211" i="63"/>
  <c r="AE211" i="63"/>
  <c r="AF211" i="63"/>
  <c r="AG211" i="63"/>
  <c r="AH211" i="63"/>
  <c r="AI211" i="63"/>
  <c r="AJ211" i="63"/>
  <c r="AK211" i="63"/>
  <c r="AL211" i="63"/>
  <c r="K212" i="63"/>
  <c r="L212" i="63"/>
  <c r="M212" i="63"/>
  <c r="N212" i="63"/>
  <c r="O212" i="63"/>
  <c r="P212" i="63"/>
  <c r="Q212" i="63"/>
  <c r="R212" i="63"/>
  <c r="S212" i="63"/>
  <c r="T212" i="63"/>
  <c r="U212" i="63"/>
  <c r="V212" i="63"/>
  <c r="W212" i="63"/>
  <c r="X212" i="63"/>
  <c r="Y212" i="63"/>
  <c r="Z212" i="63"/>
  <c r="AA212" i="63"/>
  <c r="AB212" i="63"/>
  <c r="AC212" i="63"/>
  <c r="AD212" i="63"/>
  <c r="AE212" i="63"/>
  <c r="AF212" i="63"/>
  <c r="AG212" i="63"/>
  <c r="AH212" i="63"/>
  <c r="AI212" i="63"/>
  <c r="AJ212" i="63"/>
  <c r="AK212" i="63"/>
  <c r="AL212" i="63"/>
  <c r="K213" i="63"/>
  <c r="L213" i="63"/>
  <c r="M213" i="63"/>
  <c r="N213" i="63"/>
  <c r="O213" i="63"/>
  <c r="P213" i="63"/>
  <c r="Q213" i="63"/>
  <c r="R213" i="63"/>
  <c r="S213" i="63"/>
  <c r="T213" i="63"/>
  <c r="U213" i="63"/>
  <c r="V213" i="63"/>
  <c r="W213" i="63"/>
  <c r="X213" i="63"/>
  <c r="Y213" i="63"/>
  <c r="Z213" i="63"/>
  <c r="AA213" i="63"/>
  <c r="AB213" i="63"/>
  <c r="AC213" i="63"/>
  <c r="AD213" i="63"/>
  <c r="AE213" i="63"/>
  <c r="AF213" i="63"/>
  <c r="AG213" i="63"/>
  <c r="AH213" i="63"/>
  <c r="AI213" i="63"/>
  <c r="AJ213" i="63"/>
  <c r="AK213" i="63"/>
  <c r="AL213" i="63"/>
  <c r="K214" i="63"/>
  <c r="L214" i="63"/>
  <c r="M214" i="63"/>
  <c r="N214" i="63"/>
  <c r="O214" i="63"/>
  <c r="P214" i="63"/>
  <c r="Q214" i="63"/>
  <c r="R214" i="63"/>
  <c r="S214" i="63"/>
  <c r="T214" i="63"/>
  <c r="U214" i="63"/>
  <c r="V214" i="63"/>
  <c r="W214" i="63"/>
  <c r="X214" i="63"/>
  <c r="Y214" i="63"/>
  <c r="Z214" i="63"/>
  <c r="AA214" i="63"/>
  <c r="AB214" i="63"/>
  <c r="AC214" i="63"/>
  <c r="AD214" i="63"/>
  <c r="AE214" i="63"/>
  <c r="AF214" i="63"/>
  <c r="AG214" i="63"/>
  <c r="AH214" i="63"/>
  <c r="AI214" i="63"/>
  <c r="AJ214" i="63"/>
  <c r="AK214" i="63"/>
  <c r="AL214" i="63"/>
  <c r="K215" i="63"/>
  <c r="L215" i="63"/>
  <c r="M215" i="63"/>
  <c r="N215" i="63"/>
  <c r="O215" i="63"/>
  <c r="P215" i="63"/>
  <c r="Q215" i="63"/>
  <c r="R215" i="63"/>
  <c r="S215" i="63"/>
  <c r="T215" i="63"/>
  <c r="U215" i="63"/>
  <c r="V215" i="63"/>
  <c r="W215" i="63"/>
  <c r="X215" i="63"/>
  <c r="Y215" i="63"/>
  <c r="Z215" i="63"/>
  <c r="AA215" i="63"/>
  <c r="AB215" i="63"/>
  <c r="AC215" i="63"/>
  <c r="AD215" i="63"/>
  <c r="AE215" i="63"/>
  <c r="AF215" i="63"/>
  <c r="AG215" i="63"/>
  <c r="AH215" i="63"/>
  <c r="AI215" i="63"/>
  <c r="AJ215" i="63"/>
  <c r="AK215" i="63"/>
  <c r="AL215" i="63"/>
  <c r="K216" i="63"/>
  <c r="L216" i="63"/>
  <c r="M216" i="63"/>
  <c r="N216" i="63"/>
  <c r="O216" i="63"/>
  <c r="P216" i="63"/>
  <c r="Q216" i="63"/>
  <c r="R216" i="63"/>
  <c r="S216" i="63"/>
  <c r="T216" i="63"/>
  <c r="U216" i="63"/>
  <c r="V216" i="63"/>
  <c r="W216" i="63"/>
  <c r="X216" i="63"/>
  <c r="Y216" i="63"/>
  <c r="Z216" i="63"/>
  <c r="AA216" i="63"/>
  <c r="AB216" i="63"/>
  <c r="AC216" i="63"/>
  <c r="AD216" i="63"/>
  <c r="AE216" i="63"/>
  <c r="AF216" i="63"/>
  <c r="AG216" i="63"/>
  <c r="AH216" i="63"/>
  <c r="AI216" i="63"/>
  <c r="AJ216" i="63"/>
  <c r="AK216" i="63"/>
  <c r="AL216" i="63"/>
  <c r="K217" i="63"/>
  <c r="L217" i="63"/>
  <c r="M217" i="63"/>
  <c r="N217" i="63"/>
  <c r="O217" i="63"/>
  <c r="P217" i="63"/>
  <c r="Q217" i="63"/>
  <c r="R217" i="63"/>
  <c r="S217" i="63"/>
  <c r="T217" i="63"/>
  <c r="U217" i="63"/>
  <c r="V217" i="63"/>
  <c r="W217" i="63"/>
  <c r="X217" i="63"/>
  <c r="Y217" i="63"/>
  <c r="Z217" i="63"/>
  <c r="AA217" i="63"/>
  <c r="AB217" i="63"/>
  <c r="AC217" i="63"/>
  <c r="AD217" i="63"/>
  <c r="AE217" i="63"/>
  <c r="AF217" i="63"/>
  <c r="AG217" i="63"/>
  <c r="AH217" i="63"/>
  <c r="AI217" i="63"/>
  <c r="AJ217" i="63"/>
  <c r="AK217" i="63"/>
  <c r="AL217" i="63"/>
  <c r="K218" i="63"/>
  <c r="L218" i="63"/>
  <c r="M218" i="63"/>
  <c r="N218" i="63"/>
  <c r="O218" i="63"/>
  <c r="P218" i="63"/>
  <c r="Q218" i="63"/>
  <c r="R218" i="63"/>
  <c r="S218" i="63"/>
  <c r="T218" i="63"/>
  <c r="U218" i="63"/>
  <c r="V218" i="63"/>
  <c r="W218" i="63"/>
  <c r="X218" i="63"/>
  <c r="Y218" i="63"/>
  <c r="Z218" i="63"/>
  <c r="AA218" i="63"/>
  <c r="AB218" i="63"/>
  <c r="AC218" i="63"/>
  <c r="AD218" i="63"/>
  <c r="AE218" i="63"/>
  <c r="AF218" i="63"/>
  <c r="AG218" i="63"/>
  <c r="AH218" i="63"/>
  <c r="AI218" i="63"/>
  <c r="AJ218" i="63"/>
  <c r="AK218" i="63"/>
  <c r="AL218" i="63"/>
  <c r="K219" i="63"/>
  <c r="L219" i="63"/>
  <c r="M219" i="63"/>
  <c r="N219" i="63"/>
  <c r="O219" i="63"/>
  <c r="P219" i="63"/>
  <c r="Q219" i="63"/>
  <c r="R219" i="63"/>
  <c r="S219" i="63"/>
  <c r="T219" i="63"/>
  <c r="U219" i="63"/>
  <c r="V219" i="63"/>
  <c r="W219" i="63"/>
  <c r="X219" i="63"/>
  <c r="Y219" i="63"/>
  <c r="Z219" i="63"/>
  <c r="AA219" i="63"/>
  <c r="AB219" i="63"/>
  <c r="AC219" i="63"/>
  <c r="AD219" i="63"/>
  <c r="AE219" i="63"/>
  <c r="AF219" i="63"/>
  <c r="AG219" i="63"/>
  <c r="AH219" i="63"/>
  <c r="AI219" i="63"/>
  <c r="AJ219" i="63"/>
  <c r="AK219" i="63"/>
  <c r="AL219" i="63"/>
  <c r="K220" i="63"/>
  <c r="L220" i="63"/>
  <c r="M220" i="63"/>
  <c r="N220" i="63"/>
  <c r="O220" i="63"/>
  <c r="P220" i="63"/>
  <c r="Q220" i="63"/>
  <c r="R220" i="63"/>
  <c r="S220" i="63"/>
  <c r="T220" i="63"/>
  <c r="U220" i="63"/>
  <c r="V220" i="63"/>
  <c r="W220" i="63"/>
  <c r="X220" i="63"/>
  <c r="Y220" i="63"/>
  <c r="Z220" i="63"/>
  <c r="AA220" i="63"/>
  <c r="AB220" i="63"/>
  <c r="AC220" i="63"/>
  <c r="AD220" i="63"/>
  <c r="AE220" i="63"/>
  <c r="AF220" i="63"/>
  <c r="AG220" i="63"/>
  <c r="AH220" i="63"/>
  <c r="AI220" i="63"/>
  <c r="AJ220" i="63"/>
  <c r="AK220" i="63"/>
  <c r="AL220" i="63"/>
  <c r="K222" i="63"/>
  <c r="L222" i="63"/>
  <c r="M222" i="63"/>
  <c r="N222" i="63"/>
  <c r="O222" i="63"/>
  <c r="P222" i="63"/>
  <c r="Q222" i="63"/>
  <c r="R222" i="63"/>
  <c r="S222" i="63"/>
  <c r="T222" i="63"/>
  <c r="U222" i="63"/>
  <c r="V222" i="63"/>
  <c r="W222" i="63"/>
  <c r="X222" i="63"/>
  <c r="Y222" i="63"/>
  <c r="Z222" i="63"/>
  <c r="AA222" i="63"/>
  <c r="AB222" i="63"/>
  <c r="AC222" i="63"/>
  <c r="AD222" i="63"/>
  <c r="AE222" i="63"/>
  <c r="AF222" i="63"/>
  <c r="AG222" i="63"/>
  <c r="AH222" i="63"/>
  <c r="AI222" i="63"/>
  <c r="AJ222" i="63"/>
  <c r="AK222" i="63"/>
  <c r="AL222" i="63"/>
  <c r="K223" i="63"/>
  <c r="L223" i="63"/>
  <c r="M223" i="63"/>
  <c r="N223" i="63"/>
  <c r="O223" i="63"/>
  <c r="P223" i="63"/>
  <c r="Q223" i="63"/>
  <c r="R223" i="63"/>
  <c r="S223" i="63"/>
  <c r="T223" i="63"/>
  <c r="U223" i="63"/>
  <c r="V223" i="63"/>
  <c r="W223" i="63"/>
  <c r="X223" i="63"/>
  <c r="Y223" i="63"/>
  <c r="Z223" i="63"/>
  <c r="AA223" i="63"/>
  <c r="AB223" i="63"/>
  <c r="AC223" i="63"/>
  <c r="AD223" i="63"/>
  <c r="AE223" i="63"/>
  <c r="AF223" i="63"/>
  <c r="AG223" i="63"/>
  <c r="AH223" i="63"/>
  <c r="AI223" i="63"/>
  <c r="AJ223" i="63"/>
  <c r="AK223" i="63"/>
  <c r="AL223" i="63"/>
  <c r="K224" i="63"/>
  <c r="L224" i="63"/>
  <c r="M224" i="63"/>
  <c r="N224" i="63"/>
  <c r="O224" i="63"/>
  <c r="P224" i="63"/>
  <c r="Q224" i="63"/>
  <c r="R224" i="63"/>
  <c r="S224" i="63"/>
  <c r="T224" i="63"/>
  <c r="U224" i="63"/>
  <c r="V224" i="63"/>
  <c r="W224" i="63"/>
  <c r="X224" i="63"/>
  <c r="Y224" i="63"/>
  <c r="Z224" i="63"/>
  <c r="AA224" i="63"/>
  <c r="AB224" i="63"/>
  <c r="AC224" i="63"/>
  <c r="AD224" i="63"/>
  <c r="AE224" i="63"/>
  <c r="AF224" i="63"/>
  <c r="AG224" i="63"/>
  <c r="AH224" i="63"/>
  <c r="AI224" i="63"/>
  <c r="AJ224" i="63"/>
  <c r="AK224" i="63"/>
  <c r="AL224" i="63"/>
  <c r="K196" i="63"/>
  <c r="L196" i="63"/>
  <c r="M196" i="63"/>
  <c r="N196" i="63"/>
  <c r="O196" i="63"/>
  <c r="P196" i="63"/>
  <c r="Q196" i="63"/>
  <c r="R196" i="63"/>
  <c r="S196" i="63"/>
  <c r="T196" i="63"/>
  <c r="U196" i="63"/>
  <c r="V196" i="63"/>
  <c r="W196" i="63"/>
  <c r="X196" i="63"/>
  <c r="Y196" i="63"/>
  <c r="Z196" i="63"/>
  <c r="AA196" i="63"/>
  <c r="AB196" i="63"/>
  <c r="AC196" i="63"/>
  <c r="AD196" i="63"/>
  <c r="AE196" i="63"/>
  <c r="AF196" i="63"/>
  <c r="AG196" i="63"/>
  <c r="AH196" i="63"/>
  <c r="AI196" i="63"/>
  <c r="AJ196" i="63"/>
  <c r="AK196" i="63"/>
  <c r="AL196" i="63"/>
  <c r="K197" i="63"/>
  <c r="L197" i="63"/>
  <c r="M197" i="63"/>
  <c r="N197" i="63"/>
  <c r="O197" i="63"/>
  <c r="P197" i="63"/>
  <c r="Q197" i="63"/>
  <c r="R197" i="63"/>
  <c r="S197" i="63"/>
  <c r="T197" i="63"/>
  <c r="U197" i="63"/>
  <c r="V197" i="63"/>
  <c r="W197" i="63"/>
  <c r="X197" i="63"/>
  <c r="Y197" i="63"/>
  <c r="Z197" i="63"/>
  <c r="AA197" i="63"/>
  <c r="AB197" i="63"/>
  <c r="AC197" i="63"/>
  <c r="AD197" i="63"/>
  <c r="AE197" i="63"/>
  <c r="AF197" i="63"/>
  <c r="AG197" i="63"/>
  <c r="AH197" i="63"/>
  <c r="AI197" i="63"/>
  <c r="AJ197" i="63"/>
  <c r="AK197" i="63"/>
  <c r="AL197" i="63"/>
  <c r="K198" i="63"/>
  <c r="L198" i="63"/>
  <c r="M198" i="63"/>
  <c r="N198" i="63"/>
  <c r="O198" i="63"/>
  <c r="P198" i="63"/>
  <c r="Q198" i="63"/>
  <c r="R198" i="63"/>
  <c r="S198" i="63"/>
  <c r="T198" i="63"/>
  <c r="U198" i="63"/>
  <c r="V198" i="63"/>
  <c r="W198" i="63"/>
  <c r="X198" i="63"/>
  <c r="Y198" i="63"/>
  <c r="Z198" i="63"/>
  <c r="AA198" i="63"/>
  <c r="AB198" i="63"/>
  <c r="AC198" i="63"/>
  <c r="AD198" i="63"/>
  <c r="AE198" i="63"/>
  <c r="AF198" i="63"/>
  <c r="AG198" i="63"/>
  <c r="AH198" i="63"/>
  <c r="AI198" i="63"/>
  <c r="AJ198" i="63"/>
  <c r="AK198" i="63"/>
  <c r="AL198" i="63"/>
  <c r="K199" i="63"/>
  <c r="L199" i="63"/>
  <c r="M199" i="63"/>
  <c r="N199" i="63"/>
  <c r="O199" i="63"/>
  <c r="P199" i="63"/>
  <c r="Q199" i="63"/>
  <c r="R199" i="63"/>
  <c r="S199" i="63"/>
  <c r="T199" i="63"/>
  <c r="U199" i="63"/>
  <c r="V199" i="63"/>
  <c r="W199" i="63"/>
  <c r="X199" i="63"/>
  <c r="Y199" i="63"/>
  <c r="Z199" i="63"/>
  <c r="AA199" i="63"/>
  <c r="AB199" i="63"/>
  <c r="AC199" i="63"/>
  <c r="AD199" i="63"/>
  <c r="AE199" i="63"/>
  <c r="AF199" i="63"/>
  <c r="AG199" i="63"/>
  <c r="AH199" i="63"/>
  <c r="AI199" i="63"/>
  <c r="AJ199" i="63"/>
  <c r="AK199" i="63"/>
  <c r="AL199" i="63"/>
  <c r="K200" i="63"/>
  <c r="L200" i="63"/>
  <c r="M200" i="63"/>
  <c r="N200" i="63"/>
  <c r="O200" i="63"/>
  <c r="P200" i="63"/>
  <c r="Q200" i="63"/>
  <c r="R200" i="63"/>
  <c r="S200" i="63"/>
  <c r="T200" i="63"/>
  <c r="U200" i="63"/>
  <c r="V200" i="63"/>
  <c r="W200" i="63"/>
  <c r="X200" i="63"/>
  <c r="Y200" i="63"/>
  <c r="Z200" i="63"/>
  <c r="AA200" i="63"/>
  <c r="AB200" i="63"/>
  <c r="AC200" i="63"/>
  <c r="AD200" i="63"/>
  <c r="AE200" i="63"/>
  <c r="AF200" i="63"/>
  <c r="AG200" i="63"/>
  <c r="AH200" i="63"/>
  <c r="AI200" i="63"/>
  <c r="AJ200" i="63"/>
  <c r="AK200" i="63"/>
  <c r="AL200" i="63"/>
  <c r="K201" i="63"/>
  <c r="L201" i="63"/>
  <c r="M201" i="63"/>
  <c r="N201" i="63"/>
  <c r="O201" i="63"/>
  <c r="P201" i="63"/>
  <c r="Q201" i="63"/>
  <c r="R201" i="63"/>
  <c r="S201" i="63"/>
  <c r="T201" i="63"/>
  <c r="U201" i="63"/>
  <c r="V201" i="63"/>
  <c r="W201" i="63"/>
  <c r="X201" i="63"/>
  <c r="Y201" i="63"/>
  <c r="Z201" i="63"/>
  <c r="AA201" i="63"/>
  <c r="AB201" i="63"/>
  <c r="AC201" i="63"/>
  <c r="AD201" i="63"/>
  <c r="AE201" i="63"/>
  <c r="AF201" i="63"/>
  <c r="AG201" i="63"/>
  <c r="AH201" i="63"/>
  <c r="AI201" i="63"/>
  <c r="AJ201" i="63"/>
  <c r="AK201" i="63"/>
  <c r="AL201" i="63"/>
  <c r="K202" i="63"/>
  <c r="L202" i="63"/>
  <c r="M202" i="63"/>
  <c r="N202" i="63"/>
  <c r="O202" i="63"/>
  <c r="P202" i="63"/>
  <c r="Q202" i="63"/>
  <c r="R202" i="63"/>
  <c r="S202" i="63"/>
  <c r="T202" i="63"/>
  <c r="U202" i="63"/>
  <c r="V202" i="63"/>
  <c r="W202" i="63"/>
  <c r="X202" i="63"/>
  <c r="Y202" i="63"/>
  <c r="Z202" i="63"/>
  <c r="AA202" i="63"/>
  <c r="AB202" i="63"/>
  <c r="AC202" i="63"/>
  <c r="AD202" i="63"/>
  <c r="AE202" i="63"/>
  <c r="AF202" i="63"/>
  <c r="AG202" i="63"/>
  <c r="AH202" i="63"/>
  <c r="AI202" i="63"/>
  <c r="AJ202" i="63"/>
  <c r="AK202" i="63"/>
  <c r="AL202" i="63"/>
  <c r="K203" i="63"/>
  <c r="L203" i="63"/>
  <c r="M203" i="63"/>
  <c r="N203" i="63"/>
  <c r="O203" i="63"/>
  <c r="P203" i="63"/>
  <c r="Q203" i="63"/>
  <c r="R203" i="63"/>
  <c r="S203" i="63"/>
  <c r="T203" i="63"/>
  <c r="U203" i="63"/>
  <c r="V203" i="63"/>
  <c r="W203" i="63"/>
  <c r="X203" i="63"/>
  <c r="Y203" i="63"/>
  <c r="Z203" i="63"/>
  <c r="AA203" i="63"/>
  <c r="AB203" i="63"/>
  <c r="AC203" i="63"/>
  <c r="AD203" i="63"/>
  <c r="AE203" i="63"/>
  <c r="AF203" i="63"/>
  <c r="AG203" i="63"/>
  <c r="AH203" i="63"/>
  <c r="AI203" i="63"/>
  <c r="AJ203" i="63"/>
  <c r="AK203" i="63"/>
  <c r="AL203" i="63"/>
  <c r="K204" i="63"/>
  <c r="L204" i="63"/>
  <c r="M204" i="63"/>
  <c r="N204" i="63"/>
  <c r="O204" i="63"/>
  <c r="P204" i="63"/>
  <c r="Q204" i="63"/>
  <c r="R204" i="63"/>
  <c r="S204" i="63"/>
  <c r="T204" i="63"/>
  <c r="U204" i="63"/>
  <c r="V204" i="63"/>
  <c r="W204" i="63"/>
  <c r="X204" i="63"/>
  <c r="Y204" i="63"/>
  <c r="Z204" i="63"/>
  <c r="AA204" i="63"/>
  <c r="AB204" i="63"/>
  <c r="AC204" i="63"/>
  <c r="AD204" i="63"/>
  <c r="AE204" i="63"/>
  <c r="AF204" i="63"/>
  <c r="AG204" i="63"/>
  <c r="AH204" i="63"/>
  <c r="AI204" i="63"/>
  <c r="AJ204" i="63"/>
  <c r="AK204" i="63"/>
  <c r="AL204" i="63"/>
  <c r="K205" i="63"/>
  <c r="L205" i="63"/>
  <c r="M205" i="63"/>
  <c r="N205" i="63"/>
  <c r="O205" i="63"/>
  <c r="P205" i="63"/>
  <c r="Q205" i="63"/>
  <c r="R205" i="63"/>
  <c r="S205" i="63"/>
  <c r="T205" i="63"/>
  <c r="U205" i="63"/>
  <c r="V205" i="63"/>
  <c r="W205" i="63"/>
  <c r="X205" i="63"/>
  <c r="Y205" i="63"/>
  <c r="Z205" i="63"/>
  <c r="AA205" i="63"/>
  <c r="AB205" i="63"/>
  <c r="AC205" i="63"/>
  <c r="AD205" i="63"/>
  <c r="AE205" i="63"/>
  <c r="AF205" i="63"/>
  <c r="AG205" i="63"/>
  <c r="AH205" i="63"/>
  <c r="AI205" i="63"/>
  <c r="AJ205" i="63"/>
  <c r="AK205" i="63"/>
  <c r="AL205" i="63"/>
  <c r="K206" i="63"/>
  <c r="L206" i="63"/>
  <c r="M206" i="63"/>
  <c r="N206" i="63"/>
  <c r="O206" i="63"/>
  <c r="P206" i="63"/>
  <c r="Q206" i="63"/>
  <c r="R206" i="63"/>
  <c r="S206" i="63"/>
  <c r="T206" i="63"/>
  <c r="U206" i="63"/>
  <c r="V206" i="63"/>
  <c r="W206" i="63"/>
  <c r="X206" i="63"/>
  <c r="Y206" i="63"/>
  <c r="Z206" i="63"/>
  <c r="AA206" i="63"/>
  <c r="AB206" i="63"/>
  <c r="AC206" i="63"/>
  <c r="AD206" i="63"/>
  <c r="AE206" i="63"/>
  <c r="AF206" i="63"/>
  <c r="AG206" i="63"/>
  <c r="AH206" i="63"/>
  <c r="AI206" i="63"/>
  <c r="AJ206" i="63"/>
  <c r="AK206" i="63"/>
  <c r="AL206" i="63"/>
  <c r="K207" i="63"/>
  <c r="L207" i="63"/>
  <c r="M207" i="63"/>
  <c r="N207" i="63"/>
  <c r="O207" i="63"/>
  <c r="P207" i="63"/>
  <c r="Q207" i="63"/>
  <c r="R207" i="63"/>
  <c r="S207" i="63"/>
  <c r="T207" i="63"/>
  <c r="U207" i="63"/>
  <c r="V207" i="63"/>
  <c r="W207" i="63"/>
  <c r="X207" i="63"/>
  <c r="Y207" i="63"/>
  <c r="Z207" i="63"/>
  <c r="AA207" i="63"/>
  <c r="AB207" i="63"/>
  <c r="AC207" i="63"/>
  <c r="AD207" i="63"/>
  <c r="AE207" i="63"/>
  <c r="AF207" i="63"/>
  <c r="AG207" i="63"/>
  <c r="AH207" i="63"/>
  <c r="AI207" i="63"/>
  <c r="AJ207" i="63"/>
  <c r="AK207" i="63"/>
  <c r="AL207" i="63"/>
  <c r="K208" i="63"/>
  <c r="L208" i="63"/>
  <c r="M208" i="63"/>
  <c r="N208" i="63"/>
  <c r="O208" i="63"/>
  <c r="P208" i="63"/>
  <c r="Q208" i="63"/>
  <c r="R208" i="63"/>
  <c r="S208" i="63"/>
  <c r="T208" i="63"/>
  <c r="U208" i="63"/>
  <c r="V208" i="63"/>
  <c r="W208" i="63"/>
  <c r="X208" i="63"/>
  <c r="Y208" i="63"/>
  <c r="Z208" i="63"/>
  <c r="AA208" i="63"/>
  <c r="AB208" i="63"/>
  <c r="AC208" i="63"/>
  <c r="AD208" i="63"/>
  <c r="AE208" i="63"/>
  <c r="AF208" i="63"/>
  <c r="AG208" i="63"/>
  <c r="AH208" i="63"/>
  <c r="AI208" i="63"/>
  <c r="AJ208" i="63"/>
  <c r="AK208" i="63"/>
  <c r="AL208" i="63"/>
  <c r="K209" i="63"/>
  <c r="L209" i="63"/>
  <c r="M209" i="63"/>
  <c r="N209" i="63"/>
  <c r="O209" i="63"/>
  <c r="P209" i="63"/>
  <c r="Q209" i="63"/>
  <c r="R209" i="63"/>
  <c r="S209" i="63"/>
  <c r="T209" i="63"/>
  <c r="U209" i="63"/>
  <c r="V209" i="63"/>
  <c r="W209" i="63"/>
  <c r="X209" i="63"/>
  <c r="Y209" i="63"/>
  <c r="Z209" i="63"/>
  <c r="AA209" i="63"/>
  <c r="AB209" i="63"/>
  <c r="AC209" i="63"/>
  <c r="AD209" i="63"/>
  <c r="AE209" i="63"/>
  <c r="AF209" i="63"/>
  <c r="AG209" i="63"/>
  <c r="AH209" i="63"/>
  <c r="AI209" i="63"/>
  <c r="AJ209" i="63"/>
  <c r="AK209" i="63"/>
  <c r="AL209" i="63"/>
  <c r="K195" i="63"/>
  <c r="L195" i="63"/>
  <c r="M195" i="63"/>
  <c r="N195" i="63"/>
  <c r="O195" i="63"/>
  <c r="P195" i="63"/>
  <c r="Q195" i="63"/>
  <c r="R195" i="63"/>
  <c r="S195" i="63"/>
  <c r="T195" i="63"/>
  <c r="U195" i="63"/>
  <c r="V195" i="63"/>
  <c r="W195" i="63"/>
  <c r="X195" i="63"/>
  <c r="Y195" i="63"/>
  <c r="Z195" i="63"/>
  <c r="AA195" i="63"/>
  <c r="AB195" i="63"/>
  <c r="AC195" i="63"/>
  <c r="AD195" i="63"/>
  <c r="AE195" i="63"/>
  <c r="AF195" i="63"/>
  <c r="AG195" i="63"/>
  <c r="AH195" i="63"/>
  <c r="AI195" i="63"/>
  <c r="AJ195" i="63"/>
  <c r="AK195" i="63"/>
  <c r="AL195" i="63"/>
  <c r="K176" i="63"/>
  <c r="L176" i="63"/>
  <c r="M176" i="63"/>
  <c r="N176" i="63"/>
  <c r="O176" i="63"/>
  <c r="P176" i="63"/>
  <c r="Q176" i="63"/>
  <c r="R176" i="63"/>
  <c r="S176" i="63"/>
  <c r="T176" i="63"/>
  <c r="U176" i="63"/>
  <c r="V176" i="63"/>
  <c r="W176" i="63"/>
  <c r="X176" i="63"/>
  <c r="Y176" i="63"/>
  <c r="Z176" i="63"/>
  <c r="AA176" i="63"/>
  <c r="AB176" i="63"/>
  <c r="AC176" i="63"/>
  <c r="AD176" i="63"/>
  <c r="AE176" i="63"/>
  <c r="AF176" i="63"/>
  <c r="AG176" i="63"/>
  <c r="AH176" i="63"/>
  <c r="AI176" i="63"/>
  <c r="AJ176" i="63"/>
  <c r="AK176" i="63"/>
  <c r="AL176" i="63"/>
  <c r="K177" i="63"/>
  <c r="L177" i="63"/>
  <c r="M177" i="63"/>
  <c r="N177" i="63"/>
  <c r="O177" i="63"/>
  <c r="P177" i="63"/>
  <c r="Q177" i="63"/>
  <c r="R177" i="63"/>
  <c r="S177" i="63"/>
  <c r="T177" i="63"/>
  <c r="U177" i="63"/>
  <c r="V177" i="63"/>
  <c r="W177" i="63"/>
  <c r="X177" i="63"/>
  <c r="Y177" i="63"/>
  <c r="Z177" i="63"/>
  <c r="AA177" i="63"/>
  <c r="AB177" i="63"/>
  <c r="AC177" i="63"/>
  <c r="AD177" i="63"/>
  <c r="AE177" i="63"/>
  <c r="AF177" i="63"/>
  <c r="AG177" i="63"/>
  <c r="AH177" i="63"/>
  <c r="AI177" i="63"/>
  <c r="AJ177" i="63"/>
  <c r="AK177" i="63"/>
  <c r="AL177" i="63"/>
  <c r="K178" i="63"/>
  <c r="L178" i="63"/>
  <c r="M178" i="63"/>
  <c r="N178" i="63"/>
  <c r="O178" i="63"/>
  <c r="P178" i="63"/>
  <c r="Q178" i="63"/>
  <c r="R178" i="63"/>
  <c r="S178" i="63"/>
  <c r="T178" i="63"/>
  <c r="U178" i="63"/>
  <c r="V178" i="63"/>
  <c r="W178" i="63"/>
  <c r="X178" i="63"/>
  <c r="Y178" i="63"/>
  <c r="Z178" i="63"/>
  <c r="AA178" i="63"/>
  <c r="AB178" i="63"/>
  <c r="AC178" i="63"/>
  <c r="AD178" i="63"/>
  <c r="AE178" i="63"/>
  <c r="AF178" i="63"/>
  <c r="AG178" i="63"/>
  <c r="AH178" i="63"/>
  <c r="AI178" i="63"/>
  <c r="AJ178" i="63"/>
  <c r="AK178" i="63"/>
  <c r="AL178" i="63"/>
  <c r="K179" i="63"/>
  <c r="L179" i="63"/>
  <c r="M179" i="63"/>
  <c r="N179" i="63"/>
  <c r="O179" i="63"/>
  <c r="P179" i="63"/>
  <c r="Q179" i="63"/>
  <c r="R179" i="63"/>
  <c r="S179" i="63"/>
  <c r="T179" i="63"/>
  <c r="U179" i="63"/>
  <c r="V179" i="63"/>
  <c r="W179" i="63"/>
  <c r="X179" i="63"/>
  <c r="Y179" i="63"/>
  <c r="Z179" i="63"/>
  <c r="AA179" i="63"/>
  <c r="AB179" i="63"/>
  <c r="AC179" i="63"/>
  <c r="AD179" i="63"/>
  <c r="AE179" i="63"/>
  <c r="AF179" i="63"/>
  <c r="AG179" i="63"/>
  <c r="AH179" i="63"/>
  <c r="AI179" i="63"/>
  <c r="AJ179" i="63"/>
  <c r="AK179" i="63"/>
  <c r="AL179" i="63"/>
  <c r="K180" i="63"/>
  <c r="L180" i="63"/>
  <c r="M180" i="63"/>
  <c r="N180" i="63"/>
  <c r="O180" i="63"/>
  <c r="P180" i="63"/>
  <c r="Q180" i="63"/>
  <c r="R180" i="63"/>
  <c r="S180" i="63"/>
  <c r="T180" i="63"/>
  <c r="U180" i="63"/>
  <c r="V180" i="63"/>
  <c r="W180" i="63"/>
  <c r="X180" i="63"/>
  <c r="Y180" i="63"/>
  <c r="Z180" i="63"/>
  <c r="AA180" i="63"/>
  <c r="AB180" i="63"/>
  <c r="AC180" i="63"/>
  <c r="AD180" i="63"/>
  <c r="AE180" i="63"/>
  <c r="AF180" i="63"/>
  <c r="AG180" i="63"/>
  <c r="AH180" i="63"/>
  <c r="AI180" i="63"/>
  <c r="AJ180" i="63"/>
  <c r="AK180" i="63"/>
  <c r="AL180" i="63"/>
  <c r="K181" i="63"/>
  <c r="L181" i="63"/>
  <c r="M181" i="63"/>
  <c r="N181" i="63"/>
  <c r="O181" i="63"/>
  <c r="P181" i="63"/>
  <c r="Q181" i="63"/>
  <c r="R181" i="63"/>
  <c r="S181" i="63"/>
  <c r="T181" i="63"/>
  <c r="U181" i="63"/>
  <c r="V181" i="63"/>
  <c r="W181" i="63"/>
  <c r="X181" i="63"/>
  <c r="Y181" i="63"/>
  <c r="Z181" i="63"/>
  <c r="AA181" i="63"/>
  <c r="AB181" i="63"/>
  <c r="AC181" i="63"/>
  <c r="AD181" i="63"/>
  <c r="AE181" i="63"/>
  <c r="AF181" i="63"/>
  <c r="AG181" i="63"/>
  <c r="AH181" i="63"/>
  <c r="AI181" i="63"/>
  <c r="AJ181" i="63"/>
  <c r="AK181" i="63"/>
  <c r="AL181" i="63"/>
  <c r="K182" i="63"/>
  <c r="L182" i="63"/>
  <c r="M182" i="63"/>
  <c r="N182" i="63"/>
  <c r="O182" i="63"/>
  <c r="P182" i="63"/>
  <c r="Q182" i="63"/>
  <c r="R182" i="63"/>
  <c r="S182" i="63"/>
  <c r="T182" i="63"/>
  <c r="U182" i="63"/>
  <c r="V182" i="63"/>
  <c r="W182" i="63"/>
  <c r="X182" i="63"/>
  <c r="Y182" i="63"/>
  <c r="Z182" i="63"/>
  <c r="AA182" i="63"/>
  <c r="AB182" i="63"/>
  <c r="AC182" i="63"/>
  <c r="AD182" i="63"/>
  <c r="AE182" i="63"/>
  <c r="AF182" i="63"/>
  <c r="AG182" i="63"/>
  <c r="AH182" i="63"/>
  <c r="AI182" i="63"/>
  <c r="AJ182" i="63"/>
  <c r="AK182" i="63"/>
  <c r="AL182" i="63"/>
  <c r="K183" i="63"/>
  <c r="L183" i="63"/>
  <c r="M183" i="63"/>
  <c r="N183" i="63"/>
  <c r="O183" i="63"/>
  <c r="P183" i="63"/>
  <c r="Q183" i="63"/>
  <c r="R183" i="63"/>
  <c r="S183" i="63"/>
  <c r="T183" i="63"/>
  <c r="U183" i="63"/>
  <c r="V183" i="63"/>
  <c r="W183" i="63"/>
  <c r="X183" i="63"/>
  <c r="Y183" i="63"/>
  <c r="Z183" i="63"/>
  <c r="AA183" i="63"/>
  <c r="AB183" i="63"/>
  <c r="AC183" i="63"/>
  <c r="AD183" i="63"/>
  <c r="AE183" i="63"/>
  <c r="AF183" i="63"/>
  <c r="AG183" i="63"/>
  <c r="AH183" i="63"/>
  <c r="AI183" i="63"/>
  <c r="AJ183" i="63"/>
  <c r="AK183" i="63"/>
  <c r="AL183" i="63"/>
  <c r="K184" i="63"/>
  <c r="L184" i="63"/>
  <c r="M184" i="63"/>
  <c r="N184" i="63"/>
  <c r="O184" i="63"/>
  <c r="P184" i="63"/>
  <c r="Q184" i="63"/>
  <c r="R184" i="63"/>
  <c r="S184" i="63"/>
  <c r="T184" i="63"/>
  <c r="U184" i="63"/>
  <c r="V184" i="63"/>
  <c r="W184" i="63"/>
  <c r="X184" i="63"/>
  <c r="Y184" i="63"/>
  <c r="Z184" i="63"/>
  <c r="AA184" i="63"/>
  <c r="AB184" i="63"/>
  <c r="AC184" i="63"/>
  <c r="AD184" i="63"/>
  <c r="AE184" i="63"/>
  <c r="AF184" i="63"/>
  <c r="AG184" i="63"/>
  <c r="AH184" i="63"/>
  <c r="AI184" i="63"/>
  <c r="AJ184" i="63"/>
  <c r="AK184" i="63"/>
  <c r="AL184" i="63"/>
  <c r="AL175" i="63"/>
  <c r="AK175" i="63"/>
  <c r="AJ175" i="63"/>
  <c r="AI175" i="63"/>
  <c r="AH175" i="63"/>
  <c r="AG175" i="63"/>
  <c r="AF175" i="63"/>
  <c r="AE175" i="63"/>
  <c r="AD175" i="63"/>
  <c r="AC175" i="63"/>
  <c r="AB175" i="63"/>
  <c r="AA175" i="63"/>
  <c r="Z175" i="63"/>
  <c r="Y175" i="63"/>
  <c r="X175" i="63"/>
  <c r="W175" i="63"/>
  <c r="V175" i="63"/>
  <c r="U175" i="63"/>
  <c r="T175" i="63"/>
  <c r="S175" i="63"/>
  <c r="R175" i="63"/>
  <c r="Q175" i="63"/>
  <c r="P175" i="63"/>
  <c r="O175" i="63"/>
  <c r="N175" i="63"/>
  <c r="M175" i="63"/>
  <c r="L175" i="63"/>
  <c r="K175" i="63"/>
  <c r="K173" i="63"/>
  <c r="L173" i="63"/>
  <c r="M173" i="63"/>
  <c r="N173" i="63"/>
  <c r="O173" i="63"/>
  <c r="P173" i="63"/>
  <c r="Q173" i="63"/>
  <c r="R173" i="63"/>
  <c r="S173" i="63"/>
  <c r="T173" i="63"/>
  <c r="U173" i="63"/>
  <c r="V173" i="63"/>
  <c r="W173" i="63"/>
  <c r="X173" i="63"/>
  <c r="Y173" i="63"/>
  <c r="Z173" i="63"/>
  <c r="AA173" i="63"/>
  <c r="AB173" i="63"/>
  <c r="AC173" i="63"/>
  <c r="AD173" i="63"/>
  <c r="AE173" i="63"/>
  <c r="AF173" i="63"/>
  <c r="AG173" i="63"/>
  <c r="AH173" i="63"/>
  <c r="AI173" i="63"/>
  <c r="AJ173" i="63"/>
  <c r="AK173" i="63"/>
  <c r="AL173" i="63"/>
  <c r="K174" i="63"/>
  <c r="L174" i="63"/>
  <c r="M174" i="63"/>
  <c r="N174" i="63"/>
  <c r="O174" i="63"/>
  <c r="P174" i="63"/>
  <c r="Q174" i="63"/>
  <c r="R174" i="63"/>
  <c r="S174" i="63"/>
  <c r="T174" i="63"/>
  <c r="U174" i="63"/>
  <c r="V174" i="63"/>
  <c r="W174" i="63"/>
  <c r="X174" i="63"/>
  <c r="Y174" i="63"/>
  <c r="Z174" i="63"/>
  <c r="AA174" i="63"/>
  <c r="AB174" i="63"/>
  <c r="AC174" i="63"/>
  <c r="AD174" i="63"/>
  <c r="AE174" i="63"/>
  <c r="AF174" i="63"/>
  <c r="AG174" i="63"/>
  <c r="AH174" i="63"/>
  <c r="AI174" i="63"/>
  <c r="AJ174" i="63"/>
  <c r="AK174" i="63"/>
  <c r="AL174" i="63"/>
  <c r="K155" i="63"/>
  <c r="L155" i="63"/>
  <c r="M155" i="63"/>
  <c r="N155" i="63"/>
  <c r="O155" i="63"/>
  <c r="P155" i="63"/>
  <c r="Q155" i="63"/>
  <c r="R155" i="63"/>
  <c r="S155" i="63"/>
  <c r="T155" i="63"/>
  <c r="U155" i="63"/>
  <c r="V155" i="63"/>
  <c r="W155" i="63"/>
  <c r="X155" i="63"/>
  <c r="Y155" i="63"/>
  <c r="Z155" i="63"/>
  <c r="AA155" i="63"/>
  <c r="AB155" i="63"/>
  <c r="AC155" i="63"/>
  <c r="AD155" i="63"/>
  <c r="AE155" i="63"/>
  <c r="AF155" i="63"/>
  <c r="AG155" i="63"/>
  <c r="AH155" i="63"/>
  <c r="AI155" i="63"/>
  <c r="AJ155" i="63"/>
  <c r="AK155" i="63"/>
  <c r="AL155" i="63"/>
  <c r="K156" i="63"/>
  <c r="L156" i="63"/>
  <c r="M156" i="63"/>
  <c r="N156" i="63"/>
  <c r="O156" i="63"/>
  <c r="P156" i="63"/>
  <c r="Q156" i="63"/>
  <c r="R156" i="63"/>
  <c r="S156" i="63"/>
  <c r="T156" i="63"/>
  <c r="U156" i="63"/>
  <c r="V156" i="63"/>
  <c r="W156" i="63"/>
  <c r="X156" i="63"/>
  <c r="Y156" i="63"/>
  <c r="Z156" i="63"/>
  <c r="AA156" i="63"/>
  <c r="AB156" i="63"/>
  <c r="AC156" i="63"/>
  <c r="AD156" i="63"/>
  <c r="AE156" i="63"/>
  <c r="AF156" i="63"/>
  <c r="AG156" i="63"/>
  <c r="AH156" i="63"/>
  <c r="AI156" i="63"/>
  <c r="AJ156" i="63"/>
  <c r="AK156" i="63"/>
  <c r="AL156" i="63"/>
  <c r="K157" i="63"/>
  <c r="L157" i="63"/>
  <c r="M157" i="63"/>
  <c r="N157" i="63"/>
  <c r="O157" i="63"/>
  <c r="P157" i="63"/>
  <c r="Q157" i="63"/>
  <c r="R157" i="63"/>
  <c r="S157" i="63"/>
  <c r="T157" i="63"/>
  <c r="U157" i="63"/>
  <c r="V157" i="63"/>
  <c r="W157" i="63"/>
  <c r="X157" i="63"/>
  <c r="Y157" i="63"/>
  <c r="Z157" i="63"/>
  <c r="AA157" i="63"/>
  <c r="AB157" i="63"/>
  <c r="AC157" i="63"/>
  <c r="AD157" i="63"/>
  <c r="AE157" i="63"/>
  <c r="AF157" i="63"/>
  <c r="AG157" i="63"/>
  <c r="AH157" i="63"/>
  <c r="AI157" i="63"/>
  <c r="AJ157" i="63"/>
  <c r="AK157" i="63"/>
  <c r="AL157" i="63"/>
  <c r="K158" i="63"/>
  <c r="L158" i="63"/>
  <c r="M158" i="63"/>
  <c r="N158" i="63"/>
  <c r="O158" i="63"/>
  <c r="P158" i="63"/>
  <c r="Q158" i="63"/>
  <c r="R158" i="63"/>
  <c r="S158" i="63"/>
  <c r="T158" i="63"/>
  <c r="U158" i="63"/>
  <c r="V158" i="63"/>
  <c r="W158" i="63"/>
  <c r="X158" i="63"/>
  <c r="Y158" i="63"/>
  <c r="Z158" i="63"/>
  <c r="AA158" i="63"/>
  <c r="AB158" i="63"/>
  <c r="AC158" i="63"/>
  <c r="AD158" i="63"/>
  <c r="AE158" i="63"/>
  <c r="AF158" i="63"/>
  <c r="AG158" i="63"/>
  <c r="AH158" i="63"/>
  <c r="AI158" i="63"/>
  <c r="AJ158" i="63"/>
  <c r="AK158" i="63"/>
  <c r="AL158" i="63"/>
  <c r="K159" i="63"/>
  <c r="L159" i="63"/>
  <c r="M159" i="63"/>
  <c r="N159" i="63"/>
  <c r="O159" i="63"/>
  <c r="P159" i="63"/>
  <c r="Q159" i="63"/>
  <c r="R159" i="63"/>
  <c r="S159" i="63"/>
  <c r="T159" i="63"/>
  <c r="U159" i="63"/>
  <c r="V159" i="63"/>
  <c r="W159" i="63"/>
  <c r="X159" i="63"/>
  <c r="Y159" i="63"/>
  <c r="Z159" i="63"/>
  <c r="AA159" i="63"/>
  <c r="AB159" i="63"/>
  <c r="AC159" i="63"/>
  <c r="AD159" i="63"/>
  <c r="AE159" i="63"/>
  <c r="AF159" i="63"/>
  <c r="AG159" i="63"/>
  <c r="AH159" i="63"/>
  <c r="AI159" i="63"/>
  <c r="AJ159" i="63"/>
  <c r="AK159" i="63"/>
  <c r="AL159" i="63"/>
  <c r="K160" i="63"/>
  <c r="L160" i="63"/>
  <c r="M160" i="63"/>
  <c r="N160" i="63"/>
  <c r="O160" i="63"/>
  <c r="P160" i="63"/>
  <c r="Q160" i="63"/>
  <c r="R160" i="63"/>
  <c r="S160" i="63"/>
  <c r="T160" i="63"/>
  <c r="U160" i="63"/>
  <c r="V160" i="63"/>
  <c r="W160" i="63"/>
  <c r="X160" i="63"/>
  <c r="Y160" i="63"/>
  <c r="Z160" i="63"/>
  <c r="AA160" i="63"/>
  <c r="AB160" i="63"/>
  <c r="AC160" i="63"/>
  <c r="AD160" i="63"/>
  <c r="AE160" i="63"/>
  <c r="AF160" i="63"/>
  <c r="AG160" i="63"/>
  <c r="AH160" i="63"/>
  <c r="AI160" i="63"/>
  <c r="AJ160" i="63"/>
  <c r="AK160" i="63"/>
  <c r="AL160" i="63"/>
  <c r="K161" i="63"/>
  <c r="L161" i="63"/>
  <c r="M161" i="63"/>
  <c r="N161" i="63"/>
  <c r="O161" i="63"/>
  <c r="P161" i="63"/>
  <c r="Q161" i="63"/>
  <c r="R161" i="63"/>
  <c r="S161" i="63"/>
  <c r="T161" i="63"/>
  <c r="U161" i="63"/>
  <c r="V161" i="63"/>
  <c r="W161" i="63"/>
  <c r="X161" i="63"/>
  <c r="Y161" i="63"/>
  <c r="Z161" i="63"/>
  <c r="AA161" i="63"/>
  <c r="AB161" i="63"/>
  <c r="AC161" i="63"/>
  <c r="AD161" i="63"/>
  <c r="AE161" i="63"/>
  <c r="AF161" i="63"/>
  <c r="AG161" i="63"/>
  <c r="AH161" i="63"/>
  <c r="AI161" i="63"/>
  <c r="AJ161" i="63"/>
  <c r="AK161" i="63"/>
  <c r="AL161" i="63"/>
  <c r="K162" i="63"/>
  <c r="L162" i="63"/>
  <c r="M162" i="63"/>
  <c r="N162" i="63"/>
  <c r="O162" i="63"/>
  <c r="P162" i="63"/>
  <c r="Q162" i="63"/>
  <c r="R162" i="63"/>
  <c r="S162" i="63"/>
  <c r="T162" i="63"/>
  <c r="U162" i="63"/>
  <c r="V162" i="63"/>
  <c r="W162" i="63"/>
  <c r="X162" i="63"/>
  <c r="Y162" i="63"/>
  <c r="Z162" i="63"/>
  <c r="AA162" i="63"/>
  <c r="AB162" i="63"/>
  <c r="AC162" i="63"/>
  <c r="AD162" i="63"/>
  <c r="AE162" i="63"/>
  <c r="AF162" i="63"/>
  <c r="AG162" i="63"/>
  <c r="AH162" i="63"/>
  <c r="AI162" i="63"/>
  <c r="AJ162" i="63"/>
  <c r="AK162" i="63"/>
  <c r="AL162" i="63"/>
  <c r="K163" i="63"/>
  <c r="L163" i="63"/>
  <c r="M163" i="63"/>
  <c r="N163" i="63"/>
  <c r="O163" i="63"/>
  <c r="P163" i="63"/>
  <c r="Q163" i="63"/>
  <c r="R163" i="63"/>
  <c r="S163" i="63"/>
  <c r="T163" i="63"/>
  <c r="U163" i="63"/>
  <c r="V163" i="63"/>
  <c r="W163" i="63"/>
  <c r="X163" i="63"/>
  <c r="Y163" i="63"/>
  <c r="Z163" i="63"/>
  <c r="AA163" i="63"/>
  <c r="AB163" i="63"/>
  <c r="AC163" i="63"/>
  <c r="AD163" i="63"/>
  <c r="AE163" i="63"/>
  <c r="AF163" i="63"/>
  <c r="AG163" i="63"/>
  <c r="AH163" i="63"/>
  <c r="AI163" i="63"/>
  <c r="AJ163" i="63"/>
  <c r="AK163" i="63"/>
  <c r="AL163" i="63"/>
  <c r="K164" i="63"/>
  <c r="L164" i="63"/>
  <c r="M164" i="63"/>
  <c r="N164" i="63"/>
  <c r="O164" i="63"/>
  <c r="P164" i="63"/>
  <c r="Q164" i="63"/>
  <c r="R164" i="63"/>
  <c r="S164" i="63"/>
  <c r="T164" i="63"/>
  <c r="U164" i="63"/>
  <c r="V164" i="63"/>
  <c r="W164" i="63"/>
  <c r="X164" i="63"/>
  <c r="Y164" i="63"/>
  <c r="Z164" i="63"/>
  <c r="AA164" i="63"/>
  <c r="AB164" i="63"/>
  <c r="AC164" i="63"/>
  <c r="AD164" i="63"/>
  <c r="AE164" i="63"/>
  <c r="AF164" i="63"/>
  <c r="AG164" i="63"/>
  <c r="AH164" i="63"/>
  <c r="AI164" i="63"/>
  <c r="AJ164" i="63"/>
  <c r="AK164" i="63"/>
  <c r="AL164" i="63"/>
  <c r="K165" i="63"/>
  <c r="L165" i="63"/>
  <c r="M165" i="63"/>
  <c r="N165" i="63"/>
  <c r="O165" i="63"/>
  <c r="P165" i="63"/>
  <c r="Q165" i="63"/>
  <c r="R165" i="63"/>
  <c r="S165" i="63"/>
  <c r="T165" i="63"/>
  <c r="U165" i="63"/>
  <c r="V165" i="63"/>
  <c r="W165" i="63"/>
  <c r="X165" i="63"/>
  <c r="Y165" i="63"/>
  <c r="Z165" i="63"/>
  <c r="AA165" i="63"/>
  <c r="AB165" i="63"/>
  <c r="AC165" i="63"/>
  <c r="AD165" i="63"/>
  <c r="AE165" i="63"/>
  <c r="AF165" i="63"/>
  <c r="AG165" i="63"/>
  <c r="AH165" i="63"/>
  <c r="AI165" i="63"/>
  <c r="AJ165" i="63"/>
  <c r="AK165" i="63"/>
  <c r="AL165" i="63"/>
  <c r="K166" i="63"/>
  <c r="L166" i="63"/>
  <c r="M166" i="63"/>
  <c r="N166" i="63"/>
  <c r="O166" i="63"/>
  <c r="P166" i="63"/>
  <c r="Q166" i="63"/>
  <c r="R166" i="63"/>
  <c r="S166" i="63"/>
  <c r="T166" i="63"/>
  <c r="U166" i="63"/>
  <c r="V166" i="63"/>
  <c r="W166" i="63"/>
  <c r="X166" i="63"/>
  <c r="Y166" i="63"/>
  <c r="Z166" i="63"/>
  <c r="AA166" i="63"/>
  <c r="AB166" i="63"/>
  <c r="AC166" i="63"/>
  <c r="AD166" i="63"/>
  <c r="AE166" i="63"/>
  <c r="AF166" i="63"/>
  <c r="AG166" i="63"/>
  <c r="AH166" i="63"/>
  <c r="AI166" i="63"/>
  <c r="AJ166" i="63"/>
  <c r="AK166" i="63"/>
  <c r="AL166" i="63"/>
  <c r="K167" i="63"/>
  <c r="K171" i="63" s="1"/>
  <c r="L167" i="63"/>
  <c r="L171" i="63" s="1"/>
  <c r="M167" i="63"/>
  <c r="M171" i="63" s="1"/>
  <c r="N167" i="63"/>
  <c r="N171" i="63" s="1"/>
  <c r="O167" i="63"/>
  <c r="O171" i="63" s="1"/>
  <c r="P167" i="63"/>
  <c r="P171" i="63" s="1"/>
  <c r="Q167" i="63"/>
  <c r="Q171" i="63" s="1"/>
  <c r="S167" i="63"/>
  <c r="S171" i="63" s="1"/>
  <c r="T167" i="63"/>
  <c r="T171" i="63" s="1"/>
  <c r="U167" i="63"/>
  <c r="U171" i="63" s="1"/>
  <c r="V167" i="63"/>
  <c r="V171" i="63" s="1"/>
  <c r="W167" i="63"/>
  <c r="W171" i="63" s="1"/>
  <c r="X167" i="63"/>
  <c r="X171" i="63" s="1"/>
  <c r="Y167" i="63"/>
  <c r="Y171" i="63" s="1"/>
  <c r="Z167" i="63"/>
  <c r="Z171" i="63" s="1"/>
  <c r="AA167" i="63"/>
  <c r="AA171" i="63" s="1"/>
  <c r="AB167" i="63"/>
  <c r="AB171" i="63" s="1"/>
  <c r="AC167" i="63"/>
  <c r="AC171" i="63" s="1"/>
  <c r="AD167" i="63"/>
  <c r="AD171" i="63" s="1"/>
  <c r="AE167" i="63"/>
  <c r="AE171" i="63" s="1"/>
  <c r="AF167" i="63"/>
  <c r="AF171" i="63" s="1"/>
  <c r="AG167" i="63"/>
  <c r="AG171" i="63" s="1"/>
  <c r="AH167" i="63"/>
  <c r="AH171" i="63" s="1"/>
  <c r="AI167" i="63"/>
  <c r="AI171" i="63" s="1"/>
  <c r="AJ167" i="63"/>
  <c r="AJ171" i="63" s="1"/>
  <c r="AK167" i="63"/>
  <c r="AK171" i="63" s="1"/>
  <c r="AL167" i="63"/>
  <c r="AL171" i="63" s="1"/>
  <c r="K168" i="63"/>
  <c r="L168" i="63"/>
  <c r="M168" i="63"/>
  <c r="N168" i="63"/>
  <c r="O168" i="63"/>
  <c r="P168" i="63"/>
  <c r="Q168" i="63"/>
  <c r="R168" i="63"/>
  <c r="S168" i="63"/>
  <c r="T168" i="63"/>
  <c r="U168" i="63"/>
  <c r="V168" i="63"/>
  <c r="W168" i="63"/>
  <c r="X168" i="63"/>
  <c r="Y168" i="63"/>
  <c r="Z168" i="63"/>
  <c r="AA168" i="63"/>
  <c r="AB168" i="63"/>
  <c r="AC168" i="63"/>
  <c r="AD168" i="63"/>
  <c r="AE168" i="63"/>
  <c r="AF168" i="63"/>
  <c r="AG168" i="63"/>
  <c r="AH168" i="63"/>
  <c r="AI168" i="63"/>
  <c r="AJ168" i="63"/>
  <c r="AK168" i="63"/>
  <c r="AL168" i="63"/>
  <c r="K169" i="63"/>
  <c r="L169" i="63"/>
  <c r="M169" i="63"/>
  <c r="N169" i="63"/>
  <c r="O169" i="63"/>
  <c r="P169" i="63"/>
  <c r="Q169" i="63"/>
  <c r="R169" i="63"/>
  <c r="S169" i="63"/>
  <c r="T169" i="63"/>
  <c r="U169" i="63"/>
  <c r="V169" i="63"/>
  <c r="W169" i="63"/>
  <c r="X169" i="63"/>
  <c r="Y169" i="63"/>
  <c r="Z169" i="63"/>
  <c r="AA169" i="63"/>
  <c r="AB169" i="63"/>
  <c r="AC169" i="63"/>
  <c r="AD169" i="63"/>
  <c r="AE169" i="63"/>
  <c r="AF169" i="63"/>
  <c r="AG169" i="63"/>
  <c r="AH169" i="63"/>
  <c r="AI169" i="63"/>
  <c r="AJ169" i="63"/>
  <c r="AK169" i="63"/>
  <c r="AL169" i="63"/>
  <c r="K170" i="63"/>
  <c r="L170" i="63"/>
  <c r="M170" i="63"/>
  <c r="N170" i="63"/>
  <c r="O170" i="63"/>
  <c r="P170" i="63"/>
  <c r="Q170" i="63"/>
  <c r="R170" i="63"/>
  <c r="S170" i="63"/>
  <c r="T170" i="63"/>
  <c r="U170" i="63"/>
  <c r="V170" i="63"/>
  <c r="W170" i="63"/>
  <c r="X170" i="63"/>
  <c r="Y170" i="63"/>
  <c r="Z170" i="63"/>
  <c r="AA170" i="63"/>
  <c r="AB170" i="63"/>
  <c r="AC170" i="63"/>
  <c r="AD170" i="63"/>
  <c r="AE170" i="63"/>
  <c r="AF170" i="63"/>
  <c r="AG170" i="63"/>
  <c r="AH170" i="63"/>
  <c r="AI170" i="63"/>
  <c r="AJ170" i="63"/>
  <c r="AK170" i="63"/>
  <c r="AL170" i="63"/>
  <c r="K172" i="63"/>
  <c r="L172" i="63"/>
  <c r="M172" i="63"/>
  <c r="N172" i="63"/>
  <c r="O172" i="63"/>
  <c r="P172" i="63"/>
  <c r="Q172" i="63"/>
  <c r="R172" i="63"/>
  <c r="S172" i="63"/>
  <c r="T172" i="63"/>
  <c r="U172" i="63"/>
  <c r="V172" i="63"/>
  <c r="W172" i="63"/>
  <c r="X172" i="63"/>
  <c r="Y172" i="63"/>
  <c r="Z172" i="63"/>
  <c r="AA172" i="63"/>
  <c r="AB172" i="63"/>
  <c r="AC172" i="63"/>
  <c r="AD172" i="63"/>
  <c r="AE172" i="63"/>
  <c r="AF172" i="63"/>
  <c r="AG172" i="63"/>
  <c r="AH172" i="63"/>
  <c r="AI172" i="63"/>
  <c r="AJ172" i="63"/>
  <c r="AK172" i="63"/>
  <c r="AL172" i="63"/>
  <c r="K148" i="63"/>
  <c r="L148" i="63"/>
  <c r="M148" i="63"/>
  <c r="N148" i="63"/>
  <c r="O148" i="63"/>
  <c r="P148" i="63"/>
  <c r="Q148" i="63"/>
  <c r="R148" i="63"/>
  <c r="S148" i="63"/>
  <c r="T148" i="63"/>
  <c r="U148" i="63"/>
  <c r="V148" i="63"/>
  <c r="W148" i="63"/>
  <c r="X148" i="63"/>
  <c r="Y148" i="63"/>
  <c r="Z148" i="63"/>
  <c r="AA148" i="63"/>
  <c r="AB148" i="63"/>
  <c r="AC148" i="63"/>
  <c r="AD148" i="63"/>
  <c r="AE148" i="63"/>
  <c r="AF148" i="63"/>
  <c r="AG148" i="63"/>
  <c r="AH148" i="63"/>
  <c r="AI148" i="63"/>
  <c r="AJ148" i="63"/>
  <c r="AK148" i="63"/>
  <c r="AL148" i="63"/>
  <c r="K149" i="63"/>
  <c r="L149" i="63"/>
  <c r="M149" i="63"/>
  <c r="N149" i="63"/>
  <c r="O149" i="63"/>
  <c r="P149" i="63"/>
  <c r="Q149" i="63"/>
  <c r="R149" i="63"/>
  <c r="S149" i="63"/>
  <c r="T149" i="63"/>
  <c r="U149" i="63"/>
  <c r="V149" i="63"/>
  <c r="W149" i="63"/>
  <c r="X149" i="63"/>
  <c r="Y149" i="63"/>
  <c r="Z149" i="63"/>
  <c r="AA149" i="63"/>
  <c r="AB149" i="63"/>
  <c r="AC149" i="63"/>
  <c r="AD149" i="63"/>
  <c r="AE149" i="63"/>
  <c r="AF149" i="63"/>
  <c r="AG149" i="63"/>
  <c r="AH149" i="63"/>
  <c r="AI149" i="63"/>
  <c r="AJ149" i="63"/>
  <c r="AK149" i="63"/>
  <c r="AL149" i="63"/>
  <c r="K150" i="63"/>
  <c r="L150" i="63"/>
  <c r="M150" i="63"/>
  <c r="N150" i="63"/>
  <c r="O150" i="63"/>
  <c r="P150" i="63"/>
  <c r="Q150" i="63"/>
  <c r="R150" i="63"/>
  <c r="S150" i="63"/>
  <c r="T150" i="63"/>
  <c r="U150" i="63"/>
  <c r="V150" i="63"/>
  <c r="W150" i="63"/>
  <c r="X150" i="63"/>
  <c r="Y150" i="63"/>
  <c r="Z150" i="63"/>
  <c r="AA150" i="63"/>
  <c r="AB150" i="63"/>
  <c r="AC150" i="63"/>
  <c r="AD150" i="63"/>
  <c r="AE150" i="63"/>
  <c r="AF150" i="63"/>
  <c r="AG150" i="63"/>
  <c r="AH150" i="63"/>
  <c r="AI150" i="63"/>
  <c r="AJ150" i="63"/>
  <c r="AK150" i="63"/>
  <c r="AL150" i="63"/>
  <c r="K151" i="63"/>
  <c r="L151" i="63"/>
  <c r="M151" i="63"/>
  <c r="N151" i="63"/>
  <c r="O151" i="63"/>
  <c r="P151" i="63"/>
  <c r="Q151" i="63"/>
  <c r="R151" i="63"/>
  <c r="S151" i="63"/>
  <c r="T151" i="63"/>
  <c r="U151" i="63"/>
  <c r="V151" i="63"/>
  <c r="W151" i="63"/>
  <c r="X151" i="63"/>
  <c r="Y151" i="63"/>
  <c r="Z151" i="63"/>
  <c r="AA151" i="63"/>
  <c r="AB151" i="63"/>
  <c r="AC151" i="63"/>
  <c r="AD151" i="63"/>
  <c r="AE151" i="63"/>
  <c r="AF151" i="63"/>
  <c r="AG151" i="63"/>
  <c r="AH151" i="63"/>
  <c r="AI151" i="63"/>
  <c r="AJ151" i="63"/>
  <c r="AK151" i="63"/>
  <c r="AL151" i="63"/>
  <c r="K152" i="63"/>
  <c r="L152" i="63"/>
  <c r="M152" i="63"/>
  <c r="N152" i="63"/>
  <c r="O152" i="63"/>
  <c r="P152" i="63"/>
  <c r="Q152" i="63"/>
  <c r="R152" i="63"/>
  <c r="S152" i="63"/>
  <c r="T152" i="63"/>
  <c r="U152" i="63"/>
  <c r="V152" i="63"/>
  <c r="W152" i="63"/>
  <c r="X152" i="63"/>
  <c r="Y152" i="63"/>
  <c r="Z152" i="63"/>
  <c r="AA152" i="63"/>
  <c r="AB152" i="63"/>
  <c r="AC152" i="63"/>
  <c r="AD152" i="63"/>
  <c r="AE152" i="63"/>
  <c r="AF152" i="63"/>
  <c r="AG152" i="63"/>
  <c r="AH152" i="63"/>
  <c r="AI152" i="63"/>
  <c r="AJ152" i="63"/>
  <c r="AK152" i="63"/>
  <c r="AL152" i="63"/>
  <c r="K153" i="63"/>
  <c r="L153" i="63"/>
  <c r="M153" i="63"/>
  <c r="N153" i="63"/>
  <c r="O153" i="63"/>
  <c r="P153" i="63"/>
  <c r="Q153" i="63"/>
  <c r="R153" i="63"/>
  <c r="S153" i="63"/>
  <c r="T153" i="63"/>
  <c r="U153" i="63"/>
  <c r="V153" i="63"/>
  <c r="W153" i="63"/>
  <c r="X153" i="63"/>
  <c r="Y153" i="63"/>
  <c r="Z153" i="63"/>
  <c r="AA153" i="63"/>
  <c r="AB153" i="63"/>
  <c r="AC153" i="63"/>
  <c r="AD153" i="63"/>
  <c r="AE153" i="63"/>
  <c r="AF153" i="63"/>
  <c r="AG153" i="63"/>
  <c r="AH153" i="63"/>
  <c r="AI153" i="63"/>
  <c r="AJ153" i="63"/>
  <c r="AK153" i="63"/>
  <c r="AL153" i="63"/>
  <c r="K154" i="63"/>
  <c r="L154" i="63"/>
  <c r="M154" i="63"/>
  <c r="N154" i="63"/>
  <c r="O154" i="63"/>
  <c r="P154" i="63"/>
  <c r="Q154" i="63"/>
  <c r="R154" i="63"/>
  <c r="S154" i="63"/>
  <c r="T154" i="63"/>
  <c r="U154" i="63"/>
  <c r="V154" i="63"/>
  <c r="W154" i="63"/>
  <c r="X154" i="63"/>
  <c r="Y154" i="63"/>
  <c r="Z154" i="63"/>
  <c r="AA154" i="63"/>
  <c r="AB154" i="63"/>
  <c r="AC154" i="63"/>
  <c r="AD154" i="63"/>
  <c r="AE154" i="63"/>
  <c r="AF154" i="63"/>
  <c r="AG154" i="63"/>
  <c r="AH154" i="63"/>
  <c r="AI154" i="63"/>
  <c r="AJ154" i="63"/>
  <c r="AK154" i="63"/>
  <c r="AL154" i="63"/>
  <c r="K134" i="63"/>
  <c r="L134" i="63"/>
  <c r="M134" i="63"/>
  <c r="N134" i="63"/>
  <c r="O134" i="63"/>
  <c r="P134" i="63"/>
  <c r="Q134" i="63"/>
  <c r="R134" i="63"/>
  <c r="S134" i="63"/>
  <c r="T134" i="63"/>
  <c r="U134" i="63"/>
  <c r="V134" i="63"/>
  <c r="W134" i="63"/>
  <c r="X134" i="63"/>
  <c r="Y134" i="63"/>
  <c r="Z134" i="63"/>
  <c r="AA134" i="63"/>
  <c r="AB134" i="63"/>
  <c r="AC134" i="63"/>
  <c r="AD134" i="63"/>
  <c r="AE134" i="63"/>
  <c r="AF134" i="63"/>
  <c r="AG134" i="63"/>
  <c r="AH134" i="63"/>
  <c r="AI134" i="63"/>
  <c r="AJ134" i="63"/>
  <c r="AK134" i="63"/>
  <c r="AL134" i="63"/>
  <c r="K135" i="63"/>
  <c r="L135" i="63"/>
  <c r="M135" i="63"/>
  <c r="N135" i="63"/>
  <c r="O135" i="63"/>
  <c r="P135" i="63"/>
  <c r="Q135" i="63"/>
  <c r="R135" i="63"/>
  <c r="S135" i="63"/>
  <c r="T135" i="63"/>
  <c r="U135" i="63"/>
  <c r="V135" i="63"/>
  <c r="W135" i="63"/>
  <c r="X135" i="63"/>
  <c r="Y135" i="63"/>
  <c r="Z135" i="63"/>
  <c r="AA135" i="63"/>
  <c r="AB135" i="63"/>
  <c r="AC135" i="63"/>
  <c r="AD135" i="63"/>
  <c r="AE135" i="63"/>
  <c r="AF135" i="63"/>
  <c r="AG135" i="63"/>
  <c r="AH135" i="63"/>
  <c r="AI135" i="63"/>
  <c r="AJ135" i="63"/>
  <c r="AK135" i="63"/>
  <c r="AL135" i="63"/>
  <c r="K136" i="63"/>
  <c r="L136" i="63"/>
  <c r="M136" i="63"/>
  <c r="N136" i="63"/>
  <c r="O136" i="63"/>
  <c r="P136" i="63"/>
  <c r="Q136" i="63"/>
  <c r="R136" i="63"/>
  <c r="S136" i="63"/>
  <c r="T136" i="63"/>
  <c r="U136" i="63"/>
  <c r="V136" i="63"/>
  <c r="W136" i="63"/>
  <c r="X136" i="63"/>
  <c r="Y136" i="63"/>
  <c r="Z136" i="63"/>
  <c r="AA136" i="63"/>
  <c r="AB136" i="63"/>
  <c r="AC136" i="63"/>
  <c r="AD136" i="63"/>
  <c r="AE136" i="63"/>
  <c r="AF136" i="63"/>
  <c r="AG136" i="63"/>
  <c r="AH136" i="63"/>
  <c r="AI136" i="63"/>
  <c r="AJ136" i="63"/>
  <c r="AK136" i="63"/>
  <c r="AL136" i="63"/>
  <c r="K137" i="63"/>
  <c r="L137" i="63"/>
  <c r="M137" i="63"/>
  <c r="N137" i="63"/>
  <c r="O137" i="63"/>
  <c r="P137" i="63"/>
  <c r="Q137" i="63"/>
  <c r="R137" i="63"/>
  <c r="S137" i="63"/>
  <c r="T137" i="63"/>
  <c r="U137" i="63"/>
  <c r="V137" i="63"/>
  <c r="W137" i="63"/>
  <c r="X137" i="63"/>
  <c r="Y137" i="63"/>
  <c r="Z137" i="63"/>
  <c r="AA137" i="63"/>
  <c r="AB137" i="63"/>
  <c r="AC137" i="63"/>
  <c r="AD137" i="63"/>
  <c r="AE137" i="63"/>
  <c r="AF137" i="63"/>
  <c r="AG137" i="63"/>
  <c r="AH137" i="63"/>
  <c r="AI137" i="63"/>
  <c r="AJ137" i="63"/>
  <c r="AK137" i="63"/>
  <c r="AL137" i="63"/>
  <c r="AE133" i="63"/>
  <c r="AF133" i="63"/>
  <c r="AG133" i="63"/>
  <c r="AH133" i="63"/>
  <c r="AI133" i="63"/>
  <c r="AJ133" i="63"/>
  <c r="AK133" i="63"/>
  <c r="AL133" i="63"/>
  <c r="N133" i="63"/>
  <c r="O133" i="63"/>
  <c r="P133" i="63"/>
  <c r="Q133" i="63"/>
  <c r="R133" i="63"/>
  <c r="S133" i="63"/>
  <c r="T133" i="63"/>
  <c r="U133" i="63"/>
  <c r="V133" i="63"/>
  <c r="W133" i="63"/>
  <c r="X133" i="63"/>
  <c r="Y133" i="63"/>
  <c r="Z133" i="63"/>
  <c r="AA133" i="63"/>
  <c r="AB133" i="63"/>
  <c r="AC133" i="63"/>
  <c r="AD133" i="63"/>
  <c r="L133" i="63"/>
  <c r="M133" i="63"/>
  <c r="K133" i="63"/>
  <c r="I121" i="63"/>
  <c r="I122" i="63"/>
  <c r="I123" i="63"/>
  <c r="I124" i="63"/>
  <c r="I125" i="63"/>
  <c r="I120" i="63"/>
  <c r="AE120" i="63" s="1"/>
  <c r="AK191" i="56" s="1"/>
  <c r="W121" i="63"/>
  <c r="AC192" i="56" s="1"/>
  <c r="AC120" i="63"/>
  <c r="AI191" i="56" s="1"/>
  <c r="O114" i="63"/>
  <c r="U185" i="56" s="1"/>
  <c r="Z120" i="63"/>
  <c r="AF191" i="56" s="1"/>
  <c r="AA120" i="63"/>
  <c r="AG191" i="56" s="1"/>
  <c r="AB120" i="63"/>
  <c r="AH191" i="56" s="1"/>
  <c r="AD120" i="63"/>
  <c r="AJ191" i="56" s="1"/>
  <c r="AI120" i="63"/>
  <c r="AO191" i="56" s="1"/>
  <c r="AJ120" i="63"/>
  <c r="AP191" i="56" s="1"/>
  <c r="AL120" i="63"/>
  <c r="AR191" i="56" s="1"/>
  <c r="AK121" i="63"/>
  <c r="AQ192" i="56" s="1"/>
  <c r="V122" i="63"/>
  <c r="AB193" i="56" s="1"/>
  <c r="W122" i="63"/>
  <c r="AC193" i="56" s="1"/>
  <c r="X122" i="63"/>
  <c r="AD193" i="56" s="1"/>
  <c r="Y122" i="63"/>
  <c r="AE193" i="56" s="1"/>
  <c r="Z122" i="63"/>
  <c r="AF193" i="56" s="1"/>
  <c r="AA122" i="63"/>
  <c r="AG193" i="56" s="1"/>
  <c r="AB122" i="63"/>
  <c r="AH193" i="56" s="1"/>
  <c r="AC122" i="63"/>
  <c r="AI193" i="56" s="1"/>
  <c r="AD122" i="63"/>
  <c r="AJ193" i="56" s="1"/>
  <c r="AE122" i="63"/>
  <c r="AK193" i="56" s="1"/>
  <c r="AF122" i="63"/>
  <c r="AL193" i="56" s="1"/>
  <c r="AG122" i="63"/>
  <c r="AM193" i="56" s="1"/>
  <c r="AH122" i="63"/>
  <c r="AN193" i="56" s="1"/>
  <c r="AI122" i="63"/>
  <c r="AO193" i="56" s="1"/>
  <c r="AJ122" i="63"/>
  <c r="AP193" i="56" s="1"/>
  <c r="AK122" i="63"/>
  <c r="AQ193" i="56" s="1"/>
  <c r="AL122" i="63"/>
  <c r="AR193" i="56" s="1"/>
  <c r="V123" i="63"/>
  <c r="AB194" i="56" s="1"/>
  <c r="W123" i="63"/>
  <c r="AC194" i="56" s="1"/>
  <c r="X123" i="63"/>
  <c r="AD194" i="56" s="1"/>
  <c r="Y123" i="63"/>
  <c r="AE194" i="56" s="1"/>
  <c r="Z123" i="63"/>
  <c r="AF194" i="56" s="1"/>
  <c r="AA123" i="63"/>
  <c r="AG194" i="56" s="1"/>
  <c r="AB123" i="63"/>
  <c r="AH194" i="56" s="1"/>
  <c r="AC123" i="63"/>
  <c r="AI194" i="56" s="1"/>
  <c r="AD123" i="63"/>
  <c r="AJ194" i="56" s="1"/>
  <c r="AE123" i="63"/>
  <c r="AK194" i="56" s="1"/>
  <c r="AF123" i="63"/>
  <c r="AL194" i="56" s="1"/>
  <c r="AG123" i="63"/>
  <c r="AM194" i="56" s="1"/>
  <c r="AH123" i="63"/>
  <c r="AN194" i="56" s="1"/>
  <c r="AI123" i="63"/>
  <c r="AO194" i="56" s="1"/>
  <c r="AJ123" i="63"/>
  <c r="AP194" i="56" s="1"/>
  <c r="AK123" i="63"/>
  <c r="AQ194" i="56" s="1"/>
  <c r="AL123" i="63"/>
  <c r="AR194" i="56" s="1"/>
  <c r="V124" i="63"/>
  <c r="AB195" i="56" s="1"/>
  <c r="W124" i="63"/>
  <c r="AC195" i="56" s="1"/>
  <c r="X124" i="63"/>
  <c r="AD195" i="56" s="1"/>
  <c r="Y124" i="63"/>
  <c r="AE195" i="56" s="1"/>
  <c r="Z124" i="63"/>
  <c r="AF195" i="56" s="1"/>
  <c r="AA124" i="63"/>
  <c r="AG195" i="56" s="1"/>
  <c r="AB124" i="63"/>
  <c r="AH195" i="56" s="1"/>
  <c r="AC124" i="63"/>
  <c r="AI195" i="56" s="1"/>
  <c r="AD124" i="63"/>
  <c r="AJ195" i="56" s="1"/>
  <c r="AE124" i="63"/>
  <c r="AK195" i="56" s="1"/>
  <c r="AF124" i="63"/>
  <c r="AL195" i="56" s="1"/>
  <c r="AG124" i="63"/>
  <c r="AM195" i="56" s="1"/>
  <c r="AH124" i="63"/>
  <c r="AN195" i="56" s="1"/>
  <c r="AI124" i="63"/>
  <c r="AO195" i="56" s="1"/>
  <c r="AJ124" i="63"/>
  <c r="AP195" i="56" s="1"/>
  <c r="AK124" i="63"/>
  <c r="AQ195" i="56" s="1"/>
  <c r="AL124" i="63"/>
  <c r="AR195" i="56" s="1"/>
  <c r="V125" i="63"/>
  <c r="AB196" i="56" s="1"/>
  <c r="W125" i="63"/>
  <c r="AC196" i="56" s="1"/>
  <c r="X125" i="63"/>
  <c r="AD196" i="56" s="1"/>
  <c r="Y125" i="63"/>
  <c r="AE196" i="56" s="1"/>
  <c r="Z125" i="63"/>
  <c r="AF196" i="56" s="1"/>
  <c r="AA125" i="63"/>
  <c r="AG196" i="56" s="1"/>
  <c r="AB125" i="63"/>
  <c r="AH196" i="56" s="1"/>
  <c r="AC125" i="63"/>
  <c r="AI196" i="56" s="1"/>
  <c r="AD125" i="63"/>
  <c r="AJ196" i="56" s="1"/>
  <c r="AE125" i="63"/>
  <c r="AK196" i="56" s="1"/>
  <c r="AF125" i="63"/>
  <c r="AL196" i="56" s="1"/>
  <c r="AG125" i="63"/>
  <c r="AM196" i="56" s="1"/>
  <c r="AH125" i="63"/>
  <c r="AN196" i="56" s="1"/>
  <c r="AI125" i="63"/>
  <c r="AO196" i="56" s="1"/>
  <c r="AJ125" i="63"/>
  <c r="AP196" i="56" s="1"/>
  <c r="AK125" i="63"/>
  <c r="AQ196" i="56" s="1"/>
  <c r="AL125" i="63"/>
  <c r="AR196" i="56" s="1"/>
  <c r="O120" i="63"/>
  <c r="U191" i="56" s="1"/>
  <c r="P120" i="63"/>
  <c r="V191" i="56" s="1"/>
  <c r="Q120" i="63"/>
  <c r="W191" i="56" s="1"/>
  <c r="R120" i="63"/>
  <c r="X191" i="56" s="1"/>
  <c r="N121" i="63"/>
  <c r="T192" i="56" s="1"/>
  <c r="R121" i="63"/>
  <c r="X192" i="56" s="1"/>
  <c r="U121" i="63"/>
  <c r="AA192" i="56" s="1"/>
  <c r="M122" i="63"/>
  <c r="S193" i="56" s="1"/>
  <c r="N122" i="63"/>
  <c r="T193" i="56" s="1"/>
  <c r="O122" i="63"/>
  <c r="U193" i="56" s="1"/>
  <c r="P122" i="63"/>
  <c r="V193" i="56" s="1"/>
  <c r="Q122" i="63"/>
  <c r="W193" i="56" s="1"/>
  <c r="R122" i="63"/>
  <c r="X193" i="56" s="1"/>
  <c r="S122" i="63"/>
  <c r="Y193" i="56" s="1"/>
  <c r="T122" i="63"/>
  <c r="Z193" i="56" s="1"/>
  <c r="U122" i="63"/>
  <c r="AA193" i="56" s="1"/>
  <c r="M123" i="63"/>
  <c r="S194" i="56" s="1"/>
  <c r="N123" i="63"/>
  <c r="T194" i="56" s="1"/>
  <c r="O123" i="63"/>
  <c r="U194" i="56" s="1"/>
  <c r="P123" i="63"/>
  <c r="V194" i="56" s="1"/>
  <c r="Q123" i="63"/>
  <c r="W194" i="56" s="1"/>
  <c r="R123" i="63"/>
  <c r="X194" i="56" s="1"/>
  <c r="S123" i="63"/>
  <c r="Y194" i="56" s="1"/>
  <c r="T123" i="63"/>
  <c r="Z194" i="56" s="1"/>
  <c r="U123" i="63"/>
  <c r="AA194" i="56" s="1"/>
  <c r="M124" i="63"/>
  <c r="S195" i="56" s="1"/>
  <c r="N124" i="63"/>
  <c r="T195" i="56" s="1"/>
  <c r="O124" i="63"/>
  <c r="U195" i="56" s="1"/>
  <c r="P124" i="63"/>
  <c r="V195" i="56" s="1"/>
  <c r="Q124" i="63"/>
  <c r="W195" i="56" s="1"/>
  <c r="R124" i="63"/>
  <c r="X195" i="56" s="1"/>
  <c r="S124" i="63"/>
  <c r="Y195" i="56" s="1"/>
  <c r="T124" i="63"/>
  <c r="Z195" i="56" s="1"/>
  <c r="U124" i="63"/>
  <c r="AA195" i="56" s="1"/>
  <c r="M125" i="63"/>
  <c r="S196" i="56" s="1"/>
  <c r="N125" i="63"/>
  <c r="T196" i="56" s="1"/>
  <c r="O125" i="63"/>
  <c r="U196" i="56" s="1"/>
  <c r="P125" i="63"/>
  <c r="V196" i="56" s="1"/>
  <c r="Q125" i="63"/>
  <c r="W196" i="56" s="1"/>
  <c r="R125" i="63"/>
  <c r="X196" i="56" s="1"/>
  <c r="S125" i="63"/>
  <c r="Y196" i="56" s="1"/>
  <c r="T125" i="63"/>
  <c r="Z196" i="56" s="1"/>
  <c r="U125" i="63"/>
  <c r="AA196" i="56" s="1"/>
  <c r="L120" i="63"/>
  <c r="R191" i="56" s="1"/>
  <c r="L122" i="63"/>
  <c r="R193" i="56" s="1"/>
  <c r="L123" i="63"/>
  <c r="R194" i="56" s="1"/>
  <c r="L124" i="63"/>
  <c r="R195" i="56" s="1"/>
  <c r="L125" i="63"/>
  <c r="R196" i="56" s="1"/>
  <c r="K122" i="63"/>
  <c r="Q193" i="56" s="1"/>
  <c r="K123" i="63"/>
  <c r="Q194" i="56" s="1"/>
  <c r="K124" i="63"/>
  <c r="Q195" i="56" s="1"/>
  <c r="K125" i="63"/>
  <c r="Q196" i="56" s="1"/>
  <c r="K120" i="63"/>
  <c r="Q191" i="56" s="1"/>
  <c r="M114" i="63"/>
  <c r="S185" i="56" s="1"/>
  <c r="N114" i="63"/>
  <c r="T185" i="56" s="1"/>
  <c r="S114" i="63"/>
  <c r="Y185" i="56" s="1"/>
  <c r="T114" i="63"/>
  <c r="Z185" i="56" s="1"/>
  <c r="U114" i="63"/>
  <c r="AA185" i="56" s="1"/>
  <c r="V114" i="63"/>
  <c r="AB185" i="56" s="1"/>
  <c r="AA114" i="63"/>
  <c r="AG185" i="56" s="1"/>
  <c r="AB114" i="63"/>
  <c r="AH185" i="56" s="1"/>
  <c r="AC114" i="63"/>
  <c r="AI185" i="56" s="1"/>
  <c r="AD114" i="63"/>
  <c r="AJ185" i="56" s="1"/>
  <c r="AI114" i="63"/>
  <c r="AO185" i="56" s="1"/>
  <c r="AJ114" i="63"/>
  <c r="AP185" i="56" s="1"/>
  <c r="AK114" i="63"/>
  <c r="AQ185" i="56" s="1"/>
  <c r="AL114" i="63"/>
  <c r="AR185" i="56" s="1"/>
  <c r="L114" i="63"/>
  <c r="R185" i="56" s="1"/>
  <c r="K114" i="63"/>
  <c r="Q185" i="56" s="1"/>
  <c r="I117" i="63"/>
  <c r="I115" i="63"/>
  <c r="K68" i="63"/>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20" i="10"/>
  <c r="N47" i="10"/>
  <c r="N48" i="10"/>
  <c r="N49" i="10"/>
  <c r="N50" i="10"/>
  <c r="N51" i="10"/>
  <c r="N52" i="10"/>
  <c r="N53" i="10"/>
  <c r="N33" i="10"/>
  <c r="N34" i="10"/>
  <c r="N35" i="10"/>
  <c r="N36" i="10"/>
  <c r="N37" i="10"/>
  <c r="N38" i="10"/>
  <c r="N39" i="10"/>
  <c r="N40" i="10"/>
  <c r="N41" i="10"/>
  <c r="N42" i="10"/>
  <c r="N43" i="10"/>
  <c r="N44" i="10"/>
  <c r="N45" i="10"/>
  <c r="N46" i="10"/>
  <c r="N21" i="10"/>
  <c r="N22" i="10"/>
  <c r="N23" i="10"/>
  <c r="N24" i="10"/>
  <c r="N25" i="10"/>
  <c r="N26" i="10"/>
  <c r="N27" i="10"/>
  <c r="N28" i="10"/>
  <c r="N29" i="10"/>
  <c r="N30" i="10"/>
  <c r="N31" i="10"/>
  <c r="N32" i="10"/>
  <c r="N20" i="10"/>
  <c r="E9" i="50"/>
  <c r="E7" i="50"/>
  <c r="K186" i="56"/>
  <c r="K187" i="56"/>
  <c r="K188" i="56"/>
  <c r="K189" i="56"/>
  <c r="K190" i="56"/>
  <c r="K191" i="56"/>
  <c r="K192" i="56"/>
  <c r="K193" i="56"/>
  <c r="K194" i="56"/>
  <c r="K195" i="56"/>
  <c r="K196" i="56"/>
  <c r="K180" i="56"/>
  <c r="K181" i="56"/>
  <c r="K182" i="56"/>
  <c r="K184" i="56"/>
  <c r="K185" i="56"/>
  <c r="D415" i="56"/>
  <c r="M415" i="56" s="1"/>
  <c r="D414" i="56"/>
  <c r="D411" i="56"/>
  <c r="M411" i="56" s="1"/>
  <c r="D410" i="56"/>
  <c r="M410" i="56" s="1"/>
  <c r="D409" i="56"/>
  <c r="M409" i="56" s="1"/>
  <c r="D408" i="56"/>
  <c r="D407" i="56"/>
  <c r="D406" i="56"/>
  <c r="D405" i="56"/>
  <c r="M408" i="56"/>
  <c r="M407" i="56"/>
  <c r="M406" i="56"/>
  <c r="M405" i="56"/>
  <c r="D389" i="56"/>
  <c r="M389" i="56" s="1"/>
  <c r="D390" i="56"/>
  <c r="M390" i="56" s="1"/>
  <c r="D391" i="56"/>
  <c r="M391" i="56" s="1"/>
  <c r="D392" i="56"/>
  <c r="M392" i="56" s="1"/>
  <c r="D393" i="56"/>
  <c r="D394" i="56"/>
  <c r="M394" i="56" s="1"/>
  <c r="D388" i="56"/>
  <c r="M388" i="56" s="1"/>
  <c r="AC173" i="61"/>
  <c r="AE85" i="61"/>
  <c r="AD85" i="61"/>
  <c r="AH85" i="61"/>
  <c r="N85" i="61"/>
  <c r="S85" i="61"/>
  <c r="K85" i="61"/>
  <c r="J85" i="61"/>
  <c r="H85" i="61"/>
  <c r="H74" i="61"/>
  <c r="J74" i="61"/>
  <c r="K74" i="61"/>
  <c r="S74" i="61"/>
  <c r="N74" i="61"/>
  <c r="O74" i="61"/>
  <c r="Y74" i="61"/>
  <c r="Z74" i="61"/>
  <c r="AH74" i="61"/>
  <c r="AD74" i="61"/>
  <c r="AE74" i="61"/>
  <c r="AF74" i="61"/>
  <c r="AG74" i="61"/>
  <c r="D416" i="56"/>
  <c r="M414" i="56"/>
  <c r="D413" i="56"/>
  <c r="M413" i="56" s="1"/>
  <c r="D412" i="56"/>
  <c r="M412" i="56" s="1"/>
  <c r="D404" i="56"/>
  <c r="M404" i="56" s="1"/>
  <c r="D403" i="56"/>
  <c r="M403" i="56" s="1"/>
  <c r="D402" i="56"/>
  <c r="M402" i="56" s="1"/>
  <c r="D401" i="56"/>
  <c r="M401" i="56" s="1"/>
  <c r="D400" i="56"/>
  <c r="M400" i="56" s="1"/>
  <c r="D399" i="56"/>
  <c r="M399" i="56" s="1"/>
  <c r="D398" i="56"/>
  <c r="M398" i="56" s="1"/>
  <c r="R115" i="63" l="1"/>
  <c r="X186" i="56" s="1"/>
  <c r="Q115" i="63"/>
  <c r="W186" i="56" s="1"/>
  <c r="S115" i="63"/>
  <c r="Y186" i="56" s="1"/>
  <c r="T115" i="63"/>
  <c r="Z186" i="56" s="1"/>
  <c r="Y115" i="63"/>
  <c r="AE186" i="56" s="1"/>
  <c r="AA115" i="63"/>
  <c r="AG186" i="56" s="1"/>
  <c r="AB115" i="63"/>
  <c r="AH186" i="56" s="1"/>
  <c r="AG115" i="63"/>
  <c r="AM186" i="56" s="1"/>
  <c r="AI115" i="63"/>
  <c r="AO186" i="56" s="1"/>
  <c r="AJ115" i="63"/>
  <c r="AP186" i="56" s="1"/>
  <c r="Q117" i="63"/>
  <c r="W188" i="56" s="1"/>
  <c r="M117" i="63"/>
  <c r="S188" i="56" s="1"/>
  <c r="N117" i="63"/>
  <c r="T188" i="56" s="1"/>
  <c r="O117" i="63"/>
  <c r="U188" i="56" s="1"/>
  <c r="P117" i="63"/>
  <c r="V188" i="56" s="1"/>
  <c r="U117" i="63"/>
  <c r="AA188" i="56" s="1"/>
  <c r="V117" i="63"/>
  <c r="AB188" i="56" s="1"/>
  <c r="W117" i="63"/>
  <c r="AC188" i="56" s="1"/>
  <c r="X117" i="63"/>
  <c r="AD188" i="56" s="1"/>
  <c r="AC117" i="63"/>
  <c r="AI188" i="56" s="1"/>
  <c r="AD117" i="63"/>
  <c r="AJ188" i="56" s="1"/>
  <c r="AE117" i="63"/>
  <c r="AK188" i="56" s="1"/>
  <c r="AF117" i="63"/>
  <c r="AL188" i="56" s="1"/>
  <c r="AI117" i="63"/>
  <c r="AO188" i="56" s="1"/>
  <c r="AK117" i="63"/>
  <c r="AQ188" i="56" s="1"/>
  <c r="AL117" i="63"/>
  <c r="AR188" i="56" s="1"/>
  <c r="L117" i="63"/>
  <c r="R188" i="56" s="1"/>
  <c r="K117" i="63"/>
  <c r="Q188" i="56" s="1"/>
  <c r="I119" i="63"/>
  <c r="S116" i="63"/>
  <c r="Y187" i="56" s="1"/>
  <c r="O116" i="63"/>
  <c r="U187" i="56" s="1"/>
  <c r="P116" i="63"/>
  <c r="V187" i="56" s="1"/>
  <c r="Q116" i="63"/>
  <c r="W187" i="56" s="1"/>
  <c r="R116" i="63"/>
  <c r="X187" i="56" s="1"/>
  <c r="W116" i="63"/>
  <c r="AC187" i="56" s="1"/>
  <c r="X116" i="63"/>
  <c r="AD187" i="56" s="1"/>
  <c r="Y116" i="63"/>
  <c r="AE187" i="56" s="1"/>
  <c r="Z116" i="63"/>
  <c r="AF187" i="56" s="1"/>
  <c r="AE116" i="63"/>
  <c r="AK187" i="56" s="1"/>
  <c r="AF116" i="63"/>
  <c r="AL187" i="56" s="1"/>
  <c r="AG116" i="63"/>
  <c r="AM187" i="56" s="1"/>
  <c r="AH116" i="63"/>
  <c r="AN187" i="56" s="1"/>
  <c r="L116" i="63"/>
  <c r="R187" i="56" s="1"/>
  <c r="M121" i="63"/>
  <c r="S192" i="56" s="1"/>
  <c r="N120" i="63"/>
  <c r="T191" i="56" s="1"/>
  <c r="AJ121" i="63"/>
  <c r="AP192" i="56" s="1"/>
  <c r="AH120" i="63"/>
  <c r="AN191" i="56" s="1"/>
  <c r="Y120" i="63"/>
  <c r="AE191" i="56" s="1"/>
  <c r="U120" i="63"/>
  <c r="AA191" i="56" s="1"/>
  <c r="M120" i="63"/>
  <c r="S191" i="56" s="1"/>
  <c r="AD121" i="63"/>
  <c r="AJ192" i="56" s="1"/>
  <c r="AG120" i="63"/>
  <c r="AM191" i="56" s="1"/>
  <c r="X120" i="63"/>
  <c r="AD191" i="56" s="1"/>
  <c r="T120" i="63"/>
  <c r="Z191" i="56" s="1"/>
  <c r="AC121" i="63"/>
  <c r="AI192" i="56" s="1"/>
  <c r="AF120" i="63"/>
  <c r="AL191" i="56" s="1"/>
  <c r="W120" i="63"/>
  <c r="AC191" i="56" s="1"/>
  <c r="S120" i="63"/>
  <c r="Y191" i="56" s="1"/>
  <c r="AB121" i="63"/>
  <c r="AH192" i="56" s="1"/>
  <c r="V121" i="63"/>
  <c r="AB192" i="56" s="1"/>
  <c r="O121" i="63"/>
  <c r="U192" i="56" s="1"/>
  <c r="AL121" i="63"/>
  <c r="AR192" i="56" s="1"/>
  <c r="K121" i="63"/>
  <c r="Q192" i="56" s="1"/>
  <c r="T121" i="63"/>
  <c r="Z192" i="56" s="1"/>
  <c r="AI121" i="63"/>
  <c r="AO192" i="56" s="1"/>
  <c r="AA121" i="63"/>
  <c r="AG192" i="56" s="1"/>
  <c r="L121" i="63"/>
  <c r="R192" i="56" s="1"/>
  <c r="S121" i="63"/>
  <c r="Y192" i="56" s="1"/>
  <c r="AH121" i="63"/>
  <c r="AN192" i="56" s="1"/>
  <c r="Z121" i="63"/>
  <c r="AF192" i="56" s="1"/>
  <c r="AG121" i="63"/>
  <c r="AM192" i="56" s="1"/>
  <c r="Y121" i="63"/>
  <c r="AE192" i="56" s="1"/>
  <c r="Q121" i="63"/>
  <c r="W192" i="56" s="1"/>
  <c r="AF121" i="63"/>
  <c r="AL192" i="56" s="1"/>
  <c r="X121" i="63"/>
  <c r="AD192" i="56" s="1"/>
  <c r="P121" i="63"/>
  <c r="V192" i="56" s="1"/>
  <c r="AE121" i="63"/>
  <c r="AK192" i="56" s="1"/>
  <c r="V120" i="63"/>
  <c r="AB191" i="56" s="1"/>
  <c r="AK120" i="63"/>
  <c r="AQ191" i="56" s="1"/>
  <c r="K118" i="63"/>
  <c r="Q189" i="56" s="1"/>
  <c r="L115" i="63"/>
  <c r="R186" i="56" s="1"/>
  <c r="AF119" i="63"/>
  <c r="AL190" i="56" s="1"/>
  <c r="X119" i="63"/>
  <c r="AD190" i="56" s="1"/>
  <c r="P119" i="63"/>
  <c r="V190" i="56" s="1"/>
  <c r="AH118" i="63"/>
  <c r="AN189" i="56" s="1"/>
  <c r="Z118" i="63"/>
  <c r="AF189" i="56" s="1"/>
  <c r="R118" i="63"/>
  <c r="X189" i="56" s="1"/>
  <c r="AJ117" i="63"/>
  <c r="AP188" i="56" s="1"/>
  <c r="AB117" i="63"/>
  <c r="AH188" i="56" s="1"/>
  <c r="T117" i="63"/>
  <c r="Z188" i="56" s="1"/>
  <c r="AL116" i="63"/>
  <c r="AR187" i="56" s="1"/>
  <c r="AD116" i="63"/>
  <c r="AJ187" i="56" s="1"/>
  <c r="V116" i="63"/>
  <c r="AB187" i="56" s="1"/>
  <c r="N116" i="63"/>
  <c r="T187" i="56" s="1"/>
  <c r="AF115" i="63"/>
  <c r="AL186" i="56" s="1"/>
  <c r="X115" i="63"/>
  <c r="AD186" i="56" s="1"/>
  <c r="P115" i="63"/>
  <c r="V186" i="56" s="1"/>
  <c r="AH114" i="63"/>
  <c r="AN185" i="56" s="1"/>
  <c r="Z114" i="63"/>
  <c r="AF185" i="56" s="1"/>
  <c r="R114" i="63"/>
  <c r="X185" i="56" s="1"/>
  <c r="AE119" i="63"/>
  <c r="AK190" i="56" s="1"/>
  <c r="W119" i="63"/>
  <c r="AC190" i="56" s="1"/>
  <c r="O119" i="63"/>
  <c r="U190" i="56" s="1"/>
  <c r="AG118" i="63"/>
  <c r="AM189" i="56" s="1"/>
  <c r="Y118" i="63"/>
  <c r="AE189" i="56" s="1"/>
  <c r="Q118" i="63"/>
  <c r="W189" i="56" s="1"/>
  <c r="AA117" i="63"/>
  <c r="AG188" i="56" s="1"/>
  <c r="S117" i="63"/>
  <c r="Y188" i="56" s="1"/>
  <c r="AK116" i="63"/>
  <c r="AQ187" i="56" s="1"/>
  <c r="AC116" i="63"/>
  <c r="AI187" i="56" s="1"/>
  <c r="U116" i="63"/>
  <c r="AA187" i="56" s="1"/>
  <c r="M116" i="63"/>
  <c r="S187" i="56" s="1"/>
  <c r="AE115" i="63"/>
  <c r="AK186" i="56" s="1"/>
  <c r="W115" i="63"/>
  <c r="AC186" i="56" s="1"/>
  <c r="O115" i="63"/>
  <c r="U186" i="56" s="1"/>
  <c r="AG114" i="63"/>
  <c r="AM185" i="56" s="1"/>
  <c r="Y114" i="63"/>
  <c r="AE185" i="56" s="1"/>
  <c r="Q114" i="63"/>
  <c r="W185" i="56" s="1"/>
  <c r="K116" i="63"/>
  <c r="Q187" i="56" s="1"/>
  <c r="AL119" i="63"/>
  <c r="AR190" i="56" s="1"/>
  <c r="AD119" i="63"/>
  <c r="AJ190" i="56" s="1"/>
  <c r="V119" i="63"/>
  <c r="AB190" i="56" s="1"/>
  <c r="N119" i="63"/>
  <c r="T190" i="56" s="1"/>
  <c r="AF118" i="63"/>
  <c r="AL189" i="56" s="1"/>
  <c r="X118" i="63"/>
  <c r="AD189" i="56" s="1"/>
  <c r="P118" i="63"/>
  <c r="V189" i="56" s="1"/>
  <c r="AH117" i="63"/>
  <c r="AN188" i="56" s="1"/>
  <c r="Z117" i="63"/>
  <c r="AF188" i="56" s="1"/>
  <c r="R117" i="63"/>
  <c r="X188" i="56" s="1"/>
  <c r="AJ116" i="63"/>
  <c r="AP187" i="56" s="1"/>
  <c r="AB116" i="63"/>
  <c r="AH187" i="56" s="1"/>
  <c r="T116" i="63"/>
  <c r="Z187" i="56" s="1"/>
  <c r="AL115" i="63"/>
  <c r="AR186" i="56" s="1"/>
  <c r="AD115" i="63"/>
  <c r="AJ186" i="56" s="1"/>
  <c r="V115" i="63"/>
  <c r="AB186" i="56" s="1"/>
  <c r="N115" i="63"/>
  <c r="T186" i="56" s="1"/>
  <c r="AF114" i="63"/>
  <c r="AL185" i="56" s="1"/>
  <c r="X114" i="63"/>
  <c r="AD185" i="56" s="1"/>
  <c r="P114" i="63"/>
  <c r="V185" i="56" s="1"/>
  <c r="K115" i="63"/>
  <c r="Q186" i="56" s="1"/>
  <c r="AK119" i="63"/>
  <c r="AQ190" i="56" s="1"/>
  <c r="AC119" i="63"/>
  <c r="AI190" i="56" s="1"/>
  <c r="U119" i="63"/>
  <c r="AA190" i="56" s="1"/>
  <c r="M119" i="63"/>
  <c r="S190" i="56" s="1"/>
  <c r="AE118" i="63"/>
  <c r="AK189" i="56" s="1"/>
  <c r="W118" i="63"/>
  <c r="AC189" i="56" s="1"/>
  <c r="O118" i="63"/>
  <c r="U189" i="56" s="1"/>
  <c r="AG117" i="63"/>
  <c r="AM188" i="56" s="1"/>
  <c r="Y117" i="63"/>
  <c r="AE188" i="56" s="1"/>
  <c r="AI116" i="63"/>
  <c r="AO187" i="56" s="1"/>
  <c r="AA116" i="63"/>
  <c r="AG187" i="56" s="1"/>
  <c r="AK115" i="63"/>
  <c r="AQ186" i="56" s="1"/>
  <c r="AC115" i="63"/>
  <c r="AI186" i="56" s="1"/>
  <c r="U115" i="63"/>
  <c r="AA186" i="56" s="1"/>
  <c r="M115" i="63"/>
  <c r="S186" i="56" s="1"/>
  <c r="AE114" i="63"/>
  <c r="AK185" i="56" s="1"/>
  <c r="W114" i="63"/>
  <c r="AC185" i="56" s="1"/>
  <c r="L119" i="63"/>
  <c r="R190" i="56" s="1"/>
  <c r="AJ119" i="63"/>
  <c r="AP190" i="56" s="1"/>
  <c r="AB119" i="63"/>
  <c r="AH190" i="56" s="1"/>
  <c r="T119" i="63"/>
  <c r="Z190" i="56" s="1"/>
  <c r="AL118" i="63"/>
  <c r="AR189" i="56" s="1"/>
  <c r="AD118" i="63"/>
  <c r="AJ189" i="56" s="1"/>
  <c r="V118" i="63"/>
  <c r="AB189" i="56" s="1"/>
  <c r="N118" i="63"/>
  <c r="T189" i="56" s="1"/>
  <c r="L118" i="63"/>
  <c r="R189" i="56" s="1"/>
  <c r="AI119" i="63"/>
  <c r="AO190" i="56" s="1"/>
  <c r="AA119" i="63"/>
  <c r="AG190" i="56" s="1"/>
  <c r="S119" i="63"/>
  <c r="Y190" i="56" s="1"/>
  <c r="AK118" i="63"/>
  <c r="AQ189" i="56" s="1"/>
  <c r="AC118" i="63"/>
  <c r="AI189" i="56" s="1"/>
  <c r="U118" i="63"/>
  <c r="AA189" i="56" s="1"/>
  <c r="M118" i="63"/>
  <c r="S189" i="56" s="1"/>
  <c r="AH119" i="63"/>
  <c r="AN190" i="56" s="1"/>
  <c r="Z119" i="63"/>
  <c r="AF190" i="56" s="1"/>
  <c r="AJ118" i="63"/>
  <c r="AP189" i="56" s="1"/>
  <c r="AB118" i="63"/>
  <c r="AH189" i="56" s="1"/>
  <c r="AH115" i="63"/>
  <c r="AN186" i="56" s="1"/>
  <c r="Z115" i="63"/>
  <c r="AF186" i="56" s="1"/>
  <c r="M393" i="56"/>
  <c r="O85" i="61"/>
  <c r="AF85" i="61"/>
  <c r="Y85" i="61"/>
  <c r="AG85" i="61"/>
  <c r="Z85" i="61"/>
  <c r="T118" i="63" l="1"/>
  <c r="Z189" i="56" s="1"/>
  <c r="S118" i="63"/>
  <c r="Y189" i="56" s="1"/>
  <c r="AA118" i="63"/>
  <c r="AG189" i="56" s="1"/>
  <c r="AI118" i="63"/>
  <c r="AO189" i="56" s="1"/>
  <c r="R119" i="63"/>
  <c r="X190" i="56" s="1"/>
  <c r="Q119" i="63"/>
  <c r="W190" i="56" s="1"/>
  <c r="Y119" i="63"/>
  <c r="AE190" i="56" s="1"/>
  <c r="AG119" i="63"/>
  <c r="AM190" i="56" s="1"/>
  <c r="K119" i="63"/>
  <c r="Q190" i="56" s="1"/>
  <c r="D395" i="56"/>
  <c r="M395" i="56" s="1"/>
  <c r="F366" i="56"/>
  <c r="G366" i="56"/>
  <c r="F367" i="56"/>
  <c r="G367" i="56"/>
  <c r="F368" i="56"/>
  <c r="G368" i="56"/>
  <c r="F359" i="56"/>
  <c r="G359" i="56"/>
  <c r="F360" i="56"/>
  <c r="G360" i="56"/>
  <c r="F362" i="56"/>
  <c r="G362" i="56"/>
  <c r="F349" i="56"/>
  <c r="G349" i="56"/>
  <c r="F350" i="56"/>
  <c r="G350" i="56"/>
  <c r="F351" i="56"/>
  <c r="G351" i="56"/>
  <c r="F352" i="56"/>
  <c r="G352" i="56"/>
  <c r="F353" i="56"/>
  <c r="G353" i="56"/>
  <c r="F354" i="56"/>
  <c r="G354" i="56"/>
  <c r="F355" i="56"/>
  <c r="G355" i="56"/>
  <c r="F356" i="56"/>
  <c r="G356" i="56"/>
  <c r="F357" i="56"/>
  <c r="G357" i="56"/>
  <c r="F358" i="56"/>
  <c r="G358" i="56"/>
  <c r="F338" i="56"/>
  <c r="G338" i="56"/>
  <c r="F339" i="56"/>
  <c r="G339" i="56"/>
  <c r="F340" i="56"/>
  <c r="G340" i="56"/>
  <c r="F341" i="56"/>
  <c r="G341" i="56"/>
  <c r="F342" i="56"/>
  <c r="G342" i="56"/>
  <c r="F343" i="56"/>
  <c r="G343" i="56"/>
  <c r="F344" i="56"/>
  <c r="G344" i="56"/>
  <c r="F345" i="56"/>
  <c r="G345" i="56"/>
  <c r="F346" i="56"/>
  <c r="G346" i="56"/>
  <c r="F347" i="56"/>
  <c r="G347" i="56"/>
  <c r="F348" i="56"/>
  <c r="G348" i="56"/>
  <c r="F336" i="56"/>
  <c r="G336" i="56"/>
  <c r="F337" i="56"/>
  <c r="G337" i="56"/>
  <c r="Q199" i="56"/>
  <c r="R199" i="56"/>
  <c r="S199" i="56"/>
  <c r="T199" i="56"/>
  <c r="U199" i="56"/>
  <c r="V199" i="56"/>
  <c r="W199" i="56"/>
  <c r="X199" i="56"/>
  <c r="Y199" i="56"/>
  <c r="Z199" i="56"/>
  <c r="AA199" i="56"/>
  <c r="AB199" i="56"/>
  <c r="AC199" i="56"/>
  <c r="AD199" i="56"/>
  <c r="AE199" i="56"/>
  <c r="AF199" i="56"/>
  <c r="AG199" i="56"/>
  <c r="AH199" i="56"/>
  <c r="AI199" i="56"/>
  <c r="AJ199" i="56"/>
  <c r="AK199" i="56"/>
  <c r="AL199" i="56"/>
  <c r="AM199" i="56"/>
  <c r="AN199" i="56"/>
  <c r="AO199" i="56"/>
  <c r="AP199" i="56"/>
  <c r="AQ199" i="56"/>
  <c r="AR199" i="56"/>
  <c r="Q200" i="56"/>
  <c r="R200" i="56"/>
  <c r="S200" i="56"/>
  <c r="T200" i="56"/>
  <c r="U200" i="56"/>
  <c r="V200" i="56"/>
  <c r="W200" i="56"/>
  <c r="X200" i="56"/>
  <c r="Y200" i="56"/>
  <c r="Z200" i="56"/>
  <c r="AA200" i="56"/>
  <c r="AB200" i="56"/>
  <c r="AC200" i="56"/>
  <c r="AD200" i="56"/>
  <c r="AE200" i="56"/>
  <c r="AF200" i="56"/>
  <c r="AG200" i="56"/>
  <c r="AH200" i="56"/>
  <c r="AI200" i="56"/>
  <c r="AJ200" i="56"/>
  <c r="AK200" i="56"/>
  <c r="AL200" i="56"/>
  <c r="AM200" i="56"/>
  <c r="AN200" i="56"/>
  <c r="AO200" i="56"/>
  <c r="AP200" i="56"/>
  <c r="AQ200" i="56"/>
  <c r="AR200" i="56"/>
  <c r="Q201" i="56"/>
  <c r="R201" i="56"/>
  <c r="S201" i="56"/>
  <c r="T201" i="56"/>
  <c r="U201" i="56"/>
  <c r="V201" i="56"/>
  <c r="W201" i="56"/>
  <c r="X201" i="56"/>
  <c r="Y201" i="56"/>
  <c r="Z201" i="56"/>
  <c r="AA201" i="56"/>
  <c r="AB201" i="56"/>
  <c r="AC201" i="56"/>
  <c r="AD201" i="56"/>
  <c r="AE201" i="56"/>
  <c r="AF201" i="56"/>
  <c r="AG201" i="56"/>
  <c r="AH201" i="56"/>
  <c r="AI201" i="56"/>
  <c r="AJ201" i="56"/>
  <c r="AK201" i="56"/>
  <c r="AL201" i="56"/>
  <c r="AM201" i="56"/>
  <c r="AN201" i="56"/>
  <c r="AO201" i="56"/>
  <c r="AP201" i="56"/>
  <c r="AQ201" i="56"/>
  <c r="AR201" i="56"/>
  <c r="Q202" i="56"/>
  <c r="R202" i="56"/>
  <c r="S202" i="56"/>
  <c r="T202" i="56"/>
  <c r="U202" i="56"/>
  <c r="V202" i="56"/>
  <c r="W202" i="56"/>
  <c r="X202" i="56"/>
  <c r="Y202" i="56"/>
  <c r="Z202" i="56"/>
  <c r="AA202" i="56"/>
  <c r="AB202" i="56"/>
  <c r="AC202" i="56"/>
  <c r="AD202" i="56"/>
  <c r="AE202" i="56"/>
  <c r="AF202" i="56"/>
  <c r="AG202" i="56"/>
  <c r="AH202" i="56"/>
  <c r="AI202" i="56"/>
  <c r="AJ202" i="56"/>
  <c r="AK202" i="56"/>
  <c r="AL202" i="56"/>
  <c r="AM202" i="56"/>
  <c r="AN202" i="56"/>
  <c r="AO202" i="56"/>
  <c r="AP202" i="56"/>
  <c r="AQ202" i="56"/>
  <c r="AR202" i="56"/>
  <c r="Q213" i="56"/>
  <c r="R213" i="56"/>
  <c r="S213" i="56"/>
  <c r="T213" i="56"/>
  <c r="U213" i="56"/>
  <c r="V213" i="56"/>
  <c r="W213" i="56"/>
  <c r="X213" i="56"/>
  <c r="Y213" i="56"/>
  <c r="Z213" i="56"/>
  <c r="AA213" i="56"/>
  <c r="AB213" i="56"/>
  <c r="AC213" i="56"/>
  <c r="AD213" i="56"/>
  <c r="AE213" i="56"/>
  <c r="AF213" i="56"/>
  <c r="AG213" i="56"/>
  <c r="AH213" i="56"/>
  <c r="AI213" i="56"/>
  <c r="AJ213" i="56"/>
  <c r="AK213" i="56"/>
  <c r="AL213" i="56"/>
  <c r="AM213" i="56"/>
  <c r="AN213" i="56"/>
  <c r="AO213" i="56"/>
  <c r="AP213" i="56"/>
  <c r="AQ213" i="56"/>
  <c r="AR213" i="56"/>
  <c r="Q214" i="56"/>
  <c r="R214" i="56"/>
  <c r="S214" i="56"/>
  <c r="T214" i="56"/>
  <c r="U214" i="56"/>
  <c r="V214" i="56"/>
  <c r="W214" i="56"/>
  <c r="X214" i="56"/>
  <c r="Y214" i="56"/>
  <c r="Z214" i="56"/>
  <c r="AA214" i="56"/>
  <c r="AB214" i="56"/>
  <c r="AC214" i="56"/>
  <c r="AD214" i="56"/>
  <c r="AE214" i="56"/>
  <c r="AF214" i="56"/>
  <c r="AG214" i="56"/>
  <c r="AH214" i="56"/>
  <c r="AI214" i="56"/>
  <c r="AJ214" i="56"/>
  <c r="AK214" i="56"/>
  <c r="AL214" i="56"/>
  <c r="AM214" i="56"/>
  <c r="AN214" i="56"/>
  <c r="AO214" i="56"/>
  <c r="AP214" i="56"/>
  <c r="AQ214" i="56"/>
  <c r="AR214" i="56"/>
  <c r="Q215" i="56"/>
  <c r="R215" i="56"/>
  <c r="S215" i="56"/>
  <c r="T215" i="56"/>
  <c r="U215" i="56"/>
  <c r="V215" i="56"/>
  <c r="W215" i="56"/>
  <c r="X215" i="56"/>
  <c r="Y215" i="56"/>
  <c r="Z215" i="56"/>
  <c r="AA215" i="56"/>
  <c r="AB215" i="56"/>
  <c r="AC215" i="56"/>
  <c r="AD215" i="56"/>
  <c r="AE215" i="56"/>
  <c r="AF215" i="56"/>
  <c r="AG215" i="56"/>
  <c r="AH215" i="56"/>
  <c r="AI215" i="56"/>
  <c r="AJ215" i="56"/>
  <c r="AK215" i="56"/>
  <c r="AL215" i="56"/>
  <c r="AM215" i="56"/>
  <c r="AN215" i="56"/>
  <c r="AO215" i="56"/>
  <c r="AP215" i="56"/>
  <c r="AQ215" i="56"/>
  <c r="AR215" i="56"/>
  <c r="Q216" i="56"/>
  <c r="R216" i="56"/>
  <c r="S216" i="56"/>
  <c r="T216" i="56"/>
  <c r="U216" i="56"/>
  <c r="V216" i="56"/>
  <c r="W216" i="56"/>
  <c r="X216" i="56"/>
  <c r="Y216" i="56"/>
  <c r="Z216" i="56"/>
  <c r="AA216" i="56"/>
  <c r="AB216" i="56"/>
  <c r="AC216" i="56"/>
  <c r="AD216" i="56"/>
  <c r="AE216" i="56"/>
  <c r="AF216" i="56"/>
  <c r="AG216" i="56"/>
  <c r="AH216" i="56"/>
  <c r="AI216" i="56"/>
  <c r="AJ216" i="56"/>
  <c r="AK216" i="56"/>
  <c r="AL216" i="56"/>
  <c r="AM216" i="56"/>
  <c r="AN216" i="56"/>
  <c r="AO216" i="56"/>
  <c r="AP216" i="56"/>
  <c r="AQ216" i="56"/>
  <c r="AR216" i="56"/>
  <c r="Q217" i="56"/>
  <c r="R217" i="56"/>
  <c r="S217" i="56"/>
  <c r="T217" i="56"/>
  <c r="U217" i="56"/>
  <c r="V217" i="56"/>
  <c r="W217" i="56"/>
  <c r="X217" i="56"/>
  <c r="Y217" i="56"/>
  <c r="Z217" i="56"/>
  <c r="AA217" i="56"/>
  <c r="AB217" i="56"/>
  <c r="AC217" i="56"/>
  <c r="AD217" i="56"/>
  <c r="AE217" i="56"/>
  <c r="AF217" i="56"/>
  <c r="AG217" i="56"/>
  <c r="AH217" i="56"/>
  <c r="AI217" i="56"/>
  <c r="AJ217" i="56"/>
  <c r="AK217" i="56"/>
  <c r="AL217" i="56"/>
  <c r="AM217" i="56"/>
  <c r="AN217" i="56"/>
  <c r="AO217" i="56"/>
  <c r="AP217" i="56"/>
  <c r="AQ217" i="56"/>
  <c r="AR217" i="56"/>
  <c r="Q218" i="56"/>
  <c r="R218" i="56"/>
  <c r="S218" i="56"/>
  <c r="T218" i="56"/>
  <c r="U218" i="56"/>
  <c r="V218" i="56"/>
  <c r="W218" i="56"/>
  <c r="X218" i="56"/>
  <c r="Y218" i="56"/>
  <c r="Z218" i="56"/>
  <c r="AA218" i="56"/>
  <c r="AB218" i="56"/>
  <c r="AC218" i="56"/>
  <c r="AD218" i="56"/>
  <c r="AE218" i="56"/>
  <c r="AF218" i="56"/>
  <c r="AG218" i="56"/>
  <c r="AH218" i="56"/>
  <c r="AI218" i="56"/>
  <c r="AJ218" i="56"/>
  <c r="AK218" i="56"/>
  <c r="AL218" i="56"/>
  <c r="AM218" i="56"/>
  <c r="AN218" i="56"/>
  <c r="AO218" i="56"/>
  <c r="AP218" i="56"/>
  <c r="AQ218" i="56"/>
  <c r="AR218" i="56"/>
  <c r="Q219" i="56"/>
  <c r="R219" i="56"/>
  <c r="S219" i="56"/>
  <c r="T219" i="56"/>
  <c r="U219" i="56"/>
  <c r="V219" i="56"/>
  <c r="W219" i="56"/>
  <c r="X219" i="56"/>
  <c r="Y219" i="56"/>
  <c r="Z219" i="56"/>
  <c r="AA219" i="56"/>
  <c r="AB219" i="56"/>
  <c r="AC219" i="56"/>
  <c r="AD219" i="56"/>
  <c r="AE219" i="56"/>
  <c r="AF219" i="56"/>
  <c r="AG219" i="56"/>
  <c r="AH219" i="56"/>
  <c r="AI219" i="56"/>
  <c r="AJ219" i="56"/>
  <c r="AK219" i="56"/>
  <c r="AL219" i="56"/>
  <c r="AM219" i="56"/>
  <c r="AN219" i="56"/>
  <c r="AO219" i="56"/>
  <c r="AP219" i="56"/>
  <c r="AQ219" i="56"/>
  <c r="AR219" i="56"/>
  <c r="Q220" i="56"/>
  <c r="R220" i="56"/>
  <c r="S220" i="56"/>
  <c r="T220" i="56"/>
  <c r="U220" i="56"/>
  <c r="V220" i="56"/>
  <c r="W220" i="56"/>
  <c r="X220" i="56"/>
  <c r="Y220" i="56"/>
  <c r="Z220" i="56"/>
  <c r="AA220" i="56"/>
  <c r="AB220" i="56"/>
  <c r="AC220" i="56"/>
  <c r="AD220" i="56"/>
  <c r="AE220" i="56"/>
  <c r="AF220" i="56"/>
  <c r="AG220" i="56"/>
  <c r="AH220" i="56"/>
  <c r="AI220" i="56"/>
  <c r="AJ220" i="56"/>
  <c r="AK220" i="56"/>
  <c r="AL220" i="56"/>
  <c r="AM220" i="56"/>
  <c r="AN220" i="56"/>
  <c r="AO220" i="56"/>
  <c r="AP220" i="56"/>
  <c r="AQ220" i="56"/>
  <c r="AR220" i="56"/>
  <c r="Q221" i="56"/>
  <c r="R221" i="56"/>
  <c r="S221" i="56"/>
  <c r="T221" i="56"/>
  <c r="U221" i="56"/>
  <c r="V221" i="56"/>
  <c r="W221" i="56"/>
  <c r="X221" i="56"/>
  <c r="Y221" i="56"/>
  <c r="Z221" i="56"/>
  <c r="AA221" i="56"/>
  <c r="AB221" i="56"/>
  <c r="AC221" i="56"/>
  <c r="AD221" i="56"/>
  <c r="AE221" i="56"/>
  <c r="AF221" i="56"/>
  <c r="AG221" i="56"/>
  <c r="AH221" i="56"/>
  <c r="AI221" i="56"/>
  <c r="AJ221" i="56"/>
  <c r="AK221" i="56"/>
  <c r="AL221" i="56"/>
  <c r="AM221" i="56"/>
  <c r="AN221" i="56"/>
  <c r="AO221" i="56"/>
  <c r="AP221" i="56"/>
  <c r="AQ221" i="56"/>
  <c r="AR221" i="56"/>
  <c r="Q222" i="56"/>
  <c r="R222" i="56"/>
  <c r="S222" i="56"/>
  <c r="T222" i="56"/>
  <c r="U222" i="56"/>
  <c r="V222" i="56"/>
  <c r="W222" i="56"/>
  <c r="X222" i="56"/>
  <c r="Y222" i="56"/>
  <c r="Z222" i="56"/>
  <c r="AA222" i="56"/>
  <c r="AB222" i="56"/>
  <c r="AC222" i="56"/>
  <c r="AD222" i="56"/>
  <c r="AE222" i="56"/>
  <c r="AF222" i="56"/>
  <c r="AG222" i="56"/>
  <c r="AH222" i="56"/>
  <c r="AI222" i="56"/>
  <c r="AJ222" i="56"/>
  <c r="AK222" i="56"/>
  <c r="AL222" i="56"/>
  <c r="AM222" i="56"/>
  <c r="AN222" i="56"/>
  <c r="AO222" i="56"/>
  <c r="AP222" i="56"/>
  <c r="AQ222" i="56"/>
  <c r="AR222" i="56"/>
  <c r="Q223" i="56"/>
  <c r="R223" i="56"/>
  <c r="S223" i="56"/>
  <c r="T223" i="56"/>
  <c r="U223" i="56"/>
  <c r="V223" i="56"/>
  <c r="W223" i="56"/>
  <c r="X223" i="56"/>
  <c r="Y223" i="56"/>
  <c r="Z223" i="56"/>
  <c r="AA223" i="56"/>
  <c r="AB223" i="56"/>
  <c r="AC223" i="56"/>
  <c r="AD223" i="56"/>
  <c r="AE223" i="56"/>
  <c r="AF223" i="56"/>
  <c r="AG223" i="56"/>
  <c r="AH223" i="56"/>
  <c r="AI223" i="56"/>
  <c r="AJ223" i="56"/>
  <c r="AK223" i="56"/>
  <c r="AL223" i="56"/>
  <c r="AM223" i="56"/>
  <c r="AN223" i="56"/>
  <c r="AO223" i="56"/>
  <c r="AP223" i="56"/>
  <c r="AQ223" i="56"/>
  <c r="AR223" i="56"/>
  <c r="Q224" i="56"/>
  <c r="R224" i="56"/>
  <c r="S224" i="56"/>
  <c r="T224" i="56"/>
  <c r="U224" i="56"/>
  <c r="V224" i="56"/>
  <c r="W224" i="56"/>
  <c r="X224" i="56"/>
  <c r="Y224" i="56"/>
  <c r="Z224" i="56"/>
  <c r="AA224" i="56"/>
  <c r="AB224" i="56"/>
  <c r="AC224" i="56"/>
  <c r="AD224" i="56"/>
  <c r="AE224" i="56"/>
  <c r="AF224" i="56"/>
  <c r="AG224" i="56"/>
  <c r="AH224" i="56"/>
  <c r="AI224" i="56"/>
  <c r="AJ224" i="56"/>
  <c r="AK224" i="56"/>
  <c r="AL224" i="56"/>
  <c r="AM224" i="56"/>
  <c r="AN224" i="56"/>
  <c r="AO224" i="56"/>
  <c r="AP224" i="56"/>
  <c r="AQ224" i="56"/>
  <c r="AR224" i="56"/>
  <c r="Q225" i="56"/>
  <c r="R225" i="56"/>
  <c r="S225" i="56"/>
  <c r="T225" i="56"/>
  <c r="U225" i="56"/>
  <c r="V225" i="56"/>
  <c r="W225" i="56"/>
  <c r="X225" i="56"/>
  <c r="Y225" i="56"/>
  <c r="Z225" i="56"/>
  <c r="AA225" i="56"/>
  <c r="AB225" i="56"/>
  <c r="AC225" i="56"/>
  <c r="AD225" i="56"/>
  <c r="AE225" i="56"/>
  <c r="AF225" i="56"/>
  <c r="AG225" i="56"/>
  <c r="AH225" i="56"/>
  <c r="AI225" i="56"/>
  <c r="AJ225" i="56"/>
  <c r="AK225" i="56"/>
  <c r="AL225" i="56"/>
  <c r="AM225" i="56"/>
  <c r="AN225" i="56"/>
  <c r="AO225" i="56"/>
  <c r="AP225" i="56"/>
  <c r="AQ225" i="56"/>
  <c r="AR225" i="56"/>
  <c r="Q226" i="56"/>
  <c r="R226" i="56"/>
  <c r="S226" i="56"/>
  <c r="T226" i="56"/>
  <c r="U226" i="56"/>
  <c r="V226" i="56"/>
  <c r="W226" i="56"/>
  <c r="X226" i="56"/>
  <c r="Y226" i="56"/>
  <c r="Z226" i="56"/>
  <c r="AA226" i="56"/>
  <c r="AB226" i="56"/>
  <c r="AC226" i="56"/>
  <c r="AD226" i="56"/>
  <c r="AE226" i="56"/>
  <c r="AF226" i="56"/>
  <c r="AG226" i="56"/>
  <c r="AH226" i="56"/>
  <c r="AI226" i="56"/>
  <c r="AJ226" i="56"/>
  <c r="AK226" i="56"/>
  <c r="AL226" i="56"/>
  <c r="AM226" i="56"/>
  <c r="AN226" i="56"/>
  <c r="AO226" i="56"/>
  <c r="AP226" i="56"/>
  <c r="AQ226" i="56"/>
  <c r="AR226" i="56"/>
  <c r="Q227" i="56"/>
  <c r="R227" i="56"/>
  <c r="S227" i="56"/>
  <c r="T227" i="56"/>
  <c r="U227" i="56"/>
  <c r="V227" i="56"/>
  <c r="W227" i="56"/>
  <c r="X227" i="56"/>
  <c r="Y227" i="56"/>
  <c r="Z227" i="56"/>
  <c r="AA227" i="56"/>
  <c r="AB227" i="56"/>
  <c r="AC227" i="56"/>
  <c r="AD227" i="56"/>
  <c r="AE227" i="56"/>
  <c r="AF227" i="56"/>
  <c r="AG227" i="56"/>
  <c r="AH227" i="56"/>
  <c r="AI227" i="56"/>
  <c r="AJ227" i="56"/>
  <c r="AK227" i="56"/>
  <c r="AL227" i="56"/>
  <c r="AM227" i="56"/>
  <c r="AN227" i="56"/>
  <c r="AO227" i="56"/>
  <c r="AP227" i="56"/>
  <c r="AQ227" i="56"/>
  <c r="AR227" i="56"/>
  <c r="Q228" i="56"/>
  <c r="R228" i="56"/>
  <c r="S228" i="56"/>
  <c r="T228" i="56"/>
  <c r="U228" i="56"/>
  <c r="V228" i="56"/>
  <c r="W228" i="56"/>
  <c r="X228" i="56"/>
  <c r="Y228" i="56"/>
  <c r="Z228" i="56"/>
  <c r="AA228" i="56"/>
  <c r="AB228" i="56"/>
  <c r="AC228" i="56"/>
  <c r="AD228" i="56"/>
  <c r="AE228" i="56"/>
  <c r="AF228" i="56"/>
  <c r="AG228" i="56"/>
  <c r="AH228" i="56"/>
  <c r="AI228" i="56"/>
  <c r="AJ228" i="56"/>
  <c r="AK228" i="56"/>
  <c r="AL228" i="56"/>
  <c r="AM228" i="56"/>
  <c r="AN228" i="56"/>
  <c r="AO228" i="56"/>
  <c r="AP228" i="56"/>
  <c r="AQ228" i="56"/>
  <c r="AR228" i="56"/>
  <c r="Q229" i="56"/>
  <c r="R229" i="56"/>
  <c r="S229" i="56"/>
  <c r="T229" i="56"/>
  <c r="U229" i="56"/>
  <c r="V229" i="56"/>
  <c r="W229" i="56"/>
  <c r="X229" i="56"/>
  <c r="Y229" i="56"/>
  <c r="Z229" i="56"/>
  <c r="AA229" i="56"/>
  <c r="AB229" i="56"/>
  <c r="AC229" i="56"/>
  <c r="AD229" i="56"/>
  <c r="AE229" i="56"/>
  <c r="AF229" i="56"/>
  <c r="AG229" i="56"/>
  <c r="AH229" i="56"/>
  <c r="AI229" i="56"/>
  <c r="AJ229" i="56"/>
  <c r="AK229" i="56"/>
  <c r="AL229" i="56"/>
  <c r="AM229" i="56"/>
  <c r="AN229" i="56"/>
  <c r="AO229" i="56"/>
  <c r="AP229" i="56"/>
  <c r="AQ229" i="56"/>
  <c r="AR229" i="56"/>
  <c r="Q230" i="56"/>
  <c r="R230" i="56"/>
  <c r="S230" i="56"/>
  <c r="T230" i="56"/>
  <c r="U230" i="56"/>
  <c r="V230" i="56"/>
  <c r="W230" i="56"/>
  <c r="X230" i="56"/>
  <c r="Y230" i="56"/>
  <c r="Z230" i="56"/>
  <c r="AA230" i="56"/>
  <c r="AB230" i="56"/>
  <c r="AC230" i="56"/>
  <c r="AD230" i="56"/>
  <c r="AE230" i="56"/>
  <c r="AF230" i="56"/>
  <c r="AG230" i="56"/>
  <c r="AH230" i="56"/>
  <c r="AI230" i="56"/>
  <c r="AJ230" i="56"/>
  <c r="AK230" i="56"/>
  <c r="AL230" i="56"/>
  <c r="AM230" i="56"/>
  <c r="AN230" i="56"/>
  <c r="AO230" i="56"/>
  <c r="AP230" i="56"/>
  <c r="AQ230" i="56"/>
  <c r="AR230" i="56"/>
  <c r="Q231" i="56"/>
  <c r="R231" i="56"/>
  <c r="S231" i="56"/>
  <c r="T231" i="56"/>
  <c r="U231" i="56"/>
  <c r="V231" i="56"/>
  <c r="W231" i="56"/>
  <c r="X231" i="56"/>
  <c r="Y231" i="56"/>
  <c r="Z231" i="56"/>
  <c r="AA231" i="56"/>
  <c r="AB231" i="56"/>
  <c r="AC231" i="56"/>
  <c r="AD231" i="56"/>
  <c r="AE231" i="56"/>
  <c r="AF231" i="56"/>
  <c r="AG231" i="56"/>
  <c r="AH231" i="56"/>
  <c r="AI231" i="56"/>
  <c r="AJ231" i="56"/>
  <c r="AK231" i="56"/>
  <c r="AL231" i="56"/>
  <c r="AM231" i="56"/>
  <c r="AN231" i="56"/>
  <c r="AO231" i="56"/>
  <c r="AP231" i="56"/>
  <c r="AQ231" i="56"/>
  <c r="AR231" i="56"/>
  <c r="Q232" i="56"/>
  <c r="R232" i="56"/>
  <c r="S232" i="56"/>
  <c r="T232" i="56"/>
  <c r="U232" i="56"/>
  <c r="V232" i="56"/>
  <c r="W232" i="56"/>
  <c r="X232" i="56"/>
  <c r="Y232" i="56"/>
  <c r="Z232" i="56"/>
  <c r="AA232" i="56"/>
  <c r="AB232" i="56"/>
  <c r="AC232" i="56"/>
  <c r="AD232" i="56"/>
  <c r="AE232" i="56"/>
  <c r="AF232" i="56"/>
  <c r="AG232" i="56"/>
  <c r="AH232" i="56"/>
  <c r="AI232" i="56"/>
  <c r="AJ232" i="56"/>
  <c r="AK232" i="56"/>
  <c r="AL232" i="56"/>
  <c r="AM232" i="56"/>
  <c r="AN232" i="56"/>
  <c r="AO232" i="56"/>
  <c r="AP232" i="56"/>
  <c r="AQ232" i="56"/>
  <c r="AR232" i="56"/>
  <c r="Q233" i="56"/>
  <c r="R233" i="56"/>
  <c r="S233" i="56"/>
  <c r="T233" i="56"/>
  <c r="U233" i="56"/>
  <c r="V233" i="56"/>
  <c r="W233" i="56"/>
  <c r="X233" i="56"/>
  <c r="Y233" i="56"/>
  <c r="Z233" i="56"/>
  <c r="AA233" i="56"/>
  <c r="AB233" i="56"/>
  <c r="AC233" i="56"/>
  <c r="AD233" i="56"/>
  <c r="AE233" i="56"/>
  <c r="AF233" i="56"/>
  <c r="AG233" i="56"/>
  <c r="AH233" i="56"/>
  <c r="AI233" i="56"/>
  <c r="AJ233" i="56"/>
  <c r="AK233" i="56"/>
  <c r="AL233" i="56"/>
  <c r="AM233" i="56"/>
  <c r="AN233" i="56"/>
  <c r="AO233" i="56"/>
  <c r="AP233" i="56"/>
  <c r="AQ233" i="56"/>
  <c r="AR233" i="56"/>
  <c r="Q234" i="56"/>
  <c r="R234" i="56"/>
  <c r="S234" i="56"/>
  <c r="T234" i="56"/>
  <c r="U234" i="56"/>
  <c r="V234" i="56"/>
  <c r="W234" i="56"/>
  <c r="X234" i="56"/>
  <c r="Y234" i="56"/>
  <c r="Z234" i="56"/>
  <c r="AA234" i="56"/>
  <c r="AB234" i="56"/>
  <c r="AC234" i="56"/>
  <c r="AD234" i="56"/>
  <c r="AE234" i="56"/>
  <c r="AF234" i="56"/>
  <c r="AG234" i="56"/>
  <c r="AH234" i="56"/>
  <c r="AI234" i="56"/>
  <c r="AJ234" i="56"/>
  <c r="AK234" i="56"/>
  <c r="AL234" i="56"/>
  <c r="AM234" i="56"/>
  <c r="AN234" i="56"/>
  <c r="AO234" i="56"/>
  <c r="AP234" i="56"/>
  <c r="AQ234" i="56"/>
  <c r="AR234" i="56"/>
  <c r="Q235" i="56"/>
  <c r="R235" i="56"/>
  <c r="S235" i="56"/>
  <c r="T235" i="56"/>
  <c r="U235" i="56"/>
  <c r="V235" i="56"/>
  <c r="W235" i="56"/>
  <c r="X235" i="56"/>
  <c r="Y235" i="56"/>
  <c r="Z235" i="56"/>
  <c r="AA235" i="56"/>
  <c r="AB235" i="56"/>
  <c r="AC235" i="56"/>
  <c r="AD235" i="56"/>
  <c r="AE235" i="56"/>
  <c r="AF235" i="56"/>
  <c r="AG235" i="56"/>
  <c r="AH235" i="56"/>
  <c r="AI235" i="56"/>
  <c r="AJ235" i="56"/>
  <c r="AK235" i="56"/>
  <c r="AL235" i="56"/>
  <c r="AM235" i="56"/>
  <c r="AN235" i="56"/>
  <c r="AO235" i="56"/>
  <c r="AP235" i="56"/>
  <c r="AQ235" i="56"/>
  <c r="AR235" i="56"/>
  <c r="Q237" i="56"/>
  <c r="R237" i="56"/>
  <c r="S237" i="56"/>
  <c r="T237" i="56"/>
  <c r="U237" i="56"/>
  <c r="V237" i="56"/>
  <c r="W237" i="56"/>
  <c r="X237" i="56"/>
  <c r="Y237" i="56"/>
  <c r="Z237" i="56"/>
  <c r="AA237" i="56"/>
  <c r="AB237" i="56"/>
  <c r="AC237" i="56"/>
  <c r="AD237" i="56"/>
  <c r="AE237" i="56"/>
  <c r="AF237" i="56"/>
  <c r="AG237" i="56"/>
  <c r="AH237" i="56"/>
  <c r="AI237" i="56"/>
  <c r="AJ237" i="56"/>
  <c r="AK237" i="56"/>
  <c r="AL237" i="56"/>
  <c r="AM237" i="56"/>
  <c r="AN237" i="56"/>
  <c r="AO237" i="56"/>
  <c r="AP237" i="56"/>
  <c r="AQ237" i="56"/>
  <c r="AR237" i="56"/>
  <c r="Q238" i="56"/>
  <c r="R238" i="56"/>
  <c r="S238" i="56"/>
  <c r="T238" i="56"/>
  <c r="U238" i="56"/>
  <c r="V238" i="56"/>
  <c r="W238" i="56"/>
  <c r="X238" i="56"/>
  <c r="Y238" i="56"/>
  <c r="Z238" i="56"/>
  <c r="AA238" i="56"/>
  <c r="AB238" i="56"/>
  <c r="AC238" i="56"/>
  <c r="AD238" i="56"/>
  <c r="AE238" i="56"/>
  <c r="AF238" i="56"/>
  <c r="AG238" i="56"/>
  <c r="AH238" i="56"/>
  <c r="AI238" i="56"/>
  <c r="AJ238" i="56"/>
  <c r="AK238" i="56"/>
  <c r="AL238" i="56"/>
  <c r="AM238" i="56"/>
  <c r="AN238" i="56"/>
  <c r="AO238" i="56"/>
  <c r="AP238" i="56"/>
  <c r="AQ238" i="56"/>
  <c r="AR238" i="56"/>
  <c r="Q239" i="56"/>
  <c r="R239" i="56"/>
  <c r="S239" i="56"/>
  <c r="T239" i="56"/>
  <c r="U239" i="56"/>
  <c r="V239" i="56"/>
  <c r="W239" i="56"/>
  <c r="X239" i="56"/>
  <c r="Y239" i="56"/>
  <c r="Z239" i="56"/>
  <c r="AA239" i="56"/>
  <c r="AB239" i="56"/>
  <c r="AC239" i="56"/>
  <c r="AD239" i="56"/>
  <c r="AE239" i="56"/>
  <c r="AF239" i="56"/>
  <c r="AG239" i="56"/>
  <c r="AH239" i="56"/>
  <c r="AI239" i="56"/>
  <c r="AJ239" i="56"/>
  <c r="AK239" i="56"/>
  <c r="AL239" i="56"/>
  <c r="AM239" i="56"/>
  <c r="AN239" i="56"/>
  <c r="AO239" i="56"/>
  <c r="AP239" i="56"/>
  <c r="AQ239" i="56"/>
  <c r="AR239" i="56"/>
  <c r="Q240" i="56"/>
  <c r="R240" i="56"/>
  <c r="S240" i="56"/>
  <c r="T240" i="56"/>
  <c r="U240" i="56"/>
  <c r="V240" i="56"/>
  <c r="W240" i="56"/>
  <c r="X240" i="56"/>
  <c r="Y240" i="56"/>
  <c r="Z240" i="56"/>
  <c r="AA240" i="56"/>
  <c r="AB240" i="56"/>
  <c r="AC240" i="56"/>
  <c r="AD240" i="56"/>
  <c r="AE240" i="56"/>
  <c r="AF240" i="56"/>
  <c r="AG240" i="56"/>
  <c r="AH240" i="56"/>
  <c r="AI240" i="56"/>
  <c r="AJ240" i="56"/>
  <c r="AK240" i="56"/>
  <c r="AL240" i="56"/>
  <c r="AM240" i="56"/>
  <c r="AN240" i="56"/>
  <c r="AO240" i="56"/>
  <c r="AP240" i="56"/>
  <c r="AQ240" i="56"/>
  <c r="AR240" i="56"/>
  <c r="Q241" i="56"/>
  <c r="R241" i="56"/>
  <c r="S241" i="56"/>
  <c r="T241" i="56"/>
  <c r="U241" i="56"/>
  <c r="V241" i="56"/>
  <c r="W241" i="56"/>
  <c r="X241" i="56"/>
  <c r="Y241" i="56"/>
  <c r="Z241" i="56"/>
  <c r="AA241" i="56"/>
  <c r="AB241" i="56"/>
  <c r="AC241" i="56"/>
  <c r="AD241" i="56"/>
  <c r="AE241" i="56"/>
  <c r="AF241" i="56"/>
  <c r="AG241" i="56"/>
  <c r="AH241" i="56"/>
  <c r="AI241" i="56"/>
  <c r="AJ241" i="56"/>
  <c r="AK241" i="56"/>
  <c r="AL241" i="56"/>
  <c r="AM241" i="56"/>
  <c r="AN241" i="56"/>
  <c r="AO241" i="56"/>
  <c r="AP241" i="56"/>
  <c r="AQ241" i="56"/>
  <c r="AR241" i="56"/>
  <c r="Q242" i="56"/>
  <c r="R242" i="56"/>
  <c r="S242" i="56"/>
  <c r="T242" i="56"/>
  <c r="U242" i="56"/>
  <c r="V242" i="56"/>
  <c r="W242" i="56"/>
  <c r="X242" i="56"/>
  <c r="Y242" i="56"/>
  <c r="Z242" i="56"/>
  <c r="AA242" i="56"/>
  <c r="AB242" i="56"/>
  <c r="AC242" i="56"/>
  <c r="AD242" i="56"/>
  <c r="AE242" i="56"/>
  <c r="AF242" i="56"/>
  <c r="AG242" i="56"/>
  <c r="AH242" i="56"/>
  <c r="AI242" i="56"/>
  <c r="AJ242" i="56"/>
  <c r="AK242" i="56"/>
  <c r="AL242" i="56"/>
  <c r="AM242" i="56"/>
  <c r="AN242" i="56"/>
  <c r="AO242" i="56"/>
  <c r="AP242" i="56"/>
  <c r="AQ242" i="56"/>
  <c r="AR242" i="56"/>
  <c r="Q243" i="56"/>
  <c r="R243" i="56"/>
  <c r="S243" i="56"/>
  <c r="T243" i="56"/>
  <c r="U243" i="56"/>
  <c r="V243" i="56"/>
  <c r="W243" i="56"/>
  <c r="X243" i="56"/>
  <c r="Y243" i="56"/>
  <c r="Z243" i="56"/>
  <c r="AA243" i="56"/>
  <c r="AB243" i="56"/>
  <c r="AC243" i="56"/>
  <c r="AD243" i="56"/>
  <c r="AE243" i="56"/>
  <c r="AF243" i="56"/>
  <c r="AG243" i="56"/>
  <c r="AH243" i="56"/>
  <c r="AI243" i="56"/>
  <c r="AJ243" i="56"/>
  <c r="AK243" i="56"/>
  <c r="AL243" i="56"/>
  <c r="AM243" i="56"/>
  <c r="AN243" i="56"/>
  <c r="AO243" i="56"/>
  <c r="AP243" i="56"/>
  <c r="AQ243" i="56"/>
  <c r="AR243" i="56"/>
  <c r="Q244" i="56"/>
  <c r="R244" i="56"/>
  <c r="S244" i="56"/>
  <c r="T244" i="56"/>
  <c r="U244" i="56"/>
  <c r="V244" i="56"/>
  <c r="W244" i="56"/>
  <c r="X244" i="56"/>
  <c r="Y244" i="56"/>
  <c r="Z244" i="56"/>
  <c r="AA244" i="56"/>
  <c r="AB244" i="56"/>
  <c r="AC244" i="56"/>
  <c r="AD244" i="56"/>
  <c r="AE244" i="56"/>
  <c r="AF244" i="56"/>
  <c r="AG244" i="56"/>
  <c r="AH244" i="56"/>
  <c r="AI244" i="56"/>
  <c r="AJ244" i="56"/>
  <c r="AK244" i="56"/>
  <c r="AL244" i="56"/>
  <c r="AM244" i="56"/>
  <c r="AN244" i="56"/>
  <c r="AO244" i="56"/>
  <c r="AP244" i="56"/>
  <c r="AQ244" i="56"/>
  <c r="AR244" i="56"/>
  <c r="Q245" i="56"/>
  <c r="R245" i="56"/>
  <c r="S245" i="56"/>
  <c r="T245" i="56"/>
  <c r="U245" i="56"/>
  <c r="V245" i="56"/>
  <c r="W245" i="56"/>
  <c r="X245" i="56"/>
  <c r="Y245" i="56"/>
  <c r="Z245" i="56"/>
  <c r="AA245" i="56"/>
  <c r="AB245" i="56"/>
  <c r="AC245" i="56"/>
  <c r="AD245" i="56"/>
  <c r="AE245" i="56"/>
  <c r="AF245" i="56"/>
  <c r="AG245" i="56"/>
  <c r="AH245" i="56"/>
  <c r="AI245" i="56"/>
  <c r="AJ245" i="56"/>
  <c r="AK245" i="56"/>
  <c r="AL245" i="56"/>
  <c r="AM245" i="56"/>
  <c r="AN245" i="56"/>
  <c r="AO245" i="56"/>
  <c r="AP245" i="56"/>
  <c r="AQ245" i="56"/>
  <c r="AR245" i="56"/>
  <c r="Q246" i="56"/>
  <c r="R246" i="56"/>
  <c r="S246" i="56"/>
  <c r="T246" i="56"/>
  <c r="U246" i="56"/>
  <c r="V246" i="56"/>
  <c r="W246" i="56"/>
  <c r="X246" i="56"/>
  <c r="Y246" i="56"/>
  <c r="Z246" i="56"/>
  <c r="AA246" i="56"/>
  <c r="AB246" i="56"/>
  <c r="AC246" i="56"/>
  <c r="AD246" i="56"/>
  <c r="AE246" i="56"/>
  <c r="AF246" i="56"/>
  <c r="AG246" i="56"/>
  <c r="AH246" i="56"/>
  <c r="AI246" i="56"/>
  <c r="AJ246" i="56"/>
  <c r="AK246" i="56"/>
  <c r="AL246" i="56"/>
  <c r="AM246" i="56"/>
  <c r="AN246" i="56"/>
  <c r="AO246" i="56"/>
  <c r="AP246" i="56"/>
  <c r="AQ246" i="56"/>
  <c r="AR246" i="56"/>
  <c r="Q247" i="56"/>
  <c r="R247" i="56"/>
  <c r="S247" i="56"/>
  <c r="T247" i="56"/>
  <c r="U247" i="56"/>
  <c r="V247" i="56"/>
  <c r="W247" i="56"/>
  <c r="X247" i="56"/>
  <c r="Y247" i="56"/>
  <c r="Z247" i="56"/>
  <c r="AA247" i="56"/>
  <c r="AB247" i="56"/>
  <c r="AC247" i="56"/>
  <c r="AD247" i="56"/>
  <c r="AE247" i="56"/>
  <c r="AF247" i="56"/>
  <c r="AG247" i="56"/>
  <c r="AH247" i="56"/>
  <c r="AI247" i="56"/>
  <c r="AJ247" i="56"/>
  <c r="AK247" i="56"/>
  <c r="AL247" i="56"/>
  <c r="AM247" i="56"/>
  <c r="AN247" i="56"/>
  <c r="AO247" i="56"/>
  <c r="AP247" i="56"/>
  <c r="AQ247" i="56"/>
  <c r="AR247" i="56"/>
  <c r="Q248" i="56"/>
  <c r="R248" i="56"/>
  <c r="S248" i="56"/>
  <c r="T248" i="56"/>
  <c r="U248" i="56"/>
  <c r="V248" i="56"/>
  <c r="W248" i="56"/>
  <c r="X248" i="56"/>
  <c r="Y248" i="56"/>
  <c r="Z248" i="56"/>
  <c r="AA248" i="56"/>
  <c r="AB248" i="56"/>
  <c r="AC248" i="56"/>
  <c r="AD248" i="56"/>
  <c r="AE248" i="56"/>
  <c r="AF248" i="56"/>
  <c r="AG248" i="56"/>
  <c r="AH248" i="56"/>
  <c r="AI248" i="56"/>
  <c r="AJ248" i="56"/>
  <c r="AK248" i="56"/>
  <c r="AL248" i="56"/>
  <c r="AM248" i="56"/>
  <c r="AN248" i="56"/>
  <c r="AO248" i="56"/>
  <c r="AP248" i="56"/>
  <c r="AQ248" i="56"/>
  <c r="AR248" i="56"/>
  <c r="Q249" i="56"/>
  <c r="R249" i="56"/>
  <c r="S249" i="56"/>
  <c r="T249" i="56"/>
  <c r="U249" i="56"/>
  <c r="V249" i="56"/>
  <c r="W249" i="56"/>
  <c r="X249" i="56"/>
  <c r="Y249" i="56"/>
  <c r="Z249" i="56"/>
  <c r="AA249" i="56"/>
  <c r="AB249" i="56"/>
  <c r="AC249" i="56"/>
  <c r="AD249" i="56"/>
  <c r="AE249" i="56"/>
  <c r="AF249" i="56"/>
  <c r="AG249" i="56"/>
  <c r="AH249" i="56"/>
  <c r="AI249" i="56"/>
  <c r="AJ249" i="56"/>
  <c r="AK249" i="56"/>
  <c r="AL249" i="56"/>
  <c r="AM249" i="56"/>
  <c r="AN249" i="56"/>
  <c r="AO249" i="56"/>
  <c r="AP249" i="56"/>
  <c r="AQ249" i="56"/>
  <c r="AR249" i="56"/>
  <c r="Q260" i="56"/>
  <c r="R260" i="56"/>
  <c r="S260" i="56"/>
  <c r="T260" i="56"/>
  <c r="U260" i="56"/>
  <c r="V260" i="56"/>
  <c r="W260" i="56"/>
  <c r="X260" i="56"/>
  <c r="Y260" i="56"/>
  <c r="Z260" i="56"/>
  <c r="AA260" i="56"/>
  <c r="AB260" i="56"/>
  <c r="AC260" i="56"/>
  <c r="AD260" i="56"/>
  <c r="AE260" i="56"/>
  <c r="AF260" i="56"/>
  <c r="AG260" i="56"/>
  <c r="AH260" i="56"/>
  <c r="AI260" i="56"/>
  <c r="AJ260" i="56"/>
  <c r="AK260" i="56"/>
  <c r="AL260" i="56"/>
  <c r="AM260" i="56"/>
  <c r="AN260" i="56"/>
  <c r="AO260" i="56"/>
  <c r="AP260" i="56"/>
  <c r="AQ260" i="56"/>
  <c r="AR260" i="56"/>
  <c r="Q261" i="56"/>
  <c r="R261" i="56"/>
  <c r="S261" i="56"/>
  <c r="T261" i="56"/>
  <c r="U261" i="56"/>
  <c r="V261" i="56"/>
  <c r="W261" i="56"/>
  <c r="X261" i="56"/>
  <c r="Y261" i="56"/>
  <c r="Z261" i="56"/>
  <c r="AA261" i="56"/>
  <c r="AB261" i="56"/>
  <c r="AC261" i="56"/>
  <c r="AD261" i="56"/>
  <c r="AE261" i="56"/>
  <c r="AF261" i="56"/>
  <c r="AG261" i="56"/>
  <c r="AH261" i="56"/>
  <c r="AI261" i="56"/>
  <c r="AJ261" i="56"/>
  <c r="AK261" i="56"/>
  <c r="AL261" i="56"/>
  <c r="AM261" i="56"/>
  <c r="AN261" i="56"/>
  <c r="AO261" i="56"/>
  <c r="AP261" i="56"/>
  <c r="AQ261" i="56"/>
  <c r="AR261" i="56"/>
  <c r="Q262" i="56"/>
  <c r="R262" i="56"/>
  <c r="S262" i="56"/>
  <c r="T262" i="56"/>
  <c r="U262" i="56"/>
  <c r="V262" i="56"/>
  <c r="W262" i="56"/>
  <c r="X262" i="56"/>
  <c r="Y262" i="56"/>
  <c r="Z262" i="56"/>
  <c r="AA262" i="56"/>
  <c r="AB262" i="56"/>
  <c r="AC262" i="56"/>
  <c r="AD262" i="56"/>
  <c r="AE262" i="56"/>
  <c r="AF262" i="56"/>
  <c r="AG262" i="56"/>
  <c r="AH262" i="56"/>
  <c r="AI262" i="56"/>
  <c r="AJ262" i="56"/>
  <c r="AK262" i="56"/>
  <c r="AL262" i="56"/>
  <c r="AM262" i="56"/>
  <c r="AN262" i="56"/>
  <c r="AO262" i="56"/>
  <c r="AP262" i="56"/>
  <c r="AQ262" i="56"/>
  <c r="AR262" i="56"/>
  <c r="Q263" i="56"/>
  <c r="R263" i="56"/>
  <c r="S263" i="56"/>
  <c r="T263" i="56"/>
  <c r="U263" i="56"/>
  <c r="V263" i="56"/>
  <c r="W263" i="56"/>
  <c r="X263" i="56"/>
  <c r="Y263" i="56"/>
  <c r="Z263" i="56"/>
  <c r="AA263" i="56"/>
  <c r="AB263" i="56"/>
  <c r="AC263" i="56"/>
  <c r="AD263" i="56"/>
  <c r="AE263" i="56"/>
  <c r="AF263" i="56"/>
  <c r="AG263" i="56"/>
  <c r="AH263" i="56"/>
  <c r="AI263" i="56"/>
  <c r="AJ263" i="56"/>
  <c r="AK263" i="56"/>
  <c r="AL263" i="56"/>
  <c r="AM263" i="56"/>
  <c r="AN263" i="56"/>
  <c r="AO263" i="56"/>
  <c r="AP263" i="56"/>
  <c r="AQ263" i="56"/>
  <c r="AR263" i="56"/>
  <c r="Q264" i="56"/>
  <c r="R264" i="56"/>
  <c r="S264" i="56"/>
  <c r="T264" i="56"/>
  <c r="U264" i="56"/>
  <c r="V264" i="56"/>
  <c r="W264" i="56"/>
  <c r="X264" i="56"/>
  <c r="Y264" i="56"/>
  <c r="Z264" i="56"/>
  <c r="AA264" i="56"/>
  <c r="AB264" i="56"/>
  <c r="AC264" i="56"/>
  <c r="AD264" i="56"/>
  <c r="AE264" i="56"/>
  <c r="AF264" i="56"/>
  <c r="AG264" i="56"/>
  <c r="AH264" i="56"/>
  <c r="AI264" i="56"/>
  <c r="AJ264" i="56"/>
  <c r="AK264" i="56"/>
  <c r="AL264" i="56"/>
  <c r="AM264" i="56"/>
  <c r="AN264" i="56"/>
  <c r="AO264" i="56"/>
  <c r="AP264" i="56"/>
  <c r="AQ264" i="56"/>
  <c r="AR264" i="56"/>
  <c r="Q265" i="56"/>
  <c r="R265" i="56"/>
  <c r="S265" i="56"/>
  <c r="T265" i="56"/>
  <c r="U265" i="56"/>
  <c r="V265" i="56"/>
  <c r="W265" i="56"/>
  <c r="X265" i="56"/>
  <c r="Y265" i="56"/>
  <c r="Z265" i="56"/>
  <c r="AA265" i="56"/>
  <c r="AB265" i="56"/>
  <c r="AC265" i="56"/>
  <c r="AD265" i="56"/>
  <c r="AE265" i="56"/>
  <c r="AF265" i="56"/>
  <c r="AG265" i="56"/>
  <c r="AH265" i="56"/>
  <c r="AI265" i="56"/>
  <c r="AJ265" i="56"/>
  <c r="AK265" i="56"/>
  <c r="AL265" i="56"/>
  <c r="AM265" i="56"/>
  <c r="AN265" i="56"/>
  <c r="AO265" i="56"/>
  <c r="AP265" i="56"/>
  <c r="AQ265" i="56"/>
  <c r="AR265" i="56"/>
  <c r="Q266" i="56"/>
  <c r="R266" i="56"/>
  <c r="S266" i="56"/>
  <c r="T266" i="56"/>
  <c r="U266" i="56"/>
  <c r="V266" i="56"/>
  <c r="W266" i="56"/>
  <c r="X266" i="56"/>
  <c r="Y266" i="56"/>
  <c r="Z266" i="56"/>
  <c r="AA266" i="56"/>
  <c r="AB266" i="56"/>
  <c r="AC266" i="56"/>
  <c r="AD266" i="56"/>
  <c r="AE266" i="56"/>
  <c r="AF266" i="56"/>
  <c r="AG266" i="56"/>
  <c r="AH266" i="56"/>
  <c r="AI266" i="56"/>
  <c r="AJ266" i="56"/>
  <c r="AK266" i="56"/>
  <c r="AL266" i="56"/>
  <c r="AM266" i="56"/>
  <c r="AN266" i="56"/>
  <c r="AO266" i="56"/>
  <c r="AP266" i="56"/>
  <c r="AQ266" i="56"/>
  <c r="AR266" i="56"/>
  <c r="Q267" i="56"/>
  <c r="R267" i="56"/>
  <c r="S267" i="56"/>
  <c r="T267" i="56"/>
  <c r="U267" i="56"/>
  <c r="V267" i="56"/>
  <c r="W267" i="56"/>
  <c r="X267" i="56"/>
  <c r="Y267" i="56"/>
  <c r="Z267" i="56"/>
  <c r="AA267" i="56"/>
  <c r="AB267" i="56"/>
  <c r="AC267" i="56"/>
  <c r="AD267" i="56"/>
  <c r="AE267" i="56"/>
  <c r="AF267" i="56"/>
  <c r="AG267" i="56"/>
  <c r="AH267" i="56"/>
  <c r="AI267" i="56"/>
  <c r="AJ267" i="56"/>
  <c r="AK267" i="56"/>
  <c r="AL267" i="56"/>
  <c r="AM267" i="56"/>
  <c r="AN267" i="56"/>
  <c r="AO267" i="56"/>
  <c r="AP267" i="56"/>
  <c r="AQ267" i="56"/>
  <c r="AR267" i="56"/>
  <c r="Q268" i="56"/>
  <c r="R268" i="56"/>
  <c r="S268" i="56"/>
  <c r="T268" i="56"/>
  <c r="U268" i="56"/>
  <c r="V268" i="56"/>
  <c r="W268" i="56"/>
  <c r="X268" i="56"/>
  <c r="Y268" i="56"/>
  <c r="Z268" i="56"/>
  <c r="AA268" i="56"/>
  <c r="AB268" i="56"/>
  <c r="AC268" i="56"/>
  <c r="AD268" i="56"/>
  <c r="AE268" i="56"/>
  <c r="AF268" i="56"/>
  <c r="AG268" i="56"/>
  <c r="AH268" i="56"/>
  <c r="AI268" i="56"/>
  <c r="AJ268" i="56"/>
  <c r="AK268" i="56"/>
  <c r="AL268" i="56"/>
  <c r="AM268" i="56"/>
  <c r="AN268" i="56"/>
  <c r="AO268" i="56"/>
  <c r="AP268" i="56"/>
  <c r="AQ268" i="56"/>
  <c r="AR268" i="56"/>
  <c r="Q269" i="56"/>
  <c r="R269" i="56"/>
  <c r="S269" i="56"/>
  <c r="T269" i="56"/>
  <c r="U269" i="56"/>
  <c r="V269" i="56"/>
  <c r="W269" i="56"/>
  <c r="X269" i="56"/>
  <c r="Y269" i="56"/>
  <c r="Z269" i="56"/>
  <c r="AA269" i="56"/>
  <c r="AB269" i="56"/>
  <c r="AC269" i="56"/>
  <c r="AD269" i="56"/>
  <c r="AE269" i="56"/>
  <c r="AF269" i="56"/>
  <c r="AG269" i="56"/>
  <c r="AH269" i="56"/>
  <c r="AI269" i="56"/>
  <c r="AJ269" i="56"/>
  <c r="AK269" i="56"/>
  <c r="AL269" i="56"/>
  <c r="AM269" i="56"/>
  <c r="AN269" i="56"/>
  <c r="AO269" i="56"/>
  <c r="AP269" i="56"/>
  <c r="AQ269" i="56"/>
  <c r="AR269" i="56"/>
  <c r="Q270" i="56"/>
  <c r="R270" i="56"/>
  <c r="S270" i="56"/>
  <c r="T270" i="56"/>
  <c r="U270" i="56"/>
  <c r="V270" i="56"/>
  <c r="W270" i="56"/>
  <c r="X270" i="56"/>
  <c r="Y270" i="56"/>
  <c r="Z270" i="56"/>
  <c r="AA270" i="56"/>
  <c r="AB270" i="56"/>
  <c r="AC270" i="56"/>
  <c r="AD270" i="56"/>
  <c r="AE270" i="56"/>
  <c r="AF270" i="56"/>
  <c r="AG270" i="56"/>
  <c r="AH270" i="56"/>
  <c r="AI270" i="56"/>
  <c r="AJ270" i="56"/>
  <c r="AK270" i="56"/>
  <c r="AL270" i="56"/>
  <c r="AM270" i="56"/>
  <c r="AN270" i="56"/>
  <c r="AO270" i="56"/>
  <c r="AP270" i="56"/>
  <c r="AQ270" i="56"/>
  <c r="AR270" i="56"/>
  <c r="Q271" i="56"/>
  <c r="R271" i="56"/>
  <c r="S271" i="56"/>
  <c r="T271" i="56"/>
  <c r="U271" i="56"/>
  <c r="V271" i="56"/>
  <c r="W271" i="56"/>
  <c r="X271" i="56"/>
  <c r="Y271" i="56"/>
  <c r="Z271" i="56"/>
  <c r="AA271" i="56"/>
  <c r="AB271" i="56"/>
  <c r="AC271" i="56"/>
  <c r="AD271" i="56"/>
  <c r="AE271" i="56"/>
  <c r="AF271" i="56"/>
  <c r="AG271" i="56"/>
  <c r="AH271" i="56"/>
  <c r="AI271" i="56"/>
  <c r="AJ271" i="56"/>
  <c r="AK271" i="56"/>
  <c r="AL271" i="56"/>
  <c r="AM271" i="56"/>
  <c r="AN271" i="56"/>
  <c r="AO271" i="56"/>
  <c r="AP271" i="56"/>
  <c r="AQ271" i="56"/>
  <c r="AR271" i="56"/>
  <c r="Q272" i="56"/>
  <c r="R272" i="56"/>
  <c r="S272" i="56"/>
  <c r="T272" i="56"/>
  <c r="U272" i="56"/>
  <c r="V272" i="56"/>
  <c r="W272" i="56"/>
  <c r="X272" i="56"/>
  <c r="Y272" i="56"/>
  <c r="Z272" i="56"/>
  <c r="AA272" i="56"/>
  <c r="AB272" i="56"/>
  <c r="AC272" i="56"/>
  <c r="AD272" i="56"/>
  <c r="AE272" i="56"/>
  <c r="AF272" i="56"/>
  <c r="AG272" i="56"/>
  <c r="AH272" i="56"/>
  <c r="AI272" i="56"/>
  <c r="AJ272" i="56"/>
  <c r="AK272" i="56"/>
  <c r="AL272" i="56"/>
  <c r="AM272" i="56"/>
  <c r="AN272" i="56"/>
  <c r="AO272" i="56"/>
  <c r="AP272" i="56"/>
  <c r="AQ272" i="56"/>
  <c r="AR272" i="56"/>
  <c r="Q273" i="56"/>
  <c r="R273" i="56"/>
  <c r="S273" i="56"/>
  <c r="T273" i="56"/>
  <c r="U273" i="56"/>
  <c r="V273" i="56"/>
  <c r="W273" i="56"/>
  <c r="X273" i="56"/>
  <c r="Y273" i="56"/>
  <c r="Z273" i="56"/>
  <c r="AA273" i="56"/>
  <c r="AB273" i="56"/>
  <c r="AC273" i="56"/>
  <c r="AD273" i="56"/>
  <c r="AE273" i="56"/>
  <c r="AF273" i="56"/>
  <c r="AG273" i="56"/>
  <c r="AH273" i="56"/>
  <c r="AI273" i="56"/>
  <c r="AJ273" i="56"/>
  <c r="AK273" i="56"/>
  <c r="AL273" i="56"/>
  <c r="AM273" i="56"/>
  <c r="AN273" i="56"/>
  <c r="AO273" i="56"/>
  <c r="AP273" i="56"/>
  <c r="AQ273" i="56"/>
  <c r="AR273" i="56"/>
  <c r="Q274" i="56"/>
  <c r="R274" i="56"/>
  <c r="S274" i="56"/>
  <c r="T274" i="56"/>
  <c r="U274" i="56"/>
  <c r="V274" i="56"/>
  <c r="W274" i="56"/>
  <c r="X274" i="56"/>
  <c r="Y274" i="56"/>
  <c r="Z274" i="56"/>
  <c r="AA274" i="56"/>
  <c r="AB274" i="56"/>
  <c r="AC274" i="56"/>
  <c r="AD274" i="56"/>
  <c r="AE274" i="56"/>
  <c r="AF274" i="56"/>
  <c r="AG274" i="56"/>
  <c r="AH274" i="56"/>
  <c r="AI274" i="56"/>
  <c r="AJ274" i="56"/>
  <c r="AK274" i="56"/>
  <c r="AL274" i="56"/>
  <c r="AM274" i="56"/>
  <c r="AN274" i="56"/>
  <c r="AO274" i="56"/>
  <c r="AP274" i="56"/>
  <c r="AQ274" i="56"/>
  <c r="AR274" i="56"/>
  <c r="Q275" i="56"/>
  <c r="R275" i="56"/>
  <c r="S275" i="56"/>
  <c r="T275" i="56"/>
  <c r="U275" i="56"/>
  <c r="V275" i="56"/>
  <c r="W275" i="56"/>
  <c r="X275" i="56"/>
  <c r="Y275" i="56"/>
  <c r="Z275" i="56"/>
  <c r="AA275" i="56"/>
  <c r="AB275" i="56"/>
  <c r="AC275" i="56"/>
  <c r="AD275" i="56"/>
  <c r="AE275" i="56"/>
  <c r="AF275" i="56"/>
  <c r="AG275" i="56"/>
  <c r="AH275" i="56"/>
  <c r="AI275" i="56"/>
  <c r="AJ275" i="56"/>
  <c r="AK275" i="56"/>
  <c r="AL275" i="56"/>
  <c r="AM275" i="56"/>
  <c r="AN275" i="56"/>
  <c r="AO275" i="56"/>
  <c r="AP275" i="56"/>
  <c r="AQ275" i="56"/>
  <c r="AR275" i="56"/>
  <c r="Q276" i="56"/>
  <c r="R276" i="56"/>
  <c r="S276" i="56"/>
  <c r="T276" i="56"/>
  <c r="U276" i="56"/>
  <c r="V276" i="56"/>
  <c r="W276" i="56"/>
  <c r="X276" i="56"/>
  <c r="Y276" i="56"/>
  <c r="Z276" i="56"/>
  <c r="AA276" i="56"/>
  <c r="AB276" i="56"/>
  <c r="AC276" i="56"/>
  <c r="AD276" i="56"/>
  <c r="AE276" i="56"/>
  <c r="AF276" i="56"/>
  <c r="AG276" i="56"/>
  <c r="AH276" i="56"/>
  <c r="AI276" i="56"/>
  <c r="AJ276" i="56"/>
  <c r="AK276" i="56"/>
  <c r="AL276" i="56"/>
  <c r="AM276" i="56"/>
  <c r="AN276" i="56"/>
  <c r="AO276" i="56"/>
  <c r="AP276" i="56"/>
  <c r="AQ276" i="56"/>
  <c r="AR276" i="56"/>
  <c r="Q277" i="56"/>
  <c r="R277" i="56"/>
  <c r="S277" i="56"/>
  <c r="T277" i="56"/>
  <c r="U277" i="56"/>
  <c r="V277" i="56"/>
  <c r="W277" i="56"/>
  <c r="X277" i="56"/>
  <c r="Y277" i="56"/>
  <c r="Z277" i="56"/>
  <c r="AA277" i="56"/>
  <c r="AB277" i="56"/>
  <c r="AC277" i="56"/>
  <c r="AD277" i="56"/>
  <c r="AE277" i="56"/>
  <c r="AF277" i="56"/>
  <c r="AG277" i="56"/>
  <c r="AH277" i="56"/>
  <c r="AI277" i="56"/>
  <c r="AJ277" i="56"/>
  <c r="AK277" i="56"/>
  <c r="AL277" i="56"/>
  <c r="AM277" i="56"/>
  <c r="AN277" i="56"/>
  <c r="AO277" i="56"/>
  <c r="AP277" i="56"/>
  <c r="AQ277" i="56"/>
  <c r="AR277" i="56"/>
  <c r="Q278" i="56"/>
  <c r="R278" i="56"/>
  <c r="S278" i="56"/>
  <c r="T278" i="56"/>
  <c r="U278" i="56"/>
  <c r="V278" i="56"/>
  <c r="W278" i="56"/>
  <c r="X278" i="56"/>
  <c r="Y278" i="56"/>
  <c r="Z278" i="56"/>
  <c r="AA278" i="56"/>
  <c r="AB278" i="56"/>
  <c r="AC278" i="56"/>
  <c r="AD278" i="56"/>
  <c r="AE278" i="56"/>
  <c r="AF278" i="56"/>
  <c r="AG278" i="56"/>
  <c r="AH278" i="56"/>
  <c r="AI278" i="56"/>
  <c r="AJ278" i="56"/>
  <c r="AK278" i="56"/>
  <c r="AL278" i="56"/>
  <c r="AM278" i="56"/>
  <c r="AN278" i="56"/>
  <c r="AO278" i="56"/>
  <c r="AP278" i="56"/>
  <c r="AQ278" i="56"/>
  <c r="AR278" i="56"/>
  <c r="Q279" i="56"/>
  <c r="R279" i="56"/>
  <c r="S279" i="56"/>
  <c r="T279" i="56"/>
  <c r="U279" i="56"/>
  <c r="V279" i="56"/>
  <c r="W279" i="56"/>
  <c r="X279" i="56"/>
  <c r="Y279" i="56"/>
  <c r="Z279" i="56"/>
  <c r="AA279" i="56"/>
  <c r="AB279" i="56"/>
  <c r="AC279" i="56"/>
  <c r="AD279" i="56"/>
  <c r="AE279" i="56"/>
  <c r="AF279" i="56"/>
  <c r="AG279" i="56"/>
  <c r="AH279" i="56"/>
  <c r="AI279" i="56"/>
  <c r="AJ279" i="56"/>
  <c r="AK279" i="56"/>
  <c r="AL279" i="56"/>
  <c r="AM279" i="56"/>
  <c r="AN279" i="56"/>
  <c r="AO279" i="56"/>
  <c r="AP279" i="56"/>
  <c r="AQ279" i="56"/>
  <c r="AR279" i="56"/>
  <c r="Q280" i="56"/>
  <c r="R280" i="56"/>
  <c r="S280" i="56"/>
  <c r="T280" i="56"/>
  <c r="U280" i="56"/>
  <c r="V280" i="56"/>
  <c r="W280" i="56"/>
  <c r="X280" i="56"/>
  <c r="Y280" i="56"/>
  <c r="Z280" i="56"/>
  <c r="AA280" i="56"/>
  <c r="AB280" i="56"/>
  <c r="AC280" i="56"/>
  <c r="AD280" i="56"/>
  <c r="AE280" i="56"/>
  <c r="AF280" i="56"/>
  <c r="AG280" i="56"/>
  <c r="AH280" i="56"/>
  <c r="AI280" i="56"/>
  <c r="AJ280" i="56"/>
  <c r="AK280" i="56"/>
  <c r="AL280" i="56"/>
  <c r="AM280" i="56"/>
  <c r="AN280" i="56"/>
  <c r="AO280" i="56"/>
  <c r="AP280" i="56"/>
  <c r="AQ280" i="56"/>
  <c r="AR280" i="56"/>
  <c r="Q281" i="56"/>
  <c r="R281" i="56"/>
  <c r="S281" i="56"/>
  <c r="T281" i="56"/>
  <c r="U281" i="56"/>
  <c r="V281" i="56"/>
  <c r="W281" i="56"/>
  <c r="X281" i="56"/>
  <c r="Y281" i="56"/>
  <c r="Z281" i="56"/>
  <c r="AA281" i="56"/>
  <c r="AB281" i="56"/>
  <c r="AC281" i="56"/>
  <c r="AD281" i="56"/>
  <c r="AE281" i="56"/>
  <c r="AF281" i="56"/>
  <c r="AG281" i="56"/>
  <c r="AH281" i="56"/>
  <c r="AI281" i="56"/>
  <c r="AJ281" i="56"/>
  <c r="AK281" i="56"/>
  <c r="AL281" i="56"/>
  <c r="AM281" i="56"/>
  <c r="AN281" i="56"/>
  <c r="AO281" i="56"/>
  <c r="AP281" i="56"/>
  <c r="AQ281" i="56"/>
  <c r="AR281" i="56"/>
  <c r="Q282" i="56"/>
  <c r="R282" i="56"/>
  <c r="S282" i="56"/>
  <c r="T282" i="56"/>
  <c r="U282" i="56"/>
  <c r="V282" i="56"/>
  <c r="W282" i="56"/>
  <c r="X282" i="56"/>
  <c r="Y282" i="56"/>
  <c r="Z282" i="56"/>
  <c r="AA282" i="56"/>
  <c r="AB282" i="56"/>
  <c r="AC282" i="56"/>
  <c r="AD282" i="56"/>
  <c r="AE282" i="56"/>
  <c r="AF282" i="56"/>
  <c r="AG282" i="56"/>
  <c r="AH282" i="56"/>
  <c r="AI282" i="56"/>
  <c r="AJ282" i="56"/>
  <c r="AK282" i="56"/>
  <c r="AL282" i="56"/>
  <c r="AM282" i="56"/>
  <c r="AN282" i="56"/>
  <c r="AO282" i="56"/>
  <c r="AP282" i="56"/>
  <c r="AQ282" i="56"/>
  <c r="AR282" i="56"/>
  <c r="Q283" i="56"/>
  <c r="R283" i="56"/>
  <c r="S283" i="56"/>
  <c r="T283" i="56"/>
  <c r="U283" i="56"/>
  <c r="V283" i="56"/>
  <c r="W283" i="56"/>
  <c r="X283" i="56"/>
  <c r="Y283" i="56"/>
  <c r="Z283" i="56"/>
  <c r="AA283" i="56"/>
  <c r="AB283" i="56"/>
  <c r="AC283" i="56"/>
  <c r="AD283" i="56"/>
  <c r="AE283" i="56"/>
  <c r="AF283" i="56"/>
  <c r="AG283" i="56"/>
  <c r="AH283" i="56"/>
  <c r="AI283" i="56"/>
  <c r="AJ283" i="56"/>
  <c r="AK283" i="56"/>
  <c r="AL283" i="56"/>
  <c r="AM283" i="56"/>
  <c r="AN283" i="56"/>
  <c r="AO283" i="56"/>
  <c r="AP283" i="56"/>
  <c r="AQ283" i="56"/>
  <c r="AR283" i="56"/>
  <c r="Q284" i="56"/>
  <c r="R284" i="56"/>
  <c r="S284" i="56"/>
  <c r="T284" i="56"/>
  <c r="U284" i="56"/>
  <c r="V284" i="56"/>
  <c r="W284" i="56"/>
  <c r="X284" i="56"/>
  <c r="Y284" i="56"/>
  <c r="Z284" i="56"/>
  <c r="AA284" i="56"/>
  <c r="AB284" i="56"/>
  <c r="AC284" i="56"/>
  <c r="AD284" i="56"/>
  <c r="AE284" i="56"/>
  <c r="AF284" i="56"/>
  <c r="AG284" i="56"/>
  <c r="AH284" i="56"/>
  <c r="AI284" i="56"/>
  <c r="AJ284" i="56"/>
  <c r="AK284" i="56"/>
  <c r="AL284" i="56"/>
  <c r="AM284" i="56"/>
  <c r="AN284" i="56"/>
  <c r="AO284" i="56"/>
  <c r="AP284" i="56"/>
  <c r="AQ284" i="56"/>
  <c r="AR284" i="56"/>
  <c r="Q285" i="56"/>
  <c r="R285" i="56"/>
  <c r="S285" i="56"/>
  <c r="T285" i="56"/>
  <c r="U285" i="56"/>
  <c r="V285" i="56"/>
  <c r="W285" i="56"/>
  <c r="X285" i="56"/>
  <c r="Y285" i="56"/>
  <c r="Z285" i="56"/>
  <c r="AA285" i="56"/>
  <c r="AB285" i="56"/>
  <c r="AC285" i="56"/>
  <c r="AD285" i="56"/>
  <c r="AE285" i="56"/>
  <c r="AF285" i="56"/>
  <c r="AG285" i="56"/>
  <c r="AH285" i="56"/>
  <c r="AI285" i="56"/>
  <c r="AJ285" i="56"/>
  <c r="AK285" i="56"/>
  <c r="AL285" i="56"/>
  <c r="AM285" i="56"/>
  <c r="AN285" i="56"/>
  <c r="AO285" i="56"/>
  <c r="AP285" i="56"/>
  <c r="AQ285" i="56"/>
  <c r="AR285" i="56"/>
  <c r="Q287" i="56"/>
  <c r="R287" i="56"/>
  <c r="S287" i="56"/>
  <c r="T287" i="56"/>
  <c r="U287" i="56"/>
  <c r="V287" i="56"/>
  <c r="W287" i="56"/>
  <c r="X287" i="56"/>
  <c r="Y287" i="56"/>
  <c r="Z287" i="56"/>
  <c r="AA287" i="56"/>
  <c r="AB287" i="56"/>
  <c r="AC287" i="56"/>
  <c r="AD287" i="56"/>
  <c r="AE287" i="56"/>
  <c r="AF287" i="56"/>
  <c r="AG287" i="56"/>
  <c r="AH287" i="56"/>
  <c r="AI287" i="56"/>
  <c r="AJ287" i="56"/>
  <c r="AK287" i="56"/>
  <c r="AL287" i="56"/>
  <c r="AM287" i="56"/>
  <c r="AN287" i="56"/>
  <c r="AO287" i="56"/>
  <c r="AP287" i="56"/>
  <c r="AQ287" i="56"/>
  <c r="AR287" i="56"/>
  <c r="Q288" i="56"/>
  <c r="R288" i="56"/>
  <c r="S288" i="56"/>
  <c r="T288" i="56"/>
  <c r="U288" i="56"/>
  <c r="V288" i="56"/>
  <c r="W288" i="56"/>
  <c r="X288" i="56"/>
  <c r="Y288" i="56"/>
  <c r="Z288" i="56"/>
  <c r="AA288" i="56"/>
  <c r="AB288" i="56"/>
  <c r="AC288" i="56"/>
  <c r="AD288" i="56"/>
  <c r="AE288" i="56"/>
  <c r="AF288" i="56"/>
  <c r="AG288" i="56"/>
  <c r="AH288" i="56"/>
  <c r="AI288" i="56"/>
  <c r="AJ288" i="56"/>
  <c r="AK288" i="56"/>
  <c r="AL288" i="56"/>
  <c r="AM288" i="56"/>
  <c r="AN288" i="56"/>
  <c r="AO288" i="56"/>
  <c r="AP288" i="56"/>
  <c r="AQ288" i="56"/>
  <c r="AR288" i="56"/>
  <c r="Q289" i="56"/>
  <c r="R289" i="56"/>
  <c r="S289" i="56"/>
  <c r="T289" i="56"/>
  <c r="U289" i="56"/>
  <c r="V289" i="56"/>
  <c r="W289" i="56"/>
  <c r="X289" i="56"/>
  <c r="Y289" i="56"/>
  <c r="Z289" i="56"/>
  <c r="AA289" i="56"/>
  <c r="AB289" i="56"/>
  <c r="AC289" i="56"/>
  <c r="AD289" i="56"/>
  <c r="AE289" i="56"/>
  <c r="AF289" i="56"/>
  <c r="AG289" i="56"/>
  <c r="AH289" i="56"/>
  <c r="AI289" i="56"/>
  <c r="AJ289" i="56"/>
  <c r="AK289" i="56"/>
  <c r="AL289" i="56"/>
  <c r="AM289" i="56"/>
  <c r="AN289" i="56"/>
  <c r="AO289" i="56"/>
  <c r="AP289" i="56"/>
  <c r="AQ289" i="56"/>
  <c r="AR289" i="56"/>
  <c r="Q290" i="56"/>
  <c r="R290" i="56"/>
  <c r="S290" i="56"/>
  <c r="T290" i="56"/>
  <c r="U290" i="56"/>
  <c r="V290" i="56"/>
  <c r="W290" i="56"/>
  <c r="X290" i="56"/>
  <c r="Y290" i="56"/>
  <c r="Z290" i="56"/>
  <c r="AA290" i="56"/>
  <c r="AB290" i="56"/>
  <c r="AC290" i="56"/>
  <c r="AD290" i="56"/>
  <c r="AE290" i="56"/>
  <c r="AF290" i="56"/>
  <c r="AG290" i="56"/>
  <c r="AH290" i="56"/>
  <c r="AI290" i="56"/>
  <c r="AJ290" i="56"/>
  <c r="AK290" i="56"/>
  <c r="AL290" i="56"/>
  <c r="AM290" i="56"/>
  <c r="AN290" i="56"/>
  <c r="AO290" i="56"/>
  <c r="AP290" i="56"/>
  <c r="AQ290" i="56"/>
  <c r="AR290" i="56"/>
  <c r="Q291" i="56"/>
  <c r="R291" i="56"/>
  <c r="S291" i="56"/>
  <c r="T291" i="56"/>
  <c r="U291" i="56"/>
  <c r="V291" i="56"/>
  <c r="W291" i="56"/>
  <c r="X291" i="56"/>
  <c r="Y291" i="56"/>
  <c r="Z291" i="56"/>
  <c r="AA291" i="56"/>
  <c r="AB291" i="56"/>
  <c r="AC291" i="56"/>
  <c r="AD291" i="56"/>
  <c r="AE291" i="56"/>
  <c r="AF291" i="56"/>
  <c r="AG291" i="56"/>
  <c r="AH291" i="56"/>
  <c r="AI291" i="56"/>
  <c r="AJ291" i="56"/>
  <c r="AK291" i="56"/>
  <c r="AL291" i="56"/>
  <c r="AM291" i="56"/>
  <c r="AN291" i="56"/>
  <c r="AO291" i="56"/>
  <c r="AP291" i="56"/>
  <c r="AQ291" i="56"/>
  <c r="AR291" i="56"/>
  <c r="Q292" i="56"/>
  <c r="R292" i="56"/>
  <c r="S292" i="56"/>
  <c r="T292" i="56"/>
  <c r="U292" i="56"/>
  <c r="V292" i="56"/>
  <c r="W292" i="56"/>
  <c r="X292" i="56"/>
  <c r="Y292" i="56"/>
  <c r="Z292" i="56"/>
  <c r="AA292" i="56"/>
  <c r="AB292" i="56"/>
  <c r="AC292" i="56"/>
  <c r="AD292" i="56"/>
  <c r="AE292" i="56"/>
  <c r="AF292" i="56"/>
  <c r="AG292" i="56"/>
  <c r="AH292" i="56"/>
  <c r="AI292" i="56"/>
  <c r="AJ292" i="56"/>
  <c r="AK292" i="56"/>
  <c r="AL292" i="56"/>
  <c r="AM292" i="56"/>
  <c r="AN292" i="56"/>
  <c r="AO292" i="56"/>
  <c r="AP292" i="56"/>
  <c r="AQ292" i="56"/>
  <c r="AR292" i="56"/>
  <c r="Q293" i="56"/>
  <c r="R293" i="56"/>
  <c r="S293" i="56"/>
  <c r="T293" i="56"/>
  <c r="U293" i="56"/>
  <c r="V293" i="56"/>
  <c r="W293" i="56"/>
  <c r="X293" i="56"/>
  <c r="Y293" i="56"/>
  <c r="Z293" i="56"/>
  <c r="AA293" i="56"/>
  <c r="AB293" i="56"/>
  <c r="AC293" i="56"/>
  <c r="AD293" i="56"/>
  <c r="AE293" i="56"/>
  <c r="AF293" i="56"/>
  <c r="AG293" i="56"/>
  <c r="AH293" i="56"/>
  <c r="AI293" i="56"/>
  <c r="AJ293" i="56"/>
  <c r="AK293" i="56"/>
  <c r="AL293" i="56"/>
  <c r="AM293" i="56"/>
  <c r="AN293" i="56"/>
  <c r="AO293" i="56"/>
  <c r="AP293" i="56"/>
  <c r="AQ293" i="56"/>
  <c r="AR293" i="56"/>
  <c r="Q294" i="56"/>
  <c r="R294" i="56"/>
  <c r="S294" i="56"/>
  <c r="T294" i="56"/>
  <c r="U294" i="56"/>
  <c r="V294" i="56"/>
  <c r="W294" i="56"/>
  <c r="X294" i="56"/>
  <c r="Y294" i="56"/>
  <c r="Z294" i="56"/>
  <c r="AA294" i="56"/>
  <c r="AB294" i="56"/>
  <c r="AC294" i="56"/>
  <c r="AD294" i="56"/>
  <c r="AE294" i="56"/>
  <c r="AF294" i="56"/>
  <c r="AG294" i="56"/>
  <c r="AH294" i="56"/>
  <c r="AI294" i="56"/>
  <c r="AJ294" i="56"/>
  <c r="AK294" i="56"/>
  <c r="AL294" i="56"/>
  <c r="AM294" i="56"/>
  <c r="AN294" i="56"/>
  <c r="AO294" i="56"/>
  <c r="AP294" i="56"/>
  <c r="AQ294" i="56"/>
  <c r="AR294" i="56"/>
  <c r="Q295" i="56"/>
  <c r="R295" i="56"/>
  <c r="S295" i="56"/>
  <c r="T295" i="56"/>
  <c r="U295" i="56"/>
  <c r="V295" i="56"/>
  <c r="W295" i="56"/>
  <c r="X295" i="56"/>
  <c r="Y295" i="56"/>
  <c r="Z295" i="56"/>
  <c r="AA295" i="56"/>
  <c r="AB295" i="56"/>
  <c r="AC295" i="56"/>
  <c r="AD295" i="56"/>
  <c r="AE295" i="56"/>
  <c r="AF295" i="56"/>
  <c r="AG295" i="56"/>
  <c r="AH295" i="56"/>
  <c r="AI295" i="56"/>
  <c r="AJ295" i="56"/>
  <c r="AK295" i="56"/>
  <c r="AL295" i="56"/>
  <c r="AM295" i="56"/>
  <c r="AN295" i="56"/>
  <c r="AO295" i="56"/>
  <c r="AP295" i="56"/>
  <c r="AQ295" i="56"/>
  <c r="AR295" i="56"/>
  <c r="Q296" i="56"/>
  <c r="R296" i="56"/>
  <c r="S296" i="56"/>
  <c r="T296" i="56"/>
  <c r="U296" i="56"/>
  <c r="V296" i="56"/>
  <c r="W296" i="56"/>
  <c r="X296" i="56"/>
  <c r="Y296" i="56"/>
  <c r="Z296" i="56"/>
  <c r="AA296" i="56"/>
  <c r="AB296" i="56"/>
  <c r="AC296" i="56"/>
  <c r="AD296" i="56"/>
  <c r="AE296" i="56"/>
  <c r="AF296" i="56"/>
  <c r="AG296" i="56"/>
  <c r="AH296" i="56"/>
  <c r="AI296" i="56"/>
  <c r="AJ296" i="56"/>
  <c r="AK296" i="56"/>
  <c r="AL296" i="56"/>
  <c r="AM296" i="56"/>
  <c r="AN296" i="56"/>
  <c r="AO296" i="56"/>
  <c r="AP296" i="56"/>
  <c r="AQ296" i="56"/>
  <c r="AR296" i="56"/>
  <c r="Q297" i="56"/>
  <c r="R297" i="56"/>
  <c r="S297" i="56"/>
  <c r="T297" i="56"/>
  <c r="U297" i="56"/>
  <c r="V297" i="56"/>
  <c r="W297" i="56"/>
  <c r="X297" i="56"/>
  <c r="Y297" i="56"/>
  <c r="Z297" i="56"/>
  <c r="AA297" i="56"/>
  <c r="AB297" i="56"/>
  <c r="AC297" i="56"/>
  <c r="AD297" i="56"/>
  <c r="AE297" i="56"/>
  <c r="AF297" i="56"/>
  <c r="AG297" i="56"/>
  <c r="AH297" i="56"/>
  <c r="AI297" i="56"/>
  <c r="AJ297" i="56"/>
  <c r="AK297" i="56"/>
  <c r="AL297" i="56"/>
  <c r="AM297" i="56"/>
  <c r="AN297" i="56"/>
  <c r="AO297" i="56"/>
  <c r="AP297" i="56"/>
  <c r="AQ297" i="56"/>
  <c r="AR297" i="56"/>
  <c r="Q299" i="56"/>
  <c r="R299" i="56"/>
  <c r="S299" i="56"/>
  <c r="T299" i="56"/>
  <c r="U299" i="56"/>
  <c r="V299" i="56"/>
  <c r="W299" i="56"/>
  <c r="X299" i="56"/>
  <c r="Y299" i="56"/>
  <c r="Z299" i="56"/>
  <c r="AA299" i="56"/>
  <c r="AB299" i="56"/>
  <c r="AC299" i="56"/>
  <c r="AD299" i="56"/>
  <c r="AE299" i="56"/>
  <c r="AF299" i="56"/>
  <c r="AG299" i="56"/>
  <c r="AH299" i="56"/>
  <c r="AI299" i="56"/>
  <c r="AJ299" i="56"/>
  <c r="AK299" i="56"/>
  <c r="AL299" i="56"/>
  <c r="AM299" i="56"/>
  <c r="AN299" i="56"/>
  <c r="AO299" i="56"/>
  <c r="AP299" i="56"/>
  <c r="AQ299" i="56"/>
  <c r="AR299" i="56"/>
  <c r="Q300" i="56"/>
  <c r="R300" i="56"/>
  <c r="S300" i="56"/>
  <c r="T300" i="56"/>
  <c r="U300" i="56"/>
  <c r="V300" i="56"/>
  <c r="W300" i="56"/>
  <c r="X300" i="56"/>
  <c r="Y300" i="56"/>
  <c r="Z300" i="56"/>
  <c r="AA300" i="56"/>
  <c r="AB300" i="56"/>
  <c r="AC300" i="56"/>
  <c r="AD300" i="56"/>
  <c r="AE300" i="56"/>
  <c r="AF300" i="56"/>
  <c r="AG300" i="56"/>
  <c r="AH300" i="56"/>
  <c r="AI300" i="56"/>
  <c r="AJ300" i="56"/>
  <c r="AK300" i="56"/>
  <c r="AL300" i="56"/>
  <c r="AM300" i="56"/>
  <c r="AN300" i="56"/>
  <c r="AO300" i="56"/>
  <c r="AP300" i="56"/>
  <c r="AQ300" i="56"/>
  <c r="AR300" i="56"/>
  <c r="Q301" i="56"/>
  <c r="R301" i="56"/>
  <c r="S301" i="56"/>
  <c r="T301" i="56"/>
  <c r="U301" i="56"/>
  <c r="V301" i="56"/>
  <c r="W301" i="56"/>
  <c r="X301" i="56"/>
  <c r="Y301" i="56"/>
  <c r="Z301" i="56"/>
  <c r="AA301" i="56"/>
  <c r="AB301" i="56"/>
  <c r="AC301" i="56"/>
  <c r="AD301" i="56"/>
  <c r="AE301" i="56"/>
  <c r="AF301" i="56"/>
  <c r="AG301" i="56"/>
  <c r="AH301" i="56"/>
  <c r="AI301" i="56"/>
  <c r="AJ301" i="56"/>
  <c r="AK301" i="56"/>
  <c r="AL301" i="56"/>
  <c r="AM301" i="56"/>
  <c r="AN301" i="56"/>
  <c r="AO301" i="56"/>
  <c r="AP301" i="56"/>
  <c r="AQ301" i="56"/>
  <c r="AR301" i="56"/>
  <c r="Q302" i="56"/>
  <c r="R302" i="56"/>
  <c r="S302" i="56"/>
  <c r="T302" i="56"/>
  <c r="U302" i="56"/>
  <c r="V302" i="56"/>
  <c r="W302" i="56"/>
  <c r="X302" i="56"/>
  <c r="Y302" i="56"/>
  <c r="Z302" i="56"/>
  <c r="AA302" i="56"/>
  <c r="AB302" i="56"/>
  <c r="AC302" i="56"/>
  <c r="AD302" i="56"/>
  <c r="AE302" i="56"/>
  <c r="AF302" i="56"/>
  <c r="AG302" i="56"/>
  <c r="AH302" i="56"/>
  <c r="AI302" i="56"/>
  <c r="AJ302" i="56"/>
  <c r="AK302" i="56"/>
  <c r="AL302" i="56"/>
  <c r="AM302" i="56"/>
  <c r="AN302" i="56"/>
  <c r="AO302" i="56"/>
  <c r="AP302" i="56"/>
  <c r="AQ302" i="56"/>
  <c r="AR302" i="56"/>
  <c r="Q303" i="56"/>
  <c r="R303" i="56"/>
  <c r="S303" i="56"/>
  <c r="T303" i="56"/>
  <c r="U303" i="56"/>
  <c r="V303" i="56"/>
  <c r="W303" i="56"/>
  <c r="X303" i="56"/>
  <c r="Y303" i="56"/>
  <c r="Z303" i="56"/>
  <c r="AA303" i="56"/>
  <c r="AB303" i="56"/>
  <c r="AC303" i="56"/>
  <c r="AD303" i="56"/>
  <c r="AE303" i="56"/>
  <c r="AF303" i="56"/>
  <c r="AG303" i="56"/>
  <c r="AH303" i="56"/>
  <c r="AI303" i="56"/>
  <c r="AJ303" i="56"/>
  <c r="AK303" i="56"/>
  <c r="AL303" i="56"/>
  <c r="AM303" i="56"/>
  <c r="AN303" i="56"/>
  <c r="AO303" i="56"/>
  <c r="AP303" i="56"/>
  <c r="AQ303" i="56"/>
  <c r="AR303" i="56"/>
  <c r="Q304" i="56"/>
  <c r="R304" i="56"/>
  <c r="S304" i="56"/>
  <c r="T304" i="56"/>
  <c r="U304" i="56"/>
  <c r="V304" i="56"/>
  <c r="W304" i="56"/>
  <c r="X304" i="56"/>
  <c r="Y304" i="56"/>
  <c r="Z304" i="56"/>
  <c r="AA304" i="56"/>
  <c r="AB304" i="56"/>
  <c r="AC304" i="56"/>
  <c r="AD304" i="56"/>
  <c r="AE304" i="56"/>
  <c r="AF304" i="56"/>
  <c r="AG304" i="56"/>
  <c r="AH304" i="56"/>
  <c r="AI304" i="56"/>
  <c r="AJ304" i="56"/>
  <c r="AK304" i="56"/>
  <c r="AL304" i="56"/>
  <c r="AM304" i="56"/>
  <c r="AN304" i="56"/>
  <c r="AO304" i="56"/>
  <c r="AP304" i="56"/>
  <c r="AQ304" i="56"/>
  <c r="AR304" i="56"/>
  <c r="Q305" i="56"/>
  <c r="R305" i="56"/>
  <c r="S305" i="56"/>
  <c r="T305" i="56"/>
  <c r="U305" i="56"/>
  <c r="V305" i="56"/>
  <c r="W305" i="56"/>
  <c r="X305" i="56"/>
  <c r="Y305" i="56"/>
  <c r="Z305" i="56"/>
  <c r="AA305" i="56"/>
  <c r="AB305" i="56"/>
  <c r="AC305" i="56"/>
  <c r="AD305" i="56"/>
  <c r="AE305" i="56"/>
  <c r="AF305" i="56"/>
  <c r="AG305" i="56"/>
  <c r="AH305" i="56"/>
  <c r="AI305" i="56"/>
  <c r="AJ305" i="56"/>
  <c r="AK305" i="56"/>
  <c r="AL305" i="56"/>
  <c r="AM305" i="56"/>
  <c r="AN305" i="56"/>
  <c r="AO305" i="56"/>
  <c r="AP305" i="56"/>
  <c r="AQ305" i="56"/>
  <c r="AR305" i="56"/>
  <c r="Q306" i="56"/>
  <c r="R306" i="56"/>
  <c r="S306" i="56"/>
  <c r="T306" i="56"/>
  <c r="U306" i="56"/>
  <c r="V306" i="56"/>
  <c r="W306" i="56"/>
  <c r="X306" i="56"/>
  <c r="Y306" i="56"/>
  <c r="Z306" i="56"/>
  <c r="AA306" i="56"/>
  <c r="AB306" i="56"/>
  <c r="AC306" i="56"/>
  <c r="AD306" i="56"/>
  <c r="AE306" i="56"/>
  <c r="AF306" i="56"/>
  <c r="AG306" i="56"/>
  <c r="AH306" i="56"/>
  <c r="AI306" i="56"/>
  <c r="AJ306" i="56"/>
  <c r="AK306" i="56"/>
  <c r="AL306" i="56"/>
  <c r="AM306" i="56"/>
  <c r="AN306" i="56"/>
  <c r="AO306" i="56"/>
  <c r="AP306" i="56"/>
  <c r="AQ306" i="56"/>
  <c r="AR306" i="56"/>
  <c r="Q307" i="56"/>
  <c r="R307" i="56"/>
  <c r="S307" i="56"/>
  <c r="T307" i="56"/>
  <c r="U307" i="56"/>
  <c r="V307" i="56"/>
  <c r="W307" i="56"/>
  <c r="X307" i="56"/>
  <c r="Y307" i="56"/>
  <c r="Z307" i="56"/>
  <c r="AA307" i="56"/>
  <c r="AB307" i="56"/>
  <c r="AC307" i="56"/>
  <c r="AD307" i="56"/>
  <c r="AE307" i="56"/>
  <c r="AF307" i="56"/>
  <c r="AG307" i="56"/>
  <c r="AH307" i="56"/>
  <c r="AI307" i="56"/>
  <c r="AJ307" i="56"/>
  <c r="AK307" i="56"/>
  <c r="AL307" i="56"/>
  <c r="AM307" i="56"/>
  <c r="AN307" i="56"/>
  <c r="AO307" i="56"/>
  <c r="AP307" i="56"/>
  <c r="AQ307" i="56"/>
  <c r="AR307" i="56"/>
  <c r="Q308" i="56"/>
  <c r="R308" i="56"/>
  <c r="S308" i="56"/>
  <c r="T308" i="56"/>
  <c r="U308" i="56"/>
  <c r="V308" i="56"/>
  <c r="W308" i="56"/>
  <c r="X308" i="56"/>
  <c r="Y308" i="56"/>
  <c r="Z308" i="56"/>
  <c r="AA308" i="56"/>
  <c r="AB308" i="56"/>
  <c r="AC308" i="56"/>
  <c r="AD308" i="56"/>
  <c r="AE308" i="56"/>
  <c r="AF308" i="56"/>
  <c r="AG308" i="56"/>
  <c r="AH308" i="56"/>
  <c r="AI308" i="56"/>
  <c r="AJ308" i="56"/>
  <c r="AK308" i="56"/>
  <c r="AL308" i="56"/>
  <c r="AM308" i="56"/>
  <c r="AN308" i="56"/>
  <c r="AO308" i="56"/>
  <c r="AP308" i="56"/>
  <c r="AQ308" i="56"/>
  <c r="AR308" i="56"/>
  <c r="Q309" i="56"/>
  <c r="R309" i="56"/>
  <c r="S309" i="56"/>
  <c r="T309" i="56"/>
  <c r="U309" i="56"/>
  <c r="V309" i="56"/>
  <c r="W309" i="56"/>
  <c r="X309" i="56"/>
  <c r="Y309" i="56"/>
  <c r="Z309" i="56"/>
  <c r="AA309" i="56"/>
  <c r="AB309" i="56"/>
  <c r="AC309" i="56"/>
  <c r="AD309" i="56"/>
  <c r="AE309" i="56"/>
  <c r="AF309" i="56"/>
  <c r="AG309" i="56"/>
  <c r="AH309" i="56"/>
  <c r="AI309" i="56"/>
  <c r="AJ309" i="56"/>
  <c r="AK309" i="56"/>
  <c r="AL309" i="56"/>
  <c r="AM309" i="56"/>
  <c r="AN309" i="56"/>
  <c r="AO309" i="56"/>
  <c r="AP309" i="56"/>
  <c r="AQ309" i="56"/>
  <c r="AR309" i="56"/>
  <c r="R198" i="56"/>
  <c r="S198" i="56"/>
  <c r="T198" i="56"/>
  <c r="U198" i="56"/>
  <c r="V198" i="56"/>
  <c r="W198" i="56"/>
  <c r="X198" i="56"/>
  <c r="Y198" i="56"/>
  <c r="Z198" i="56"/>
  <c r="AA198" i="56"/>
  <c r="AB198" i="56"/>
  <c r="AC198" i="56"/>
  <c r="AD198" i="56"/>
  <c r="AE198" i="56"/>
  <c r="AF198" i="56"/>
  <c r="AG198" i="56"/>
  <c r="AH198" i="56"/>
  <c r="AI198" i="56"/>
  <c r="AJ198" i="56"/>
  <c r="AK198" i="56"/>
  <c r="AL198" i="56"/>
  <c r="AM198" i="56"/>
  <c r="AN198" i="56"/>
  <c r="AO198" i="56"/>
  <c r="AP198" i="56"/>
  <c r="AQ198" i="56"/>
  <c r="AR198" i="56"/>
  <c r="Q198" i="56"/>
  <c r="P307" i="56"/>
  <c r="P308" i="56"/>
  <c r="P309" i="56"/>
  <c r="P260" i="56"/>
  <c r="P261" i="56"/>
  <c r="P262" i="56"/>
  <c r="P263" i="56"/>
  <c r="P264" i="56"/>
  <c r="P265" i="56"/>
  <c r="P266" i="56"/>
  <c r="P267" i="56"/>
  <c r="P268" i="56"/>
  <c r="P269" i="56"/>
  <c r="P270" i="56"/>
  <c r="P271" i="56"/>
  <c r="P272" i="56"/>
  <c r="P273" i="56"/>
  <c r="P274" i="56"/>
  <c r="P275" i="56"/>
  <c r="P276" i="56"/>
  <c r="P277" i="56"/>
  <c r="P278" i="56"/>
  <c r="P279" i="56"/>
  <c r="P280" i="56"/>
  <c r="P281" i="56"/>
  <c r="P282" i="56"/>
  <c r="P283" i="56"/>
  <c r="P284" i="56"/>
  <c r="P285" i="56"/>
  <c r="P287" i="56"/>
  <c r="P288" i="56"/>
  <c r="P289" i="56"/>
  <c r="P290" i="56"/>
  <c r="P291" i="56"/>
  <c r="P292" i="56"/>
  <c r="P293" i="56"/>
  <c r="P294" i="56"/>
  <c r="P295" i="56"/>
  <c r="P296" i="56"/>
  <c r="P297" i="56"/>
  <c r="P299" i="56"/>
  <c r="P300" i="56"/>
  <c r="P301" i="56"/>
  <c r="P302" i="56"/>
  <c r="P303" i="56"/>
  <c r="P304" i="56"/>
  <c r="P305" i="56"/>
  <c r="P306" i="56"/>
  <c r="P199" i="56"/>
  <c r="P200" i="56"/>
  <c r="P201" i="56"/>
  <c r="P202" i="56"/>
  <c r="P203" i="56"/>
  <c r="P204" i="56"/>
  <c r="P205" i="56"/>
  <c r="P206" i="56"/>
  <c r="P207" i="56"/>
  <c r="P208" i="56"/>
  <c r="P209" i="56"/>
  <c r="P210" i="56"/>
  <c r="P211" i="56"/>
  <c r="P212" i="56"/>
  <c r="P213" i="56"/>
  <c r="P214" i="56"/>
  <c r="P215" i="56"/>
  <c r="P216" i="56"/>
  <c r="P217" i="56"/>
  <c r="P218" i="56"/>
  <c r="P219" i="56"/>
  <c r="P220" i="56"/>
  <c r="P221" i="56"/>
  <c r="P222" i="56"/>
  <c r="P223" i="56"/>
  <c r="P224" i="56"/>
  <c r="P225" i="56"/>
  <c r="P226" i="56"/>
  <c r="P227" i="56"/>
  <c r="P228" i="56"/>
  <c r="P229" i="56"/>
  <c r="P230" i="56"/>
  <c r="P231" i="56"/>
  <c r="P232" i="56"/>
  <c r="P233" i="56"/>
  <c r="P234" i="56"/>
  <c r="P235" i="56"/>
  <c r="P237" i="56"/>
  <c r="P238" i="56"/>
  <c r="P239" i="56"/>
  <c r="P240" i="56"/>
  <c r="P241" i="56"/>
  <c r="P242" i="56"/>
  <c r="P243" i="56"/>
  <c r="P244" i="56"/>
  <c r="P245" i="56"/>
  <c r="P246" i="56"/>
  <c r="P247" i="56"/>
  <c r="P248" i="56"/>
  <c r="P249" i="56"/>
  <c r="P250" i="56"/>
  <c r="P251" i="56"/>
  <c r="P252" i="56"/>
  <c r="P253" i="56"/>
  <c r="P254" i="56"/>
  <c r="P255" i="56"/>
  <c r="P256" i="56"/>
  <c r="P257" i="56"/>
  <c r="P258" i="56"/>
  <c r="P259" i="56"/>
  <c r="P198" i="56"/>
  <c r="N258" i="56"/>
  <c r="N259" i="56"/>
  <c r="N260" i="56"/>
  <c r="N261" i="56"/>
  <c r="N262" i="56"/>
  <c r="N263" i="56"/>
  <c r="N264" i="56"/>
  <c r="N265" i="56"/>
  <c r="N266" i="56"/>
  <c r="N267" i="56"/>
  <c r="N268" i="56"/>
  <c r="N269" i="56"/>
  <c r="N270" i="56"/>
  <c r="N271" i="56"/>
  <c r="N272" i="56"/>
  <c r="N273" i="56"/>
  <c r="N274" i="56"/>
  <c r="N275" i="56"/>
  <c r="N276" i="56"/>
  <c r="N277" i="56"/>
  <c r="N278" i="56"/>
  <c r="N279" i="56"/>
  <c r="N280" i="56"/>
  <c r="N281" i="56"/>
  <c r="N282" i="56"/>
  <c r="N283" i="56"/>
  <c r="N284" i="56"/>
  <c r="N285" i="56"/>
  <c r="N287" i="56"/>
  <c r="N288" i="56"/>
  <c r="N289" i="56"/>
  <c r="N290" i="56"/>
  <c r="N291" i="56"/>
  <c r="N292" i="56"/>
  <c r="N293" i="56"/>
  <c r="N294" i="56"/>
  <c r="N295" i="56"/>
  <c r="N296" i="56"/>
  <c r="N297" i="56"/>
  <c r="N299" i="56"/>
  <c r="N300" i="56"/>
  <c r="N301" i="56"/>
  <c r="N302" i="56"/>
  <c r="N303" i="56"/>
  <c r="N304" i="56"/>
  <c r="N305" i="56"/>
  <c r="N306" i="56"/>
  <c r="N307" i="56"/>
  <c r="N308" i="56"/>
  <c r="N309" i="56"/>
  <c r="N199" i="56"/>
  <c r="N200" i="56"/>
  <c r="N201" i="56"/>
  <c r="N202" i="56"/>
  <c r="N203" i="56"/>
  <c r="N204" i="56"/>
  <c r="N205" i="56"/>
  <c r="N206" i="56"/>
  <c r="N207" i="56"/>
  <c r="N208" i="56"/>
  <c r="N209" i="56"/>
  <c r="N210" i="56"/>
  <c r="N211" i="56"/>
  <c r="N212" i="56"/>
  <c r="N213" i="56"/>
  <c r="N214" i="56"/>
  <c r="N215" i="56"/>
  <c r="N216" i="56"/>
  <c r="N217" i="56"/>
  <c r="N218" i="56"/>
  <c r="N219" i="56"/>
  <c r="N220" i="56"/>
  <c r="N221" i="56"/>
  <c r="N222" i="56"/>
  <c r="N223" i="56"/>
  <c r="N224" i="56"/>
  <c r="N225" i="56"/>
  <c r="N226" i="56"/>
  <c r="N227" i="56"/>
  <c r="N228" i="56"/>
  <c r="N229" i="56"/>
  <c r="N230" i="56"/>
  <c r="N231" i="56"/>
  <c r="N232" i="56"/>
  <c r="N233" i="56"/>
  <c r="N234" i="56"/>
  <c r="N235" i="56"/>
  <c r="N237" i="56"/>
  <c r="N238" i="56"/>
  <c r="N239" i="56"/>
  <c r="N240" i="56"/>
  <c r="N241" i="56"/>
  <c r="N242" i="56"/>
  <c r="N243" i="56"/>
  <c r="N244" i="56"/>
  <c r="N245" i="56"/>
  <c r="N246" i="56"/>
  <c r="N247" i="56"/>
  <c r="N248" i="56"/>
  <c r="N249" i="56"/>
  <c r="N250" i="56"/>
  <c r="N251" i="56"/>
  <c r="N252" i="56"/>
  <c r="N253" i="56"/>
  <c r="N254" i="56"/>
  <c r="N255" i="56"/>
  <c r="N256" i="56"/>
  <c r="N257" i="56"/>
  <c r="N198" i="56"/>
  <c r="K302" i="56" l="1"/>
  <c r="K303" i="56"/>
  <c r="K304" i="56"/>
  <c r="K305" i="56"/>
  <c r="K306" i="56"/>
  <c r="K307" i="56"/>
  <c r="K308" i="56"/>
  <c r="K309" i="56"/>
  <c r="K289" i="56"/>
  <c r="K290" i="56"/>
  <c r="K291" i="56"/>
  <c r="K292" i="56"/>
  <c r="K293" i="56"/>
  <c r="K294" i="56"/>
  <c r="K295" i="56"/>
  <c r="K296" i="56"/>
  <c r="K297" i="56"/>
  <c r="K299" i="56"/>
  <c r="K300" i="56"/>
  <c r="K301" i="56"/>
  <c r="K273" i="56"/>
  <c r="K274" i="56"/>
  <c r="K275" i="56"/>
  <c r="K276" i="56"/>
  <c r="K277" i="56"/>
  <c r="K278" i="56"/>
  <c r="K279" i="56"/>
  <c r="K280" i="56"/>
  <c r="K281" i="56"/>
  <c r="K282" i="56"/>
  <c r="K283" i="56"/>
  <c r="K284" i="56"/>
  <c r="K285" i="56"/>
  <c r="K287" i="56"/>
  <c r="K288" i="56"/>
  <c r="K258" i="56"/>
  <c r="K259" i="56"/>
  <c r="K260" i="56"/>
  <c r="K261" i="56"/>
  <c r="K262" i="56"/>
  <c r="K263" i="56"/>
  <c r="K264" i="56"/>
  <c r="K265" i="56"/>
  <c r="K266" i="56"/>
  <c r="K267" i="56"/>
  <c r="K268" i="56"/>
  <c r="K269" i="56"/>
  <c r="K270" i="56"/>
  <c r="K271" i="56"/>
  <c r="K272" i="56"/>
  <c r="K242" i="56"/>
  <c r="K243" i="56"/>
  <c r="K244" i="56"/>
  <c r="K245" i="56"/>
  <c r="K246" i="56"/>
  <c r="K247" i="56"/>
  <c r="K248" i="56"/>
  <c r="K249" i="56"/>
  <c r="K250" i="56"/>
  <c r="K251" i="56"/>
  <c r="K252" i="56"/>
  <c r="K253" i="56"/>
  <c r="K254" i="56"/>
  <c r="K255" i="56"/>
  <c r="K256" i="56"/>
  <c r="K257" i="56"/>
  <c r="K229" i="56"/>
  <c r="K230" i="56"/>
  <c r="K231" i="56"/>
  <c r="K232" i="56"/>
  <c r="K233" i="56"/>
  <c r="K234" i="56"/>
  <c r="K235" i="56"/>
  <c r="K237" i="56"/>
  <c r="K238" i="56"/>
  <c r="K239" i="56"/>
  <c r="K240" i="56"/>
  <c r="K241" i="56"/>
  <c r="K212" i="56"/>
  <c r="K213" i="56"/>
  <c r="K214" i="56"/>
  <c r="K215" i="56"/>
  <c r="K216" i="56"/>
  <c r="K217" i="56"/>
  <c r="K218" i="56"/>
  <c r="K219" i="56"/>
  <c r="K220" i="56"/>
  <c r="K221" i="56"/>
  <c r="K222" i="56"/>
  <c r="K223" i="56"/>
  <c r="K224" i="56"/>
  <c r="K225" i="56"/>
  <c r="K226" i="56"/>
  <c r="K227" i="56"/>
  <c r="K228" i="56"/>
  <c r="K201" i="56"/>
  <c r="K202" i="56"/>
  <c r="K203" i="56"/>
  <c r="K204" i="56"/>
  <c r="K205" i="56"/>
  <c r="K206" i="56"/>
  <c r="K207" i="56"/>
  <c r="K208" i="56"/>
  <c r="K209" i="56"/>
  <c r="K210" i="56"/>
  <c r="K211" i="56"/>
  <c r="K199" i="56"/>
  <c r="K200" i="56"/>
  <c r="K198" i="56"/>
  <c r="N174" i="56"/>
  <c r="N175" i="56"/>
  <c r="N176" i="56"/>
  <c r="N177" i="56"/>
  <c r="N178" i="56"/>
  <c r="N179" i="56"/>
  <c r="K175" i="56"/>
  <c r="K176" i="56"/>
  <c r="K177" i="56"/>
  <c r="K178" i="56"/>
  <c r="K179" i="56"/>
  <c r="K168" i="56"/>
  <c r="K169" i="56"/>
  <c r="K170" i="56"/>
  <c r="K171" i="56"/>
  <c r="K172" i="56"/>
  <c r="K173" i="56"/>
  <c r="K174" i="56"/>
  <c r="Q139" i="56"/>
  <c r="N150" i="56" l="1"/>
  <c r="N151" i="56"/>
  <c r="N152" i="56"/>
  <c r="N153" i="56"/>
  <c r="N154" i="56"/>
  <c r="N155" i="56"/>
  <c r="N156" i="56"/>
  <c r="N157" i="56"/>
  <c r="N158" i="56"/>
  <c r="N159" i="56"/>
  <c r="N160" i="56"/>
  <c r="N161" i="56"/>
  <c r="N162" i="56"/>
  <c r="N163" i="56"/>
  <c r="N164" i="56"/>
  <c r="N165" i="56"/>
  <c r="N167" i="56"/>
  <c r="N168" i="56"/>
  <c r="N169" i="56"/>
  <c r="N170" i="56"/>
  <c r="N171" i="56"/>
  <c r="N172" i="56"/>
  <c r="N173" i="56"/>
  <c r="N139" i="56"/>
  <c r="N140" i="56"/>
  <c r="N141" i="56"/>
  <c r="N142" i="56"/>
  <c r="N143" i="56"/>
  <c r="N144" i="56"/>
  <c r="N145" i="56"/>
  <c r="N146" i="56"/>
  <c r="N147" i="56"/>
  <c r="N148" i="56"/>
  <c r="N149" i="56"/>
  <c r="N126" i="56"/>
  <c r="N127" i="56"/>
  <c r="N128" i="56"/>
  <c r="N129" i="56"/>
  <c r="N130" i="56"/>
  <c r="N131" i="56"/>
  <c r="N132" i="56"/>
  <c r="N133" i="56"/>
  <c r="N134" i="56"/>
  <c r="N135" i="56"/>
  <c r="N136" i="56"/>
  <c r="N137" i="56"/>
  <c r="N138" i="56"/>
  <c r="N117" i="56"/>
  <c r="N118" i="56"/>
  <c r="N119" i="56"/>
  <c r="N121" i="56"/>
  <c r="N122" i="56"/>
  <c r="N123" i="56"/>
  <c r="N124" i="56"/>
  <c r="N125" i="56"/>
  <c r="N108" i="56"/>
  <c r="N109" i="56"/>
  <c r="N110" i="56"/>
  <c r="N111" i="56"/>
  <c r="N112" i="56"/>
  <c r="N113" i="56"/>
  <c r="N114" i="56"/>
  <c r="N115" i="56"/>
  <c r="N116" i="56"/>
  <c r="N97" i="56"/>
  <c r="N98" i="56"/>
  <c r="N99" i="56"/>
  <c r="N100" i="56"/>
  <c r="N101" i="56"/>
  <c r="N102" i="56"/>
  <c r="N103" i="56"/>
  <c r="N104" i="56"/>
  <c r="N105" i="56"/>
  <c r="N106" i="56"/>
  <c r="N107" i="56"/>
  <c r="N89" i="56"/>
  <c r="N90" i="56"/>
  <c r="N91" i="56"/>
  <c r="N92" i="56"/>
  <c r="N93" i="56"/>
  <c r="N94" i="56"/>
  <c r="N95" i="56"/>
  <c r="N96" i="56"/>
  <c r="N85" i="56"/>
  <c r="N86" i="56"/>
  <c r="N87" i="56"/>
  <c r="N88" i="56"/>
  <c r="N81" i="56"/>
  <c r="N82" i="56"/>
  <c r="N83" i="56"/>
  <c r="N84" i="56"/>
  <c r="N80" i="56"/>
  <c r="K164" i="56"/>
  <c r="K165" i="56"/>
  <c r="K167" i="56"/>
  <c r="K157" i="56"/>
  <c r="K158" i="56"/>
  <c r="K159" i="56"/>
  <c r="K160" i="56"/>
  <c r="K161" i="56"/>
  <c r="K162" i="56"/>
  <c r="K163" i="56"/>
  <c r="K156" i="56"/>
  <c r="K155" i="56"/>
  <c r="K147" i="56"/>
  <c r="K148" i="56"/>
  <c r="K149" i="56"/>
  <c r="K150" i="56"/>
  <c r="K151" i="56"/>
  <c r="K152" i="56"/>
  <c r="K153" i="56"/>
  <c r="K154" i="56"/>
  <c r="K128" i="56"/>
  <c r="K129" i="56"/>
  <c r="K130" i="56"/>
  <c r="K131" i="56"/>
  <c r="K132" i="56"/>
  <c r="K133" i="56"/>
  <c r="K134" i="56"/>
  <c r="K135" i="56"/>
  <c r="K136" i="56"/>
  <c r="K137" i="56"/>
  <c r="K138" i="56"/>
  <c r="K139" i="56"/>
  <c r="K140" i="56"/>
  <c r="K141" i="56"/>
  <c r="K142" i="56"/>
  <c r="K143" i="56"/>
  <c r="K144" i="56"/>
  <c r="K145" i="56"/>
  <c r="K146" i="56"/>
  <c r="K123" i="56"/>
  <c r="K124" i="56"/>
  <c r="K125" i="56"/>
  <c r="K126" i="56"/>
  <c r="K127" i="56"/>
  <c r="K117" i="56"/>
  <c r="K118" i="56"/>
  <c r="K119" i="56"/>
  <c r="K121" i="56"/>
  <c r="K122" i="56"/>
  <c r="K110" i="56"/>
  <c r="K111" i="56"/>
  <c r="K112" i="56"/>
  <c r="K113" i="56"/>
  <c r="K114" i="56"/>
  <c r="K115" i="56"/>
  <c r="K116" i="56"/>
  <c r="K104" i="56"/>
  <c r="K105" i="56"/>
  <c r="K106" i="56"/>
  <c r="K107" i="56"/>
  <c r="K108" i="56"/>
  <c r="K109" i="56"/>
  <c r="K96" i="56"/>
  <c r="K97" i="56"/>
  <c r="K98" i="56"/>
  <c r="K99" i="56"/>
  <c r="K100" i="56"/>
  <c r="K101" i="56"/>
  <c r="K102" i="56"/>
  <c r="K103" i="56"/>
  <c r="K89" i="56"/>
  <c r="K90" i="56"/>
  <c r="K91" i="56"/>
  <c r="K92" i="56"/>
  <c r="K93" i="56"/>
  <c r="K94" i="56"/>
  <c r="K95" i="56"/>
  <c r="K84" i="56"/>
  <c r="K85" i="56"/>
  <c r="K86" i="56"/>
  <c r="K87" i="56"/>
  <c r="K88" i="56"/>
  <c r="K81" i="56"/>
  <c r="K82" i="56"/>
  <c r="K83" i="56"/>
  <c r="K80" i="56"/>
  <c r="B63" i="56"/>
  <c r="B62" i="56"/>
  <c r="B61" i="56"/>
  <c r="D63" i="56"/>
  <c r="C63" i="56"/>
  <c r="C368" i="56" s="1"/>
  <c r="A63" i="56"/>
  <c r="D62" i="56"/>
  <c r="C62" i="56"/>
  <c r="C367" i="56" s="1"/>
  <c r="A62" i="56"/>
  <c r="D61" i="56"/>
  <c r="C61" i="56"/>
  <c r="C366" i="56" s="1"/>
  <c r="A61" i="56"/>
  <c r="B60" i="56"/>
  <c r="B59" i="56"/>
  <c r="B58" i="56"/>
  <c r="B32" i="56"/>
  <c r="B33" i="56"/>
  <c r="B34" i="56"/>
  <c r="B35" i="56"/>
  <c r="B36" i="56"/>
  <c r="B37" i="56"/>
  <c r="B38" i="56"/>
  <c r="B39" i="56"/>
  <c r="B40" i="56"/>
  <c r="B41" i="56"/>
  <c r="B42" i="56"/>
  <c r="B43" i="56"/>
  <c r="B44" i="56"/>
  <c r="B45" i="56"/>
  <c r="B46" i="56"/>
  <c r="B47" i="56"/>
  <c r="B48" i="56"/>
  <c r="B49" i="56"/>
  <c r="B50" i="56"/>
  <c r="B51" i="56"/>
  <c r="B52" i="56"/>
  <c r="B53" i="56"/>
  <c r="B54" i="56"/>
  <c r="B55" i="56"/>
  <c r="B57" i="56"/>
  <c r="B31" i="56"/>
  <c r="I57" i="56"/>
  <c r="H57" i="56"/>
  <c r="D57" i="56"/>
  <c r="C57" i="56"/>
  <c r="C362" i="56" s="1"/>
  <c r="A57" i="56"/>
  <c r="I55" i="56"/>
  <c r="H55" i="56"/>
  <c r="D55" i="56"/>
  <c r="C55" i="56"/>
  <c r="C360" i="56" s="1"/>
  <c r="A55" i="56"/>
  <c r="I54" i="56"/>
  <c r="H54" i="56"/>
  <c r="D54" i="56"/>
  <c r="C54" i="56"/>
  <c r="C359" i="56" s="1"/>
  <c r="A54" i="56"/>
  <c r="I53" i="56"/>
  <c r="H53" i="56"/>
  <c r="D53" i="56"/>
  <c r="C53" i="56"/>
  <c r="C358" i="56" s="1"/>
  <c r="A53" i="56"/>
  <c r="I52" i="56"/>
  <c r="H52" i="56"/>
  <c r="D52" i="56"/>
  <c r="C52" i="56"/>
  <c r="C357" i="56" s="1"/>
  <c r="A52" i="56"/>
  <c r="I51" i="56"/>
  <c r="H51" i="56"/>
  <c r="D51" i="56"/>
  <c r="C51" i="56"/>
  <c r="C356" i="56" s="1"/>
  <c r="A51" i="56"/>
  <c r="I50" i="56"/>
  <c r="H50" i="56"/>
  <c r="D50" i="56"/>
  <c r="C50" i="56"/>
  <c r="C355" i="56" s="1"/>
  <c r="A50" i="56"/>
  <c r="I49" i="56"/>
  <c r="H49" i="56"/>
  <c r="D49" i="56"/>
  <c r="C49" i="56"/>
  <c r="C354" i="56" s="1"/>
  <c r="A49" i="56"/>
  <c r="I48" i="56"/>
  <c r="H48" i="56"/>
  <c r="D48" i="56"/>
  <c r="C48" i="56"/>
  <c r="C353" i="56" s="1"/>
  <c r="A48" i="56"/>
  <c r="A353" i="56" s="1"/>
  <c r="I47" i="56"/>
  <c r="H47" i="56"/>
  <c r="D47" i="56"/>
  <c r="C47" i="56"/>
  <c r="C352" i="56" s="1"/>
  <c r="A47" i="56"/>
  <c r="I46" i="56"/>
  <c r="H46" i="56"/>
  <c r="D46" i="56"/>
  <c r="C46" i="56"/>
  <c r="C351" i="56" s="1"/>
  <c r="A46" i="56"/>
  <c r="I45" i="56"/>
  <c r="H45" i="56"/>
  <c r="D45" i="56"/>
  <c r="C45" i="56"/>
  <c r="C350" i="56" s="1"/>
  <c r="A45" i="56"/>
  <c r="I44" i="56"/>
  <c r="H44" i="56"/>
  <c r="D44" i="56"/>
  <c r="C44" i="56"/>
  <c r="C349" i="56" s="1"/>
  <c r="A44" i="56"/>
  <c r="A349" i="56" s="1"/>
  <c r="I43" i="56"/>
  <c r="H43" i="56"/>
  <c r="D43" i="56"/>
  <c r="C43" i="56"/>
  <c r="C348" i="56" s="1"/>
  <c r="A43" i="56"/>
  <c r="I42" i="56"/>
  <c r="H42" i="56"/>
  <c r="D42" i="56"/>
  <c r="C42" i="56"/>
  <c r="C347" i="56" s="1"/>
  <c r="A42" i="56"/>
  <c r="I41" i="56"/>
  <c r="H41" i="56"/>
  <c r="D41" i="56"/>
  <c r="C41" i="56"/>
  <c r="C346" i="56" s="1"/>
  <c r="A41" i="56"/>
  <c r="A346" i="56" s="1"/>
  <c r="I40" i="56"/>
  <c r="H40" i="56"/>
  <c r="D40" i="56"/>
  <c r="C40" i="56"/>
  <c r="C345" i="56" s="1"/>
  <c r="A40" i="56"/>
  <c r="I39" i="56"/>
  <c r="H39" i="56"/>
  <c r="D39" i="56"/>
  <c r="C39" i="56"/>
  <c r="C344" i="56" s="1"/>
  <c r="A39" i="56"/>
  <c r="I38" i="56"/>
  <c r="H38" i="56"/>
  <c r="D38" i="56"/>
  <c r="C38" i="56"/>
  <c r="C343" i="56" s="1"/>
  <c r="A38" i="56"/>
  <c r="I37" i="56"/>
  <c r="H37" i="56"/>
  <c r="D37" i="56"/>
  <c r="C37" i="56"/>
  <c r="C342" i="56" s="1"/>
  <c r="A37" i="56"/>
  <c r="I36" i="56"/>
  <c r="H36" i="56"/>
  <c r="D36" i="56"/>
  <c r="C36" i="56"/>
  <c r="C341" i="56" s="1"/>
  <c r="A36" i="56"/>
  <c r="I35" i="56"/>
  <c r="H35" i="56"/>
  <c r="D35" i="56"/>
  <c r="C35" i="56"/>
  <c r="C340" i="56" s="1"/>
  <c r="A35" i="56"/>
  <c r="I34" i="56"/>
  <c r="H34" i="56"/>
  <c r="D34" i="56"/>
  <c r="C34" i="56"/>
  <c r="C339" i="56" s="1"/>
  <c r="A34" i="56"/>
  <c r="I33" i="56"/>
  <c r="H33" i="56"/>
  <c r="D33" i="56"/>
  <c r="C33" i="56"/>
  <c r="C338" i="56" s="1"/>
  <c r="A33" i="56"/>
  <c r="I32" i="56"/>
  <c r="H32" i="56"/>
  <c r="D32" i="56"/>
  <c r="C32" i="56"/>
  <c r="C337" i="56" s="1"/>
  <c r="A32" i="56"/>
  <c r="I31" i="56"/>
  <c r="H31" i="56"/>
  <c r="D31" i="56"/>
  <c r="C31" i="56"/>
  <c r="C336" i="56" s="1"/>
  <c r="A31" i="56"/>
  <c r="B7" i="56"/>
  <c r="B8" i="56"/>
  <c r="B9" i="56"/>
  <c r="B10" i="56"/>
  <c r="B11" i="56"/>
  <c r="B12" i="56"/>
  <c r="B13" i="56"/>
  <c r="B14" i="56"/>
  <c r="B15" i="56"/>
  <c r="B16" i="56"/>
  <c r="B17" i="56"/>
  <c r="B18" i="56"/>
  <c r="B19" i="56"/>
  <c r="B20" i="56"/>
  <c r="B21" i="56"/>
  <c r="B22" i="56"/>
  <c r="B23" i="56"/>
  <c r="B24" i="56"/>
  <c r="B25" i="56"/>
  <c r="B26" i="56"/>
  <c r="B27" i="56"/>
  <c r="B28" i="56"/>
  <c r="B30" i="56"/>
  <c r="B6" i="56"/>
  <c r="I194" i="63"/>
  <c r="I193" i="63"/>
  <c r="I192" i="63"/>
  <c r="I191" i="63"/>
  <c r="I190" i="63"/>
  <c r="I189" i="63"/>
  <c r="I188" i="63"/>
  <c r="I187" i="63"/>
  <c r="I186" i="63"/>
  <c r="I185" i="63"/>
  <c r="I147" i="63"/>
  <c r="I146" i="63"/>
  <c r="I145" i="63"/>
  <c r="I144" i="63"/>
  <c r="I143" i="63"/>
  <c r="I142" i="63"/>
  <c r="I141" i="63"/>
  <c r="I140" i="63"/>
  <c r="I139" i="63"/>
  <c r="I138" i="63"/>
  <c r="I67" i="63"/>
  <c r="I66" i="63"/>
  <c r="I65" i="63"/>
  <c r="I64" i="63"/>
  <c r="I63" i="63"/>
  <c r="I62" i="63"/>
  <c r="I61" i="63"/>
  <c r="I60" i="63"/>
  <c r="I59" i="63"/>
  <c r="I58" i="63"/>
  <c r="I57" i="63"/>
  <c r="I56" i="63"/>
  <c r="I25" i="63"/>
  <c r="I24" i="63"/>
  <c r="I23" i="63"/>
  <c r="I22" i="63"/>
  <c r="I21" i="63"/>
  <c r="I20" i="63"/>
  <c r="I19" i="63"/>
  <c r="I18" i="63"/>
  <c r="I17" i="63"/>
  <c r="I16" i="63"/>
  <c r="I15" i="63"/>
  <c r="I14" i="63"/>
  <c r="K138" i="63" l="1"/>
  <c r="Q203" i="56" s="1"/>
  <c r="L138" i="63"/>
  <c r="R203" i="56" s="1"/>
  <c r="M138" i="63"/>
  <c r="S203" i="56" s="1"/>
  <c r="N138" i="63"/>
  <c r="T203" i="56" s="1"/>
  <c r="O138" i="63"/>
  <c r="U203" i="56" s="1"/>
  <c r="P138" i="63"/>
  <c r="V203" i="56" s="1"/>
  <c r="Q138" i="63"/>
  <c r="W203" i="56" s="1"/>
  <c r="R138" i="63"/>
  <c r="X203" i="56" s="1"/>
  <c r="S138" i="63"/>
  <c r="Y203" i="56" s="1"/>
  <c r="T138" i="63"/>
  <c r="Z203" i="56" s="1"/>
  <c r="U138" i="63"/>
  <c r="AA203" i="56" s="1"/>
  <c r="V138" i="63"/>
  <c r="AB203" i="56" s="1"/>
  <c r="W138" i="63"/>
  <c r="AC203" i="56" s="1"/>
  <c r="X138" i="63"/>
  <c r="AD203" i="56" s="1"/>
  <c r="Y138" i="63"/>
  <c r="AE203" i="56" s="1"/>
  <c r="Z138" i="63"/>
  <c r="AF203" i="56" s="1"/>
  <c r="AA138" i="63"/>
  <c r="AG203" i="56" s="1"/>
  <c r="AB138" i="63"/>
  <c r="AH203" i="56" s="1"/>
  <c r="AC138" i="63"/>
  <c r="AI203" i="56" s="1"/>
  <c r="AD138" i="63"/>
  <c r="AJ203" i="56" s="1"/>
  <c r="AE138" i="63"/>
  <c r="AK203" i="56" s="1"/>
  <c r="AF138" i="63"/>
  <c r="AL203" i="56" s="1"/>
  <c r="AG138" i="63"/>
  <c r="AM203" i="56" s="1"/>
  <c r="AH138" i="63"/>
  <c r="AN203" i="56" s="1"/>
  <c r="AI138" i="63"/>
  <c r="AO203" i="56" s="1"/>
  <c r="AJ138" i="63"/>
  <c r="AP203" i="56" s="1"/>
  <c r="AK138" i="63"/>
  <c r="AQ203" i="56" s="1"/>
  <c r="AL138" i="63"/>
  <c r="AR203" i="56" s="1"/>
  <c r="K139" i="63"/>
  <c r="Q204" i="56" s="1"/>
  <c r="L139" i="63"/>
  <c r="R204" i="56" s="1"/>
  <c r="M139" i="63"/>
  <c r="S204" i="56" s="1"/>
  <c r="N139" i="63"/>
  <c r="T204" i="56" s="1"/>
  <c r="O139" i="63"/>
  <c r="U204" i="56" s="1"/>
  <c r="P139" i="63"/>
  <c r="V204" i="56" s="1"/>
  <c r="Q139" i="63"/>
  <c r="W204" i="56" s="1"/>
  <c r="R139" i="63"/>
  <c r="X204" i="56" s="1"/>
  <c r="S139" i="63"/>
  <c r="Y204" i="56" s="1"/>
  <c r="T139" i="63"/>
  <c r="Z204" i="56" s="1"/>
  <c r="U139" i="63"/>
  <c r="AA204" i="56" s="1"/>
  <c r="V139" i="63"/>
  <c r="AB204" i="56" s="1"/>
  <c r="W139" i="63"/>
  <c r="AC204" i="56" s="1"/>
  <c r="X139" i="63"/>
  <c r="AD204" i="56" s="1"/>
  <c r="Y139" i="63"/>
  <c r="AE204" i="56" s="1"/>
  <c r="Z139" i="63"/>
  <c r="AF204" i="56" s="1"/>
  <c r="AA139" i="63"/>
  <c r="AG204" i="56" s="1"/>
  <c r="AB139" i="63"/>
  <c r="AH204" i="56" s="1"/>
  <c r="AC139" i="63"/>
  <c r="AI204" i="56" s="1"/>
  <c r="AD139" i="63"/>
  <c r="AJ204" i="56" s="1"/>
  <c r="AE139" i="63"/>
  <c r="AK204" i="56" s="1"/>
  <c r="AF139" i="63"/>
  <c r="AL204" i="56" s="1"/>
  <c r="AG139" i="63"/>
  <c r="AM204" i="56" s="1"/>
  <c r="AH139" i="63"/>
  <c r="AN204" i="56" s="1"/>
  <c r="AI139" i="63"/>
  <c r="AO204" i="56" s="1"/>
  <c r="AJ139" i="63"/>
  <c r="AP204" i="56" s="1"/>
  <c r="AK139" i="63"/>
  <c r="AQ204" i="56" s="1"/>
  <c r="AL139" i="63"/>
  <c r="AR204" i="56" s="1"/>
  <c r="K140" i="63"/>
  <c r="Q205" i="56" s="1"/>
  <c r="L140" i="63"/>
  <c r="R205" i="56" s="1"/>
  <c r="M140" i="63"/>
  <c r="S205" i="56" s="1"/>
  <c r="N140" i="63"/>
  <c r="T205" i="56" s="1"/>
  <c r="O140" i="63"/>
  <c r="U205" i="56" s="1"/>
  <c r="P140" i="63"/>
  <c r="V205" i="56" s="1"/>
  <c r="Q140" i="63"/>
  <c r="W205" i="56" s="1"/>
  <c r="R140" i="63"/>
  <c r="X205" i="56" s="1"/>
  <c r="S140" i="63"/>
  <c r="Y205" i="56" s="1"/>
  <c r="T140" i="63"/>
  <c r="Z205" i="56" s="1"/>
  <c r="U140" i="63"/>
  <c r="AA205" i="56" s="1"/>
  <c r="V140" i="63"/>
  <c r="AB205" i="56" s="1"/>
  <c r="W140" i="63"/>
  <c r="AC205" i="56" s="1"/>
  <c r="X140" i="63"/>
  <c r="AD205" i="56" s="1"/>
  <c r="Y140" i="63"/>
  <c r="AE205" i="56" s="1"/>
  <c r="Z140" i="63"/>
  <c r="AF205" i="56" s="1"/>
  <c r="AA140" i="63"/>
  <c r="AG205" i="56" s="1"/>
  <c r="AB140" i="63"/>
  <c r="AH205" i="56" s="1"/>
  <c r="AC140" i="63"/>
  <c r="AI205" i="56" s="1"/>
  <c r="AD140" i="63"/>
  <c r="AJ205" i="56" s="1"/>
  <c r="AE140" i="63"/>
  <c r="AK205" i="56" s="1"/>
  <c r="AF140" i="63"/>
  <c r="AL205" i="56" s="1"/>
  <c r="AG140" i="63"/>
  <c r="AM205" i="56" s="1"/>
  <c r="AH140" i="63"/>
  <c r="AN205" i="56" s="1"/>
  <c r="AI140" i="63"/>
  <c r="AO205" i="56" s="1"/>
  <c r="AJ140" i="63"/>
  <c r="AP205" i="56" s="1"/>
  <c r="AK140" i="63"/>
  <c r="AQ205" i="56" s="1"/>
  <c r="AL140" i="63"/>
  <c r="AR205" i="56" s="1"/>
  <c r="K141" i="63"/>
  <c r="Q206" i="56" s="1"/>
  <c r="L141" i="63"/>
  <c r="R206" i="56" s="1"/>
  <c r="M141" i="63"/>
  <c r="S206" i="56" s="1"/>
  <c r="N141" i="63"/>
  <c r="T206" i="56" s="1"/>
  <c r="O141" i="63"/>
  <c r="U206" i="56" s="1"/>
  <c r="P141" i="63"/>
  <c r="V206" i="56" s="1"/>
  <c r="Q141" i="63"/>
  <c r="W206" i="56" s="1"/>
  <c r="R141" i="63"/>
  <c r="X206" i="56" s="1"/>
  <c r="S141" i="63"/>
  <c r="Y206" i="56" s="1"/>
  <c r="T141" i="63"/>
  <c r="Z206" i="56" s="1"/>
  <c r="U141" i="63"/>
  <c r="AA206" i="56" s="1"/>
  <c r="V141" i="63"/>
  <c r="AB206" i="56" s="1"/>
  <c r="W141" i="63"/>
  <c r="AC206" i="56" s="1"/>
  <c r="X141" i="63"/>
  <c r="AD206" i="56" s="1"/>
  <c r="Y141" i="63"/>
  <c r="AE206" i="56" s="1"/>
  <c r="Z141" i="63"/>
  <c r="AF206" i="56" s="1"/>
  <c r="AA141" i="63"/>
  <c r="AG206" i="56" s="1"/>
  <c r="AB141" i="63"/>
  <c r="AH206" i="56" s="1"/>
  <c r="AC141" i="63"/>
  <c r="AI206" i="56" s="1"/>
  <c r="AD141" i="63"/>
  <c r="AJ206" i="56" s="1"/>
  <c r="AE141" i="63"/>
  <c r="AK206" i="56" s="1"/>
  <c r="AF141" i="63"/>
  <c r="AL206" i="56" s="1"/>
  <c r="AG141" i="63"/>
  <c r="AM206" i="56" s="1"/>
  <c r="AH141" i="63"/>
  <c r="AN206" i="56" s="1"/>
  <c r="AI141" i="63"/>
  <c r="AO206" i="56" s="1"/>
  <c r="AJ141" i="63"/>
  <c r="AP206" i="56" s="1"/>
  <c r="AK141" i="63"/>
  <c r="AQ206" i="56" s="1"/>
  <c r="AL141" i="63"/>
  <c r="AR206" i="56" s="1"/>
  <c r="K142" i="63"/>
  <c r="Q207" i="56" s="1"/>
  <c r="L142" i="63"/>
  <c r="R207" i="56" s="1"/>
  <c r="M142" i="63"/>
  <c r="S207" i="56" s="1"/>
  <c r="N142" i="63"/>
  <c r="T207" i="56" s="1"/>
  <c r="O142" i="63"/>
  <c r="U207" i="56" s="1"/>
  <c r="P142" i="63"/>
  <c r="V207" i="56" s="1"/>
  <c r="Q142" i="63"/>
  <c r="W207" i="56" s="1"/>
  <c r="R142" i="63"/>
  <c r="X207" i="56" s="1"/>
  <c r="S142" i="63"/>
  <c r="Y207" i="56" s="1"/>
  <c r="T142" i="63"/>
  <c r="Z207" i="56" s="1"/>
  <c r="U142" i="63"/>
  <c r="AA207" i="56" s="1"/>
  <c r="V142" i="63"/>
  <c r="AB207" i="56" s="1"/>
  <c r="W142" i="63"/>
  <c r="AC207" i="56" s="1"/>
  <c r="X142" i="63"/>
  <c r="AD207" i="56" s="1"/>
  <c r="Y142" i="63"/>
  <c r="AE207" i="56" s="1"/>
  <c r="Z142" i="63"/>
  <c r="AF207" i="56" s="1"/>
  <c r="AA142" i="63"/>
  <c r="AG207" i="56" s="1"/>
  <c r="AB142" i="63"/>
  <c r="AH207" i="56" s="1"/>
  <c r="AC142" i="63"/>
  <c r="AI207" i="56" s="1"/>
  <c r="AD142" i="63"/>
  <c r="AJ207" i="56" s="1"/>
  <c r="AE142" i="63"/>
  <c r="AK207" i="56" s="1"/>
  <c r="AF142" i="63"/>
  <c r="AL207" i="56" s="1"/>
  <c r="AG142" i="63"/>
  <c r="AM207" i="56" s="1"/>
  <c r="AH142" i="63"/>
  <c r="AN207" i="56" s="1"/>
  <c r="AI142" i="63"/>
  <c r="AO207" i="56" s="1"/>
  <c r="AJ142" i="63"/>
  <c r="AP207" i="56" s="1"/>
  <c r="AK142" i="63"/>
  <c r="AQ207" i="56" s="1"/>
  <c r="AL142" i="63"/>
  <c r="AR207" i="56" s="1"/>
  <c r="K143" i="63"/>
  <c r="Q208" i="56" s="1"/>
  <c r="L143" i="63"/>
  <c r="R208" i="56" s="1"/>
  <c r="M143" i="63"/>
  <c r="S208" i="56" s="1"/>
  <c r="N143" i="63"/>
  <c r="T208" i="56" s="1"/>
  <c r="O143" i="63"/>
  <c r="U208" i="56" s="1"/>
  <c r="P143" i="63"/>
  <c r="V208" i="56" s="1"/>
  <c r="Q143" i="63"/>
  <c r="W208" i="56" s="1"/>
  <c r="R143" i="63"/>
  <c r="X208" i="56" s="1"/>
  <c r="S143" i="63"/>
  <c r="Y208" i="56" s="1"/>
  <c r="T143" i="63"/>
  <c r="Z208" i="56" s="1"/>
  <c r="U143" i="63"/>
  <c r="AA208" i="56" s="1"/>
  <c r="V143" i="63"/>
  <c r="AB208" i="56" s="1"/>
  <c r="W143" i="63"/>
  <c r="AC208" i="56" s="1"/>
  <c r="X143" i="63"/>
  <c r="AD208" i="56" s="1"/>
  <c r="Y143" i="63"/>
  <c r="AE208" i="56" s="1"/>
  <c r="Z143" i="63"/>
  <c r="AF208" i="56" s="1"/>
  <c r="AA143" i="63"/>
  <c r="AG208" i="56" s="1"/>
  <c r="AB143" i="63"/>
  <c r="AH208" i="56" s="1"/>
  <c r="AC143" i="63"/>
  <c r="AI208" i="56" s="1"/>
  <c r="AD143" i="63"/>
  <c r="AJ208" i="56" s="1"/>
  <c r="AE143" i="63"/>
  <c r="AK208" i="56" s="1"/>
  <c r="AF143" i="63"/>
  <c r="AL208" i="56" s="1"/>
  <c r="AG143" i="63"/>
  <c r="AM208" i="56" s="1"/>
  <c r="AH143" i="63"/>
  <c r="AN208" i="56" s="1"/>
  <c r="AI143" i="63"/>
  <c r="AO208" i="56" s="1"/>
  <c r="AJ143" i="63"/>
  <c r="AP208" i="56" s="1"/>
  <c r="AK143" i="63"/>
  <c r="AQ208" i="56" s="1"/>
  <c r="AL143" i="63"/>
  <c r="AR208" i="56" s="1"/>
  <c r="K144" i="63"/>
  <c r="Q209" i="56" s="1"/>
  <c r="L144" i="63"/>
  <c r="R209" i="56" s="1"/>
  <c r="M144" i="63"/>
  <c r="S209" i="56" s="1"/>
  <c r="N144" i="63"/>
  <c r="T209" i="56" s="1"/>
  <c r="O144" i="63"/>
  <c r="U209" i="56" s="1"/>
  <c r="P144" i="63"/>
  <c r="V209" i="56" s="1"/>
  <c r="Q144" i="63"/>
  <c r="W209" i="56" s="1"/>
  <c r="R144" i="63"/>
  <c r="X209" i="56" s="1"/>
  <c r="S144" i="63"/>
  <c r="Y209" i="56" s="1"/>
  <c r="T144" i="63"/>
  <c r="Z209" i="56" s="1"/>
  <c r="U144" i="63"/>
  <c r="AA209" i="56" s="1"/>
  <c r="V144" i="63"/>
  <c r="AB209" i="56" s="1"/>
  <c r="W144" i="63"/>
  <c r="AC209" i="56" s="1"/>
  <c r="X144" i="63"/>
  <c r="AD209" i="56" s="1"/>
  <c r="Y144" i="63"/>
  <c r="AE209" i="56" s="1"/>
  <c r="Z144" i="63"/>
  <c r="AF209" i="56" s="1"/>
  <c r="AA144" i="63"/>
  <c r="AG209" i="56" s="1"/>
  <c r="AB144" i="63"/>
  <c r="AH209" i="56" s="1"/>
  <c r="AC144" i="63"/>
  <c r="AI209" i="56" s="1"/>
  <c r="AD144" i="63"/>
  <c r="AJ209" i="56" s="1"/>
  <c r="AE144" i="63"/>
  <c r="AK209" i="56" s="1"/>
  <c r="AF144" i="63"/>
  <c r="AL209" i="56" s="1"/>
  <c r="AG144" i="63"/>
  <c r="AM209" i="56" s="1"/>
  <c r="AH144" i="63"/>
  <c r="AN209" i="56" s="1"/>
  <c r="AI144" i="63"/>
  <c r="AO209" i="56" s="1"/>
  <c r="AJ144" i="63"/>
  <c r="AP209" i="56" s="1"/>
  <c r="AK144" i="63"/>
  <c r="AQ209" i="56" s="1"/>
  <c r="AL144" i="63"/>
  <c r="AR209" i="56" s="1"/>
  <c r="K145" i="63"/>
  <c r="Q210" i="56" s="1"/>
  <c r="L145" i="63"/>
  <c r="R210" i="56" s="1"/>
  <c r="M145" i="63"/>
  <c r="S210" i="56" s="1"/>
  <c r="N145" i="63"/>
  <c r="T210" i="56" s="1"/>
  <c r="O145" i="63"/>
  <c r="U210" i="56" s="1"/>
  <c r="P145" i="63"/>
  <c r="V210" i="56" s="1"/>
  <c r="Q145" i="63"/>
  <c r="W210" i="56" s="1"/>
  <c r="R145" i="63"/>
  <c r="X210" i="56" s="1"/>
  <c r="S145" i="63"/>
  <c r="Y210" i="56" s="1"/>
  <c r="T145" i="63"/>
  <c r="Z210" i="56" s="1"/>
  <c r="U145" i="63"/>
  <c r="AA210" i="56" s="1"/>
  <c r="V145" i="63"/>
  <c r="AB210" i="56" s="1"/>
  <c r="W145" i="63"/>
  <c r="AC210" i="56" s="1"/>
  <c r="X145" i="63"/>
  <c r="AD210" i="56" s="1"/>
  <c r="Y145" i="63"/>
  <c r="AE210" i="56" s="1"/>
  <c r="Z145" i="63"/>
  <c r="AF210" i="56" s="1"/>
  <c r="AA145" i="63"/>
  <c r="AG210" i="56" s="1"/>
  <c r="AB145" i="63"/>
  <c r="AH210" i="56" s="1"/>
  <c r="AC145" i="63"/>
  <c r="AI210" i="56" s="1"/>
  <c r="AD145" i="63"/>
  <c r="AJ210" i="56" s="1"/>
  <c r="AE145" i="63"/>
  <c r="AK210" i="56" s="1"/>
  <c r="AF145" i="63"/>
  <c r="AL210" i="56" s="1"/>
  <c r="AG145" i="63"/>
  <c r="AM210" i="56" s="1"/>
  <c r="AH145" i="63"/>
  <c r="AN210" i="56" s="1"/>
  <c r="AI145" i="63"/>
  <c r="AO210" i="56" s="1"/>
  <c r="AJ145" i="63"/>
  <c r="AP210" i="56" s="1"/>
  <c r="AK145" i="63"/>
  <c r="AQ210" i="56" s="1"/>
  <c r="AL145" i="63"/>
  <c r="AR210" i="56" s="1"/>
  <c r="K146" i="63"/>
  <c r="Q211" i="56" s="1"/>
  <c r="L146" i="63"/>
  <c r="R211" i="56" s="1"/>
  <c r="M146" i="63"/>
  <c r="S211" i="56" s="1"/>
  <c r="N146" i="63"/>
  <c r="T211" i="56" s="1"/>
  <c r="O146" i="63"/>
  <c r="U211" i="56" s="1"/>
  <c r="P146" i="63"/>
  <c r="V211" i="56" s="1"/>
  <c r="Q146" i="63"/>
  <c r="W211" i="56" s="1"/>
  <c r="R146" i="63"/>
  <c r="X211" i="56" s="1"/>
  <c r="S146" i="63"/>
  <c r="Y211" i="56" s="1"/>
  <c r="T146" i="63"/>
  <c r="Z211" i="56" s="1"/>
  <c r="U146" i="63"/>
  <c r="AA211" i="56" s="1"/>
  <c r="V146" i="63"/>
  <c r="AB211" i="56" s="1"/>
  <c r="W146" i="63"/>
  <c r="AC211" i="56" s="1"/>
  <c r="X146" i="63"/>
  <c r="AD211" i="56" s="1"/>
  <c r="Y146" i="63"/>
  <c r="AE211" i="56" s="1"/>
  <c r="Z146" i="63"/>
  <c r="AF211" i="56" s="1"/>
  <c r="AA146" i="63"/>
  <c r="AG211" i="56" s="1"/>
  <c r="AB146" i="63"/>
  <c r="AH211" i="56" s="1"/>
  <c r="AC146" i="63"/>
  <c r="AI211" i="56" s="1"/>
  <c r="AD146" i="63"/>
  <c r="AJ211" i="56" s="1"/>
  <c r="AE146" i="63"/>
  <c r="AK211" i="56" s="1"/>
  <c r="AF146" i="63"/>
  <c r="AL211" i="56" s="1"/>
  <c r="AG146" i="63"/>
  <c r="AM211" i="56" s="1"/>
  <c r="AH146" i="63"/>
  <c r="AN211" i="56" s="1"/>
  <c r="AI146" i="63"/>
  <c r="AO211" i="56" s="1"/>
  <c r="AJ146" i="63"/>
  <c r="AP211" i="56" s="1"/>
  <c r="AK146" i="63"/>
  <c r="AQ211" i="56" s="1"/>
  <c r="AL146" i="63"/>
  <c r="AR211" i="56" s="1"/>
  <c r="K147" i="63"/>
  <c r="Q212" i="56" s="1"/>
  <c r="L147" i="63"/>
  <c r="R212" i="56" s="1"/>
  <c r="M147" i="63"/>
  <c r="S212" i="56" s="1"/>
  <c r="N147" i="63"/>
  <c r="T212" i="56" s="1"/>
  <c r="O147" i="63"/>
  <c r="U212" i="56" s="1"/>
  <c r="P147" i="63"/>
  <c r="V212" i="56" s="1"/>
  <c r="Q147" i="63"/>
  <c r="W212" i="56" s="1"/>
  <c r="R147" i="63"/>
  <c r="X212" i="56" s="1"/>
  <c r="S147" i="63"/>
  <c r="Y212" i="56" s="1"/>
  <c r="T147" i="63"/>
  <c r="Z212" i="56" s="1"/>
  <c r="U147" i="63"/>
  <c r="AA212" i="56" s="1"/>
  <c r="V147" i="63"/>
  <c r="AB212" i="56" s="1"/>
  <c r="W147" i="63"/>
  <c r="AC212" i="56" s="1"/>
  <c r="X147" i="63"/>
  <c r="AD212" i="56" s="1"/>
  <c r="Y147" i="63"/>
  <c r="AE212" i="56" s="1"/>
  <c r="Z147" i="63"/>
  <c r="AF212" i="56" s="1"/>
  <c r="AA147" i="63"/>
  <c r="AG212" i="56" s="1"/>
  <c r="AB147" i="63"/>
  <c r="AH212" i="56" s="1"/>
  <c r="AC147" i="63"/>
  <c r="AI212" i="56" s="1"/>
  <c r="AD147" i="63"/>
  <c r="AJ212" i="56" s="1"/>
  <c r="AE147" i="63"/>
  <c r="AK212" i="56" s="1"/>
  <c r="AF147" i="63"/>
  <c r="AL212" i="56" s="1"/>
  <c r="AG147" i="63"/>
  <c r="AM212" i="56" s="1"/>
  <c r="AH147" i="63"/>
  <c r="AN212" i="56" s="1"/>
  <c r="AI147" i="63"/>
  <c r="AO212" i="56" s="1"/>
  <c r="AJ147" i="63"/>
  <c r="AP212" i="56" s="1"/>
  <c r="AK147" i="63"/>
  <c r="AQ212" i="56" s="1"/>
  <c r="AL147" i="63"/>
  <c r="AR212" i="56" s="1"/>
  <c r="K185" i="63"/>
  <c r="Q250" i="56" s="1"/>
  <c r="L185" i="63"/>
  <c r="R250" i="56" s="1"/>
  <c r="M185" i="63"/>
  <c r="S250" i="56" s="1"/>
  <c r="N185" i="63"/>
  <c r="T250" i="56" s="1"/>
  <c r="O185" i="63"/>
  <c r="U250" i="56" s="1"/>
  <c r="P185" i="63"/>
  <c r="V250" i="56" s="1"/>
  <c r="Q185" i="63"/>
  <c r="W250" i="56" s="1"/>
  <c r="R185" i="63"/>
  <c r="X250" i="56" s="1"/>
  <c r="S185" i="63"/>
  <c r="Y250" i="56" s="1"/>
  <c r="T185" i="63"/>
  <c r="Z250" i="56" s="1"/>
  <c r="U185" i="63"/>
  <c r="AA250" i="56" s="1"/>
  <c r="V185" i="63"/>
  <c r="AB250" i="56" s="1"/>
  <c r="W185" i="63"/>
  <c r="AC250" i="56" s="1"/>
  <c r="X185" i="63"/>
  <c r="AD250" i="56" s="1"/>
  <c r="Y185" i="63"/>
  <c r="AE250" i="56" s="1"/>
  <c r="Z185" i="63"/>
  <c r="AF250" i="56" s="1"/>
  <c r="AA185" i="63"/>
  <c r="AG250" i="56" s="1"/>
  <c r="AB185" i="63"/>
  <c r="AH250" i="56" s="1"/>
  <c r="AC185" i="63"/>
  <c r="AI250" i="56" s="1"/>
  <c r="AD185" i="63"/>
  <c r="AJ250" i="56" s="1"/>
  <c r="AE185" i="63"/>
  <c r="AK250" i="56" s="1"/>
  <c r="AF185" i="63"/>
  <c r="AL250" i="56" s="1"/>
  <c r="AG185" i="63"/>
  <c r="AM250" i="56" s="1"/>
  <c r="AH185" i="63"/>
  <c r="AN250" i="56" s="1"/>
  <c r="AI185" i="63"/>
  <c r="AO250" i="56" s="1"/>
  <c r="AJ185" i="63"/>
  <c r="AP250" i="56" s="1"/>
  <c r="AK185" i="63"/>
  <c r="AQ250" i="56" s="1"/>
  <c r="AL185" i="63"/>
  <c r="AR250" i="56" s="1"/>
  <c r="K186" i="63"/>
  <c r="Q251" i="56" s="1"/>
  <c r="L186" i="63"/>
  <c r="R251" i="56" s="1"/>
  <c r="M186" i="63"/>
  <c r="S251" i="56" s="1"/>
  <c r="N186" i="63"/>
  <c r="T251" i="56" s="1"/>
  <c r="O186" i="63"/>
  <c r="U251" i="56" s="1"/>
  <c r="P186" i="63"/>
  <c r="V251" i="56" s="1"/>
  <c r="Q186" i="63"/>
  <c r="W251" i="56" s="1"/>
  <c r="R186" i="63"/>
  <c r="X251" i="56" s="1"/>
  <c r="S186" i="63"/>
  <c r="Y251" i="56" s="1"/>
  <c r="T186" i="63"/>
  <c r="Z251" i="56" s="1"/>
  <c r="U186" i="63"/>
  <c r="AA251" i="56" s="1"/>
  <c r="V186" i="63"/>
  <c r="AB251" i="56" s="1"/>
  <c r="W186" i="63"/>
  <c r="AC251" i="56" s="1"/>
  <c r="X186" i="63"/>
  <c r="AD251" i="56" s="1"/>
  <c r="Y186" i="63"/>
  <c r="AE251" i="56" s="1"/>
  <c r="Z186" i="63"/>
  <c r="AF251" i="56" s="1"/>
  <c r="AA186" i="63"/>
  <c r="AG251" i="56" s="1"/>
  <c r="AB186" i="63"/>
  <c r="AH251" i="56" s="1"/>
  <c r="AC186" i="63"/>
  <c r="AI251" i="56" s="1"/>
  <c r="AD186" i="63"/>
  <c r="AJ251" i="56" s="1"/>
  <c r="AE186" i="63"/>
  <c r="AK251" i="56" s="1"/>
  <c r="AF186" i="63"/>
  <c r="AL251" i="56" s="1"/>
  <c r="AG186" i="63"/>
  <c r="AM251" i="56" s="1"/>
  <c r="AH186" i="63"/>
  <c r="AN251" i="56" s="1"/>
  <c r="AI186" i="63"/>
  <c r="AO251" i="56" s="1"/>
  <c r="AJ186" i="63"/>
  <c r="AP251" i="56" s="1"/>
  <c r="AK186" i="63"/>
  <c r="AQ251" i="56" s="1"/>
  <c r="AL186" i="63"/>
  <c r="AR251" i="56" s="1"/>
  <c r="K187" i="63"/>
  <c r="Q252" i="56" s="1"/>
  <c r="L187" i="63"/>
  <c r="R252" i="56" s="1"/>
  <c r="M187" i="63"/>
  <c r="S252" i="56" s="1"/>
  <c r="N187" i="63"/>
  <c r="T252" i="56" s="1"/>
  <c r="O187" i="63"/>
  <c r="U252" i="56" s="1"/>
  <c r="P187" i="63"/>
  <c r="V252" i="56" s="1"/>
  <c r="Q187" i="63"/>
  <c r="W252" i="56" s="1"/>
  <c r="R187" i="63"/>
  <c r="X252" i="56" s="1"/>
  <c r="S187" i="63"/>
  <c r="Y252" i="56" s="1"/>
  <c r="T187" i="63"/>
  <c r="Z252" i="56" s="1"/>
  <c r="U187" i="63"/>
  <c r="AA252" i="56" s="1"/>
  <c r="V187" i="63"/>
  <c r="AB252" i="56" s="1"/>
  <c r="W187" i="63"/>
  <c r="AC252" i="56" s="1"/>
  <c r="X187" i="63"/>
  <c r="AD252" i="56" s="1"/>
  <c r="Y187" i="63"/>
  <c r="AE252" i="56" s="1"/>
  <c r="Z187" i="63"/>
  <c r="AF252" i="56" s="1"/>
  <c r="AA187" i="63"/>
  <c r="AG252" i="56" s="1"/>
  <c r="AB187" i="63"/>
  <c r="AH252" i="56" s="1"/>
  <c r="AC187" i="63"/>
  <c r="AI252" i="56" s="1"/>
  <c r="AD187" i="63"/>
  <c r="AJ252" i="56" s="1"/>
  <c r="AE187" i="63"/>
  <c r="AK252" i="56" s="1"/>
  <c r="AF187" i="63"/>
  <c r="AL252" i="56" s="1"/>
  <c r="AG187" i="63"/>
  <c r="AM252" i="56" s="1"/>
  <c r="AH187" i="63"/>
  <c r="AN252" i="56" s="1"/>
  <c r="AI187" i="63"/>
  <c r="AO252" i="56" s="1"/>
  <c r="AJ187" i="63"/>
  <c r="AP252" i="56" s="1"/>
  <c r="AK187" i="63"/>
  <c r="AQ252" i="56" s="1"/>
  <c r="AL187" i="63"/>
  <c r="AR252" i="56" s="1"/>
  <c r="K188" i="63"/>
  <c r="Q253" i="56" s="1"/>
  <c r="L188" i="63"/>
  <c r="R253" i="56" s="1"/>
  <c r="M188" i="63"/>
  <c r="S253" i="56" s="1"/>
  <c r="N188" i="63"/>
  <c r="T253" i="56" s="1"/>
  <c r="O188" i="63"/>
  <c r="U253" i="56" s="1"/>
  <c r="P188" i="63"/>
  <c r="V253" i="56" s="1"/>
  <c r="Q188" i="63"/>
  <c r="W253" i="56" s="1"/>
  <c r="R188" i="63"/>
  <c r="X253" i="56" s="1"/>
  <c r="S188" i="63"/>
  <c r="Y253" i="56" s="1"/>
  <c r="T188" i="63"/>
  <c r="Z253" i="56" s="1"/>
  <c r="U188" i="63"/>
  <c r="AA253" i="56" s="1"/>
  <c r="V188" i="63"/>
  <c r="AB253" i="56" s="1"/>
  <c r="W188" i="63"/>
  <c r="AC253" i="56" s="1"/>
  <c r="X188" i="63"/>
  <c r="AD253" i="56" s="1"/>
  <c r="Y188" i="63"/>
  <c r="AE253" i="56" s="1"/>
  <c r="Z188" i="63"/>
  <c r="AF253" i="56" s="1"/>
  <c r="AA188" i="63"/>
  <c r="AG253" i="56" s="1"/>
  <c r="AB188" i="63"/>
  <c r="AH253" i="56" s="1"/>
  <c r="AC188" i="63"/>
  <c r="AI253" i="56" s="1"/>
  <c r="AD188" i="63"/>
  <c r="AJ253" i="56" s="1"/>
  <c r="AE188" i="63"/>
  <c r="AK253" i="56" s="1"/>
  <c r="AF188" i="63"/>
  <c r="AL253" i="56" s="1"/>
  <c r="AG188" i="63"/>
  <c r="AM253" i="56" s="1"/>
  <c r="AH188" i="63"/>
  <c r="AN253" i="56" s="1"/>
  <c r="AI188" i="63"/>
  <c r="AO253" i="56" s="1"/>
  <c r="AJ188" i="63"/>
  <c r="AP253" i="56" s="1"/>
  <c r="AK188" i="63"/>
  <c r="AQ253" i="56" s="1"/>
  <c r="AL188" i="63"/>
  <c r="AR253" i="56" s="1"/>
  <c r="K189" i="63"/>
  <c r="Q254" i="56" s="1"/>
  <c r="L189" i="63"/>
  <c r="R254" i="56" s="1"/>
  <c r="M189" i="63"/>
  <c r="S254" i="56" s="1"/>
  <c r="N189" i="63"/>
  <c r="T254" i="56" s="1"/>
  <c r="O189" i="63"/>
  <c r="U254" i="56" s="1"/>
  <c r="P189" i="63"/>
  <c r="V254" i="56" s="1"/>
  <c r="Q189" i="63"/>
  <c r="W254" i="56" s="1"/>
  <c r="R189" i="63"/>
  <c r="X254" i="56" s="1"/>
  <c r="S189" i="63"/>
  <c r="Y254" i="56" s="1"/>
  <c r="T189" i="63"/>
  <c r="Z254" i="56" s="1"/>
  <c r="U189" i="63"/>
  <c r="AA254" i="56" s="1"/>
  <c r="V189" i="63"/>
  <c r="AB254" i="56" s="1"/>
  <c r="W189" i="63"/>
  <c r="AC254" i="56" s="1"/>
  <c r="X189" i="63"/>
  <c r="AD254" i="56" s="1"/>
  <c r="Y189" i="63"/>
  <c r="AE254" i="56" s="1"/>
  <c r="Z189" i="63"/>
  <c r="AF254" i="56" s="1"/>
  <c r="AA189" i="63"/>
  <c r="AG254" i="56" s="1"/>
  <c r="AB189" i="63"/>
  <c r="AH254" i="56" s="1"/>
  <c r="AC189" i="63"/>
  <c r="AI254" i="56" s="1"/>
  <c r="AD189" i="63"/>
  <c r="AJ254" i="56" s="1"/>
  <c r="AE189" i="63"/>
  <c r="AK254" i="56" s="1"/>
  <c r="AF189" i="63"/>
  <c r="AL254" i="56" s="1"/>
  <c r="AG189" i="63"/>
  <c r="AM254" i="56" s="1"/>
  <c r="AH189" i="63"/>
  <c r="AN254" i="56" s="1"/>
  <c r="AI189" i="63"/>
  <c r="AO254" i="56" s="1"/>
  <c r="AJ189" i="63"/>
  <c r="AP254" i="56" s="1"/>
  <c r="AK189" i="63"/>
  <c r="AQ254" i="56" s="1"/>
  <c r="AL189" i="63"/>
  <c r="AR254" i="56" s="1"/>
  <c r="K190" i="63"/>
  <c r="Q255" i="56" s="1"/>
  <c r="L190" i="63"/>
  <c r="R255" i="56" s="1"/>
  <c r="M190" i="63"/>
  <c r="S255" i="56" s="1"/>
  <c r="N190" i="63"/>
  <c r="T255" i="56" s="1"/>
  <c r="O190" i="63"/>
  <c r="U255" i="56" s="1"/>
  <c r="P190" i="63"/>
  <c r="V255" i="56" s="1"/>
  <c r="Q190" i="63"/>
  <c r="W255" i="56" s="1"/>
  <c r="R190" i="63"/>
  <c r="X255" i="56" s="1"/>
  <c r="S190" i="63"/>
  <c r="Y255" i="56" s="1"/>
  <c r="T190" i="63"/>
  <c r="Z255" i="56" s="1"/>
  <c r="U190" i="63"/>
  <c r="AA255" i="56" s="1"/>
  <c r="V190" i="63"/>
  <c r="AB255" i="56" s="1"/>
  <c r="W190" i="63"/>
  <c r="AC255" i="56" s="1"/>
  <c r="X190" i="63"/>
  <c r="AD255" i="56" s="1"/>
  <c r="Y190" i="63"/>
  <c r="AE255" i="56" s="1"/>
  <c r="Z190" i="63"/>
  <c r="AF255" i="56" s="1"/>
  <c r="AA190" i="63"/>
  <c r="AG255" i="56" s="1"/>
  <c r="AB190" i="63"/>
  <c r="AH255" i="56" s="1"/>
  <c r="AC190" i="63"/>
  <c r="AI255" i="56" s="1"/>
  <c r="AD190" i="63"/>
  <c r="AJ255" i="56" s="1"/>
  <c r="AE190" i="63"/>
  <c r="AK255" i="56" s="1"/>
  <c r="AF190" i="63"/>
  <c r="AL255" i="56" s="1"/>
  <c r="AG190" i="63"/>
  <c r="AM255" i="56" s="1"/>
  <c r="AH190" i="63"/>
  <c r="AN255" i="56" s="1"/>
  <c r="AI190" i="63"/>
  <c r="AO255" i="56" s="1"/>
  <c r="AJ190" i="63"/>
  <c r="AP255" i="56" s="1"/>
  <c r="AK190" i="63"/>
  <c r="AQ255" i="56" s="1"/>
  <c r="AL190" i="63"/>
  <c r="AR255" i="56" s="1"/>
  <c r="K191" i="63"/>
  <c r="Q256" i="56" s="1"/>
  <c r="L191" i="63"/>
  <c r="R256" i="56" s="1"/>
  <c r="M191" i="63"/>
  <c r="S256" i="56" s="1"/>
  <c r="N191" i="63"/>
  <c r="T256" i="56" s="1"/>
  <c r="O191" i="63"/>
  <c r="U256" i="56" s="1"/>
  <c r="P191" i="63"/>
  <c r="V256" i="56" s="1"/>
  <c r="Q191" i="63"/>
  <c r="W256" i="56" s="1"/>
  <c r="R191" i="63"/>
  <c r="X256" i="56" s="1"/>
  <c r="S191" i="63"/>
  <c r="Y256" i="56" s="1"/>
  <c r="T191" i="63"/>
  <c r="Z256" i="56" s="1"/>
  <c r="U191" i="63"/>
  <c r="AA256" i="56" s="1"/>
  <c r="V191" i="63"/>
  <c r="AB256" i="56" s="1"/>
  <c r="W191" i="63"/>
  <c r="AC256" i="56" s="1"/>
  <c r="X191" i="63"/>
  <c r="AD256" i="56" s="1"/>
  <c r="Y191" i="63"/>
  <c r="AE256" i="56" s="1"/>
  <c r="Z191" i="63"/>
  <c r="AF256" i="56" s="1"/>
  <c r="AA191" i="63"/>
  <c r="AG256" i="56" s="1"/>
  <c r="AB191" i="63"/>
  <c r="AH256" i="56" s="1"/>
  <c r="AC191" i="63"/>
  <c r="AI256" i="56" s="1"/>
  <c r="AD191" i="63"/>
  <c r="AJ256" i="56" s="1"/>
  <c r="AE191" i="63"/>
  <c r="AK256" i="56" s="1"/>
  <c r="AF191" i="63"/>
  <c r="AL256" i="56" s="1"/>
  <c r="AG191" i="63"/>
  <c r="AM256" i="56" s="1"/>
  <c r="AH191" i="63"/>
  <c r="AN256" i="56" s="1"/>
  <c r="AI191" i="63"/>
  <c r="AO256" i="56" s="1"/>
  <c r="AJ191" i="63"/>
  <c r="AP256" i="56" s="1"/>
  <c r="AK191" i="63"/>
  <c r="AQ256" i="56" s="1"/>
  <c r="AL191" i="63"/>
  <c r="AR256" i="56" s="1"/>
  <c r="K192" i="63"/>
  <c r="Q257" i="56" s="1"/>
  <c r="L192" i="63"/>
  <c r="R257" i="56" s="1"/>
  <c r="M192" i="63"/>
  <c r="S257" i="56" s="1"/>
  <c r="N192" i="63"/>
  <c r="T257" i="56" s="1"/>
  <c r="O192" i="63"/>
  <c r="U257" i="56" s="1"/>
  <c r="P192" i="63"/>
  <c r="V257" i="56" s="1"/>
  <c r="Q192" i="63"/>
  <c r="W257" i="56" s="1"/>
  <c r="R192" i="63"/>
  <c r="X257" i="56" s="1"/>
  <c r="S192" i="63"/>
  <c r="Y257" i="56" s="1"/>
  <c r="T192" i="63"/>
  <c r="Z257" i="56" s="1"/>
  <c r="U192" i="63"/>
  <c r="AA257" i="56" s="1"/>
  <c r="V192" i="63"/>
  <c r="AB257" i="56" s="1"/>
  <c r="W192" i="63"/>
  <c r="AC257" i="56" s="1"/>
  <c r="X192" i="63"/>
  <c r="AD257" i="56" s="1"/>
  <c r="Y192" i="63"/>
  <c r="AE257" i="56" s="1"/>
  <c r="Z192" i="63"/>
  <c r="AF257" i="56" s="1"/>
  <c r="AA192" i="63"/>
  <c r="AG257" i="56" s="1"/>
  <c r="AB192" i="63"/>
  <c r="AH257" i="56" s="1"/>
  <c r="AC192" i="63"/>
  <c r="AI257" i="56" s="1"/>
  <c r="AD192" i="63"/>
  <c r="AJ257" i="56" s="1"/>
  <c r="AE192" i="63"/>
  <c r="AK257" i="56" s="1"/>
  <c r="AF192" i="63"/>
  <c r="AL257" i="56" s="1"/>
  <c r="AG192" i="63"/>
  <c r="AM257" i="56" s="1"/>
  <c r="AH192" i="63"/>
  <c r="AN257" i="56" s="1"/>
  <c r="AI192" i="63"/>
  <c r="AO257" i="56" s="1"/>
  <c r="AJ192" i="63"/>
  <c r="AP257" i="56" s="1"/>
  <c r="AK192" i="63"/>
  <c r="AQ257" i="56" s="1"/>
  <c r="AL192" i="63"/>
  <c r="AR257" i="56" s="1"/>
  <c r="K193" i="63"/>
  <c r="Q258" i="56" s="1"/>
  <c r="L193" i="63"/>
  <c r="R258" i="56" s="1"/>
  <c r="M193" i="63"/>
  <c r="S258" i="56" s="1"/>
  <c r="N193" i="63"/>
  <c r="T258" i="56" s="1"/>
  <c r="O193" i="63"/>
  <c r="U258" i="56" s="1"/>
  <c r="P193" i="63"/>
  <c r="V258" i="56" s="1"/>
  <c r="Q193" i="63"/>
  <c r="W258" i="56" s="1"/>
  <c r="R193" i="63"/>
  <c r="X258" i="56" s="1"/>
  <c r="S193" i="63"/>
  <c r="Y258" i="56" s="1"/>
  <c r="T193" i="63"/>
  <c r="Z258" i="56" s="1"/>
  <c r="U193" i="63"/>
  <c r="AA258" i="56" s="1"/>
  <c r="V193" i="63"/>
  <c r="AB258" i="56" s="1"/>
  <c r="W193" i="63"/>
  <c r="AC258" i="56" s="1"/>
  <c r="X193" i="63"/>
  <c r="AD258" i="56" s="1"/>
  <c r="Y193" i="63"/>
  <c r="AE258" i="56" s="1"/>
  <c r="Z193" i="63"/>
  <c r="AF258" i="56" s="1"/>
  <c r="AA193" i="63"/>
  <c r="AG258" i="56" s="1"/>
  <c r="AB193" i="63"/>
  <c r="AH258" i="56" s="1"/>
  <c r="AC193" i="63"/>
  <c r="AI258" i="56" s="1"/>
  <c r="AD193" i="63"/>
  <c r="AJ258" i="56" s="1"/>
  <c r="AE193" i="63"/>
  <c r="AK258" i="56" s="1"/>
  <c r="AF193" i="63"/>
  <c r="AL258" i="56" s="1"/>
  <c r="AG193" i="63"/>
  <c r="AM258" i="56" s="1"/>
  <c r="AH193" i="63"/>
  <c r="AN258" i="56" s="1"/>
  <c r="AI193" i="63"/>
  <c r="AO258" i="56" s="1"/>
  <c r="AJ193" i="63"/>
  <c r="AP258" i="56" s="1"/>
  <c r="AK193" i="63"/>
  <c r="AQ258" i="56" s="1"/>
  <c r="AL193" i="63"/>
  <c r="AR258" i="56" s="1"/>
  <c r="K194" i="63"/>
  <c r="Q259" i="56" s="1"/>
  <c r="L194" i="63"/>
  <c r="R259" i="56" s="1"/>
  <c r="M194" i="63"/>
  <c r="S259" i="56" s="1"/>
  <c r="N194" i="63"/>
  <c r="T259" i="56" s="1"/>
  <c r="O194" i="63"/>
  <c r="U259" i="56" s="1"/>
  <c r="P194" i="63"/>
  <c r="V259" i="56" s="1"/>
  <c r="Q194" i="63"/>
  <c r="W259" i="56" s="1"/>
  <c r="R194" i="63"/>
  <c r="X259" i="56" s="1"/>
  <c r="S194" i="63"/>
  <c r="Y259" i="56" s="1"/>
  <c r="T194" i="63"/>
  <c r="Z259" i="56" s="1"/>
  <c r="U194" i="63"/>
  <c r="AA259" i="56" s="1"/>
  <c r="V194" i="63"/>
  <c r="AB259" i="56" s="1"/>
  <c r="W194" i="63"/>
  <c r="AC259" i="56" s="1"/>
  <c r="X194" i="63"/>
  <c r="AD259" i="56" s="1"/>
  <c r="Y194" i="63"/>
  <c r="AE259" i="56" s="1"/>
  <c r="Z194" i="63"/>
  <c r="AF259" i="56" s="1"/>
  <c r="AA194" i="63"/>
  <c r="AG259" i="56" s="1"/>
  <c r="AB194" i="63"/>
  <c r="AH259" i="56" s="1"/>
  <c r="AC194" i="63"/>
  <c r="AI259" i="56" s="1"/>
  <c r="AD194" i="63"/>
  <c r="AJ259" i="56" s="1"/>
  <c r="AE194" i="63"/>
  <c r="AK259" i="56" s="1"/>
  <c r="AF194" i="63"/>
  <c r="AL259" i="56" s="1"/>
  <c r="AG194" i="63"/>
  <c r="AM259" i="56" s="1"/>
  <c r="AH194" i="63"/>
  <c r="AN259" i="56" s="1"/>
  <c r="AI194" i="63"/>
  <c r="AO259" i="56" s="1"/>
  <c r="AJ194" i="63"/>
  <c r="AP259" i="56" s="1"/>
  <c r="AK194" i="63"/>
  <c r="AQ259" i="56" s="1"/>
  <c r="AL194" i="63"/>
  <c r="AR259" i="56" s="1"/>
  <c r="Q349" i="56"/>
  <c r="Q346" i="56"/>
  <c r="P62" i="56"/>
  <c r="A367" i="56"/>
  <c r="N63" i="56"/>
  <c r="B368" i="56"/>
  <c r="M62" i="56"/>
  <c r="D367" i="56"/>
  <c r="Q353" i="56"/>
  <c r="P63" i="56"/>
  <c r="A368" i="56"/>
  <c r="P61" i="56"/>
  <c r="A366" i="56"/>
  <c r="M63" i="56"/>
  <c r="D368" i="56"/>
  <c r="N61" i="56"/>
  <c r="B366" i="56"/>
  <c r="M61" i="56"/>
  <c r="D366" i="56"/>
  <c r="N62" i="56"/>
  <c r="B367" i="56"/>
  <c r="M47" i="56"/>
  <c r="D352" i="56"/>
  <c r="N41" i="56"/>
  <c r="B346" i="56"/>
  <c r="E44" i="56"/>
  <c r="N93" i="10" s="1"/>
  <c r="D349" i="56"/>
  <c r="P54" i="56"/>
  <c r="A359" i="56"/>
  <c r="N57" i="56"/>
  <c r="B362" i="56"/>
  <c r="N40" i="56"/>
  <c r="B345" i="56"/>
  <c r="N32" i="56"/>
  <c r="B337" i="56"/>
  <c r="P33" i="56"/>
  <c r="A338" i="56"/>
  <c r="M55" i="56"/>
  <c r="D360" i="56"/>
  <c r="P46" i="56"/>
  <c r="A351" i="56"/>
  <c r="N48" i="56"/>
  <c r="B353" i="56"/>
  <c r="E33" i="56"/>
  <c r="K33" i="56" s="1"/>
  <c r="L82" i="10" s="1"/>
  <c r="K338" i="56" s="1"/>
  <c r="D338" i="56"/>
  <c r="P35" i="56"/>
  <c r="A340" i="56"/>
  <c r="E41" i="56"/>
  <c r="O90" i="10" s="1"/>
  <c r="D346" i="56"/>
  <c r="P43" i="56"/>
  <c r="A348" i="56"/>
  <c r="E49" i="56"/>
  <c r="K49" i="56" s="1"/>
  <c r="D354" i="56"/>
  <c r="P51" i="56"/>
  <c r="A356" i="56"/>
  <c r="N55" i="56"/>
  <c r="B360" i="56"/>
  <c r="N47" i="56"/>
  <c r="B352" i="56"/>
  <c r="N39" i="56"/>
  <c r="B344" i="56"/>
  <c r="M31" i="56"/>
  <c r="D336" i="56"/>
  <c r="E39" i="56"/>
  <c r="O88" i="10" s="1"/>
  <c r="D344" i="56"/>
  <c r="P49" i="56"/>
  <c r="A354" i="56"/>
  <c r="E36" i="56"/>
  <c r="N85" i="10" s="1"/>
  <c r="D341" i="56"/>
  <c r="E52" i="56"/>
  <c r="N101" i="10" s="1"/>
  <c r="D357" i="56"/>
  <c r="P32" i="56"/>
  <c r="A337" i="56"/>
  <c r="E38" i="56"/>
  <c r="K38" i="56" s="1"/>
  <c r="L87" i="10" s="1"/>
  <c r="K343" i="56" s="1"/>
  <c r="D343" i="56"/>
  <c r="P40" i="56"/>
  <c r="A345" i="56"/>
  <c r="M46" i="56"/>
  <c r="D351" i="56"/>
  <c r="M54" i="56"/>
  <c r="D359" i="56"/>
  <c r="P57" i="56"/>
  <c r="A362" i="56"/>
  <c r="N54" i="56"/>
  <c r="B359" i="56"/>
  <c r="N46" i="56"/>
  <c r="B351" i="56"/>
  <c r="N38" i="56"/>
  <c r="B343" i="56"/>
  <c r="N31" i="56"/>
  <c r="B336" i="56"/>
  <c r="P38" i="56"/>
  <c r="A343" i="56"/>
  <c r="M35" i="56"/>
  <c r="D340" i="56"/>
  <c r="P37" i="56"/>
  <c r="A342" i="56"/>
  <c r="M43" i="56"/>
  <c r="D348" i="56"/>
  <c r="P45" i="56"/>
  <c r="A350" i="56"/>
  <c r="M51" i="56"/>
  <c r="D356" i="56"/>
  <c r="P53" i="56"/>
  <c r="A358" i="56"/>
  <c r="N53" i="56"/>
  <c r="B358" i="56"/>
  <c r="N45" i="56"/>
  <c r="B350" i="56"/>
  <c r="N37" i="56"/>
  <c r="B342" i="56"/>
  <c r="N49" i="56"/>
  <c r="B354" i="56"/>
  <c r="E32" i="56"/>
  <c r="O81" i="10" s="1"/>
  <c r="D337" i="56"/>
  <c r="P42" i="56"/>
  <c r="A347" i="56"/>
  <c r="E57" i="56"/>
  <c r="N106" i="10" s="1"/>
  <c r="D362" i="56"/>
  <c r="N44" i="56"/>
  <c r="B349" i="56"/>
  <c r="N36" i="56"/>
  <c r="B341" i="56"/>
  <c r="N33" i="56"/>
  <c r="B338" i="56"/>
  <c r="E40" i="56"/>
  <c r="K40" i="56" s="1"/>
  <c r="L89" i="10" s="1"/>
  <c r="K345" i="56" s="1"/>
  <c r="D345" i="56"/>
  <c r="P50" i="56"/>
  <c r="A355" i="56"/>
  <c r="P31" i="56"/>
  <c r="A336" i="56"/>
  <c r="E37" i="56"/>
  <c r="O86" i="10" s="1"/>
  <c r="D342" i="56"/>
  <c r="P39" i="56"/>
  <c r="A344" i="56"/>
  <c r="E45" i="56"/>
  <c r="O94" i="10" s="1"/>
  <c r="D350" i="56"/>
  <c r="P47" i="56"/>
  <c r="A352" i="56"/>
  <c r="E53" i="56"/>
  <c r="O102" i="10" s="1"/>
  <c r="D358" i="56"/>
  <c r="P55" i="56"/>
  <c r="A360" i="56"/>
  <c r="N51" i="56"/>
  <c r="B356" i="56"/>
  <c r="N43" i="56"/>
  <c r="B348" i="56"/>
  <c r="N35" i="56"/>
  <c r="B340" i="56"/>
  <c r="P34" i="56"/>
  <c r="A339" i="56"/>
  <c r="E48" i="56"/>
  <c r="K48" i="56" s="1"/>
  <c r="L97" i="10" s="1"/>
  <c r="K353" i="56" s="1"/>
  <c r="D353" i="56"/>
  <c r="N52" i="56"/>
  <c r="B357" i="56"/>
  <c r="M34" i="56"/>
  <c r="D339" i="56"/>
  <c r="P36" i="56"/>
  <c r="A341" i="56"/>
  <c r="M42" i="56"/>
  <c r="D347" i="56"/>
  <c r="E50" i="56"/>
  <c r="N99" i="10" s="1"/>
  <c r="D355" i="56"/>
  <c r="P52" i="56"/>
  <c r="A357" i="56"/>
  <c r="N50" i="56"/>
  <c r="B355" i="56"/>
  <c r="N42" i="56"/>
  <c r="B347" i="56"/>
  <c r="N34" i="56"/>
  <c r="B339" i="56"/>
  <c r="L48" i="56"/>
  <c r="M97" i="10" s="1"/>
  <c r="L353" i="56" s="1"/>
  <c r="L41" i="56"/>
  <c r="M90" i="10" s="1"/>
  <c r="L405" i="56" s="1"/>
  <c r="L44" i="56"/>
  <c r="M93" i="10" s="1"/>
  <c r="L408" i="56" s="1"/>
  <c r="E63" i="56"/>
  <c r="L62" i="56"/>
  <c r="M111" i="10" s="1"/>
  <c r="L367" i="56" s="1"/>
  <c r="E61" i="56"/>
  <c r="L61" i="56"/>
  <c r="M110" i="10" s="1"/>
  <c r="L366" i="56" s="1"/>
  <c r="L63" i="56"/>
  <c r="M112" i="10" s="1"/>
  <c r="L368" i="56" s="1"/>
  <c r="E62" i="56"/>
  <c r="E367" i="56" s="1"/>
  <c r="E43" i="56"/>
  <c r="L45" i="56"/>
  <c r="M94" i="10" s="1"/>
  <c r="L409" i="56" s="1"/>
  <c r="L55" i="56"/>
  <c r="M104" i="10" s="1"/>
  <c r="L38" i="56"/>
  <c r="M87" i="10" s="1"/>
  <c r="L343" i="56" s="1"/>
  <c r="M38" i="56"/>
  <c r="L40" i="56"/>
  <c r="M89" i="10" s="1"/>
  <c r="L345" i="56" s="1"/>
  <c r="L49" i="56"/>
  <c r="M98" i="10" s="1"/>
  <c r="L354" i="56" s="1"/>
  <c r="L33" i="56"/>
  <c r="M82" i="10" s="1"/>
  <c r="L338" i="56" s="1"/>
  <c r="E34" i="56"/>
  <c r="L54" i="56"/>
  <c r="M103" i="10" s="1"/>
  <c r="L42" i="56"/>
  <c r="M91" i="10" s="1"/>
  <c r="L406" i="56" s="1"/>
  <c r="E47" i="56"/>
  <c r="E352" i="56" s="1"/>
  <c r="L35" i="56"/>
  <c r="M84" i="10" s="1"/>
  <c r="L340" i="56" s="1"/>
  <c r="L51" i="56"/>
  <c r="M100" i="10" s="1"/>
  <c r="L356" i="56" s="1"/>
  <c r="P44" i="56"/>
  <c r="E35" i="56"/>
  <c r="E340" i="56" s="1"/>
  <c r="L39" i="56"/>
  <c r="M88" i="10" s="1"/>
  <c r="L344" i="56" s="1"/>
  <c r="E46" i="56"/>
  <c r="E51" i="56"/>
  <c r="E55" i="56"/>
  <c r="L31" i="56"/>
  <c r="M80" i="10" s="1"/>
  <c r="L336" i="56" s="1"/>
  <c r="L43" i="56"/>
  <c r="M92" i="10" s="1"/>
  <c r="L407" i="56" s="1"/>
  <c r="M39" i="56"/>
  <c r="E31" i="56"/>
  <c r="E42" i="56"/>
  <c r="E347" i="56" s="1"/>
  <c r="M50" i="56"/>
  <c r="L57" i="56"/>
  <c r="M106" i="10" s="1"/>
  <c r="L34" i="56"/>
  <c r="M83" i="10" s="1"/>
  <c r="L339" i="56" s="1"/>
  <c r="P48" i="56"/>
  <c r="L50" i="56"/>
  <c r="M99" i="10" s="1"/>
  <c r="L355" i="56" s="1"/>
  <c r="L52" i="56"/>
  <c r="M101" i="10" s="1"/>
  <c r="L357" i="56" s="1"/>
  <c r="L46" i="56"/>
  <c r="M95" i="10" s="1"/>
  <c r="L410" i="56" s="1"/>
  <c r="L47" i="56"/>
  <c r="M96" i="10" s="1"/>
  <c r="L411" i="56" s="1"/>
  <c r="L37" i="56"/>
  <c r="M86" i="10" s="1"/>
  <c r="L342" i="56" s="1"/>
  <c r="L53" i="56"/>
  <c r="M102" i="10" s="1"/>
  <c r="M33" i="56"/>
  <c r="M37" i="56"/>
  <c r="M41" i="56"/>
  <c r="M45" i="56"/>
  <c r="M49" i="56"/>
  <c r="M53" i="56"/>
  <c r="L32" i="56"/>
  <c r="M81" i="10" s="1"/>
  <c r="L337" i="56" s="1"/>
  <c r="L36" i="56"/>
  <c r="M85" i="10" s="1"/>
  <c r="L341" i="56" s="1"/>
  <c r="E54" i="56"/>
  <c r="E359" i="56" s="1"/>
  <c r="M32" i="56"/>
  <c r="M36" i="56"/>
  <c r="M40" i="56"/>
  <c r="M44" i="56"/>
  <c r="M48" i="56"/>
  <c r="M52" i="56"/>
  <c r="M57" i="56"/>
  <c r="P41" i="56"/>
  <c r="L362" i="56" l="1"/>
  <c r="L361" i="56"/>
  <c r="L348" i="56"/>
  <c r="L400" i="56"/>
  <c r="L358" i="56"/>
  <c r="L412" i="56"/>
  <c r="L347" i="56"/>
  <c r="L399" i="56"/>
  <c r="L360" i="56"/>
  <c r="L414" i="56"/>
  <c r="L349" i="56"/>
  <c r="L401" i="56"/>
  <c r="L359" i="56"/>
  <c r="L413" i="56"/>
  <c r="L350" i="56"/>
  <c r="L402" i="56"/>
  <c r="L352" i="56"/>
  <c r="L404" i="56"/>
  <c r="L346" i="56"/>
  <c r="L398" i="56"/>
  <c r="L351" i="56"/>
  <c r="L403" i="56"/>
  <c r="K53" i="56"/>
  <c r="L102" i="10" s="1"/>
  <c r="N82" i="10"/>
  <c r="K36" i="56"/>
  <c r="L85" i="10" s="1"/>
  <c r="K341" i="56" s="1"/>
  <c r="K52" i="56"/>
  <c r="L101" i="10" s="1"/>
  <c r="K357" i="56" s="1"/>
  <c r="K37" i="56"/>
  <c r="O37" i="56" s="1"/>
  <c r="N87" i="10"/>
  <c r="K44" i="56"/>
  <c r="L93" i="10" s="1"/>
  <c r="K408" i="56" s="1"/>
  <c r="N97" i="10"/>
  <c r="K50" i="56"/>
  <c r="L99" i="10" s="1"/>
  <c r="K355" i="56" s="1"/>
  <c r="K39" i="56"/>
  <c r="L88" i="10" s="1"/>
  <c r="K344" i="56" s="1"/>
  <c r="K32" i="56"/>
  <c r="L81" i="10" s="1"/>
  <c r="K337" i="56" s="1"/>
  <c r="K45" i="56"/>
  <c r="L94" i="10" s="1"/>
  <c r="K409" i="56" s="1"/>
  <c r="K41" i="56"/>
  <c r="L90" i="10" s="1"/>
  <c r="K405" i="56" s="1"/>
  <c r="K63" i="56"/>
  <c r="L112" i="10" s="1"/>
  <c r="K368" i="56" s="1"/>
  <c r="E368" i="56"/>
  <c r="Q341" i="56"/>
  <c r="Q339" i="56"/>
  <c r="Q360" i="56"/>
  <c r="Q344" i="56"/>
  <c r="Q356" i="56"/>
  <c r="Q340" i="56"/>
  <c r="Q350" i="56"/>
  <c r="Q345" i="56"/>
  <c r="Q359" i="56"/>
  <c r="Q366" i="56"/>
  <c r="Q338" i="56"/>
  <c r="K61" i="56"/>
  <c r="O61" i="56" s="1"/>
  <c r="E366" i="56"/>
  <c r="Q352" i="56"/>
  <c r="Q336" i="56"/>
  <c r="Q362" i="56"/>
  <c r="Q354" i="56"/>
  <c r="Q348" i="56"/>
  <c r="Q368" i="56"/>
  <c r="Q343" i="56"/>
  <c r="Q357" i="56"/>
  <c r="Q347" i="56"/>
  <c r="Q355" i="56"/>
  <c r="Q358" i="56"/>
  <c r="Q342" i="56"/>
  <c r="Q337" i="56"/>
  <c r="Q351" i="56"/>
  <c r="Q367" i="56"/>
  <c r="N102" i="10"/>
  <c r="E358" i="56"/>
  <c r="O82" i="10"/>
  <c r="E338" i="56"/>
  <c r="K55" i="56"/>
  <c r="L104" i="10" s="1"/>
  <c r="E360" i="56"/>
  <c r="O85" i="10"/>
  <c r="E341" i="56"/>
  <c r="N98" i="10"/>
  <c r="E354" i="56"/>
  <c r="K57" i="56"/>
  <c r="L106" i="10" s="1"/>
  <c r="K51" i="56"/>
  <c r="L100" i="10" s="1"/>
  <c r="K356" i="56" s="1"/>
  <c r="E356" i="56"/>
  <c r="N89" i="10"/>
  <c r="O99" i="10"/>
  <c r="E355" i="56"/>
  <c r="N81" i="10"/>
  <c r="E337" i="56"/>
  <c r="O87" i="10"/>
  <c r="E343" i="56"/>
  <c r="O93" i="10"/>
  <c r="E349" i="56"/>
  <c r="N86" i="10"/>
  <c r="E342" i="56"/>
  <c r="K46" i="56"/>
  <c r="L95" i="10" s="1"/>
  <c r="K410" i="56" s="1"/>
  <c r="E351" i="56"/>
  <c r="O97" i="10"/>
  <c r="E353" i="56"/>
  <c r="N94" i="10"/>
  <c r="E350" i="56"/>
  <c r="N88" i="10"/>
  <c r="E344" i="56"/>
  <c r="N90" i="10"/>
  <c r="E346" i="56"/>
  <c r="K31" i="56"/>
  <c r="L80" i="10" s="1"/>
  <c r="K336" i="56" s="1"/>
  <c r="E336" i="56"/>
  <c r="O98" i="10"/>
  <c r="K34" i="56"/>
  <c r="L83" i="10" s="1"/>
  <c r="K339" i="56" s="1"/>
  <c r="E339" i="56"/>
  <c r="K43" i="56"/>
  <c r="L92" i="10" s="1"/>
  <c r="K407" i="56" s="1"/>
  <c r="E348" i="56"/>
  <c r="O89" i="10"/>
  <c r="E345" i="56"/>
  <c r="O106" i="10"/>
  <c r="E362" i="56"/>
  <c r="O101" i="10"/>
  <c r="E357" i="56"/>
  <c r="O33" i="56"/>
  <c r="Q33" i="56"/>
  <c r="N95" i="10"/>
  <c r="O95" i="10"/>
  <c r="K47" i="56"/>
  <c r="L96" i="10" s="1"/>
  <c r="K411" i="56" s="1"/>
  <c r="N96" i="10"/>
  <c r="O96" i="10"/>
  <c r="Q49" i="56"/>
  <c r="L98" i="10"/>
  <c r="K354" i="56" s="1"/>
  <c r="K42" i="56"/>
  <c r="L91" i="10" s="1"/>
  <c r="K406" i="56" s="1"/>
  <c r="O91" i="10"/>
  <c r="N91" i="10"/>
  <c r="O112" i="10"/>
  <c r="N112" i="10"/>
  <c r="N100" i="10"/>
  <c r="O100" i="10"/>
  <c r="N80" i="10"/>
  <c r="O80" i="10"/>
  <c r="K35" i="56"/>
  <c r="L84" i="10" s="1"/>
  <c r="K340" i="56" s="1"/>
  <c r="N84" i="10"/>
  <c r="O84" i="10"/>
  <c r="O110" i="10"/>
  <c r="N110" i="10"/>
  <c r="O83" i="10"/>
  <c r="N83" i="10"/>
  <c r="N92" i="10"/>
  <c r="O92" i="10"/>
  <c r="K62" i="56"/>
  <c r="L111" i="10" s="1"/>
  <c r="K367" i="56" s="1"/>
  <c r="O111" i="10"/>
  <c r="N111" i="10"/>
  <c r="K54" i="56"/>
  <c r="L103" i="10" s="1"/>
  <c r="N103" i="10"/>
  <c r="O103" i="10"/>
  <c r="N104" i="10"/>
  <c r="O104" i="10"/>
  <c r="O49" i="56"/>
  <c r="Q48" i="56"/>
  <c r="O48" i="56"/>
  <c r="Q40" i="56"/>
  <c r="O40" i="56"/>
  <c r="Q38" i="56"/>
  <c r="O38" i="56"/>
  <c r="K362" i="56" l="1"/>
  <c r="K361" i="56"/>
  <c r="Q36" i="56"/>
  <c r="Q41" i="56"/>
  <c r="O41" i="56"/>
  <c r="Q53" i="56"/>
  <c r="Q44" i="56"/>
  <c r="Q37" i="56"/>
  <c r="Q52" i="56"/>
  <c r="O53" i="56"/>
  <c r="K347" i="56"/>
  <c r="K399" i="56"/>
  <c r="O63" i="56"/>
  <c r="K348" i="56"/>
  <c r="K400" i="56"/>
  <c r="Q63" i="56"/>
  <c r="K351" i="56"/>
  <c r="K403" i="56"/>
  <c r="K350" i="56"/>
  <c r="K402" i="56"/>
  <c r="K358" i="56"/>
  <c r="K412" i="56"/>
  <c r="K352" i="56"/>
  <c r="K404" i="56"/>
  <c r="O44" i="56"/>
  <c r="O34" i="56"/>
  <c r="K360" i="56"/>
  <c r="K414" i="56"/>
  <c r="K349" i="56"/>
  <c r="K401" i="56"/>
  <c r="K359" i="56"/>
  <c r="K413" i="56"/>
  <c r="K346" i="56"/>
  <c r="K398" i="56"/>
  <c r="O47" i="56"/>
  <c r="O36" i="56"/>
  <c r="O52" i="56"/>
  <c r="L86" i="10"/>
  <c r="K342" i="56" s="1"/>
  <c r="O32" i="56"/>
  <c r="O50" i="56"/>
  <c r="Q50" i="56"/>
  <c r="O39" i="56"/>
  <c r="O45" i="56"/>
  <c r="Q45" i="56"/>
  <c r="O31" i="56"/>
  <c r="O46" i="56"/>
  <c r="Q46" i="56"/>
  <c r="Q34" i="56"/>
  <c r="Q51" i="56"/>
  <c r="Q39" i="56"/>
  <c r="Q32" i="56"/>
  <c r="Q61" i="56"/>
  <c r="L110" i="10"/>
  <c r="K366" i="56" s="1"/>
  <c r="Q55" i="56"/>
  <c r="O57" i="56"/>
  <c r="O55" i="56"/>
  <c r="Q57" i="56"/>
  <c r="O51" i="56"/>
  <c r="Q31" i="56"/>
  <c r="Q43" i="56"/>
  <c r="O43" i="56"/>
  <c r="Q47" i="56"/>
  <c r="Q35" i="56"/>
  <c r="O35" i="56"/>
  <c r="O54" i="56"/>
  <c r="O42" i="56"/>
  <c r="Q42" i="56"/>
  <c r="Q54" i="56"/>
  <c r="O62" i="56"/>
  <c r="Q62" i="56"/>
  <c r="D173" i="49"/>
  <c r="E173" i="49" s="1"/>
  <c r="C173" i="49"/>
  <c r="D171" i="49"/>
  <c r="E171" i="49" s="1"/>
  <c r="C171" i="49"/>
  <c r="D170" i="49"/>
  <c r="E170" i="49" s="1"/>
  <c r="C170" i="49"/>
  <c r="D169" i="49"/>
  <c r="E169" i="49" s="1"/>
  <c r="C169" i="49"/>
  <c r="D167" i="49"/>
  <c r="E167" i="49" s="1"/>
  <c r="C167" i="49"/>
  <c r="C163" i="49"/>
  <c r="D163" i="49"/>
  <c r="E163" i="49" s="1"/>
  <c r="C164" i="49"/>
  <c r="D164" i="49"/>
  <c r="E164" i="49" s="1"/>
  <c r="C165" i="49"/>
  <c r="D165" i="49"/>
  <c r="E165" i="49" s="1"/>
  <c r="J220" i="62"/>
  <c r="K220" i="62"/>
  <c r="L220" i="62"/>
  <c r="M220" i="62"/>
  <c r="N220" i="62"/>
  <c r="O220" i="62"/>
  <c r="P220" i="62"/>
  <c r="Q220" i="62"/>
  <c r="R220" i="62"/>
  <c r="S220" i="62"/>
  <c r="T220" i="62"/>
  <c r="U220" i="62"/>
  <c r="V220" i="62"/>
  <c r="W220" i="62"/>
  <c r="X220" i="62"/>
  <c r="Y220" i="62"/>
  <c r="Z220" i="62"/>
  <c r="AA220" i="62"/>
  <c r="AB220" i="62"/>
  <c r="AC220" i="62"/>
  <c r="AD220" i="62"/>
  <c r="AE220" i="62"/>
  <c r="AF220" i="62"/>
  <c r="AG220" i="62"/>
  <c r="AH220" i="62"/>
  <c r="AI220" i="62"/>
  <c r="AJ220" i="62"/>
  <c r="I220" i="62"/>
  <c r="J219" i="62"/>
  <c r="P173" i="49" s="1"/>
  <c r="K219" i="62"/>
  <c r="Q173" i="49" s="1"/>
  <c r="L219" i="62"/>
  <c r="M219" i="62"/>
  <c r="N219" i="62"/>
  <c r="O219" i="62"/>
  <c r="U173" i="49" s="1"/>
  <c r="P219" i="62"/>
  <c r="V163" i="49" s="1"/>
  <c r="Q219" i="62"/>
  <c r="W163" i="49" s="1"/>
  <c r="R219" i="62"/>
  <c r="X173" i="49" s="1"/>
  <c r="S219" i="62"/>
  <c r="Y173" i="49" s="1"/>
  <c r="T219" i="62"/>
  <c r="U219" i="62"/>
  <c r="V219" i="62"/>
  <c r="W219" i="62"/>
  <c r="AC173" i="49" s="1"/>
  <c r="X219" i="62"/>
  <c r="AD163" i="49" s="1"/>
  <c r="Y219" i="62"/>
  <c r="AE163" i="49" s="1"/>
  <c r="Z219" i="62"/>
  <c r="AF173" i="49" s="1"/>
  <c r="AA219" i="62"/>
  <c r="AG173" i="49" s="1"/>
  <c r="AB219" i="62"/>
  <c r="AC219" i="62"/>
  <c r="AD219" i="62"/>
  <c r="AE219" i="62"/>
  <c r="AK173" i="49" s="1"/>
  <c r="AF219" i="62"/>
  <c r="AL163" i="49" s="1"/>
  <c r="AG219" i="62"/>
  <c r="AM163" i="49" s="1"/>
  <c r="AH219" i="62"/>
  <c r="AN173" i="49" s="1"/>
  <c r="AI219" i="62"/>
  <c r="AO173" i="49" s="1"/>
  <c r="AJ219" i="62"/>
  <c r="I219" i="62"/>
  <c r="O173" i="49" s="1"/>
  <c r="W218" i="62"/>
  <c r="X218" i="62"/>
  <c r="Y218" i="62"/>
  <c r="AE172" i="49" s="1"/>
  <c r="Z218" i="62"/>
  <c r="AF162" i="49" s="1"/>
  <c r="AA218" i="62"/>
  <c r="AG162" i="49" s="1"/>
  <c r="AB218" i="62"/>
  <c r="AH162" i="49" s="1"/>
  <c r="AC218" i="62"/>
  <c r="AI172" i="49" s="1"/>
  <c r="AD218" i="62"/>
  <c r="AE218" i="62"/>
  <c r="AF218" i="62"/>
  <c r="AG218" i="62"/>
  <c r="AM172" i="49" s="1"/>
  <c r="AH218" i="62"/>
  <c r="AN162" i="49" s="1"/>
  <c r="AI218" i="62"/>
  <c r="AO162" i="49" s="1"/>
  <c r="AJ218" i="62"/>
  <c r="AP162" i="49" s="1"/>
  <c r="J218" i="62"/>
  <c r="K218" i="62"/>
  <c r="L218" i="62"/>
  <c r="M218" i="62"/>
  <c r="S172" i="49" s="1"/>
  <c r="N218" i="62"/>
  <c r="T172" i="49" s="1"/>
  <c r="O218" i="62"/>
  <c r="U172" i="49" s="1"/>
  <c r="P218" i="62"/>
  <c r="V172" i="49" s="1"/>
  <c r="Q218" i="62"/>
  <c r="R218" i="62"/>
  <c r="S218" i="62"/>
  <c r="T218" i="62"/>
  <c r="U218" i="62"/>
  <c r="AA172" i="49" s="1"/>
  <c r="V218" i="62"/>
  <c r="AB172" i="49" s="1"/>
  <c r="I218" i="62"/>
  <c r="O172" i="49" s="1"/>
  <c r="C219" i="62"/>
  <c r="B219" i="62"/>
  <c r="C220" i="62"/>
  <c r="B220" i="62"/>
  <c r="C218" i="62"/>
  <c r="B218" i="62"/>
  <c r="C172" i="49"/>
  <c r="C168" i="49"/>
  <c r="C162" i="49"/>
  <c r="C154" i="49"/>
  <c r="C149" i="49"/>
  <c r="C147" i="49"/>
  <c r="C141" i="49"/>
  <c r="C131" i="49"/>
  <c r="C119" i="49"/>
  <c r="C114" i="49"/>
  <c r="C112" i="49"/>
  <c r="C106" i="49"/>
  <c r="C96" i="49"/>
  <c r="C84" i="49"/>
  <c r="C79" i="49"/>
  <c r="C77" i="49"/>
  <c r="C71" i="49"/>
  <c r="C61" i="49"/>
  <c r="C33" i="49"/>
  <c r="C28" i="49"/>
  <c r="C26" i="49"/>
  <c r="C20" i="49"/>
  <c r="C10" i="49"/>
  <c r="D172" i="49"/>
  <c r="E172" i="49" s="1"/>
  <c r="D168" i="49"/>
  <c r="E168" i="49" s="1"/>
  <c r="D162" i="49"/>
  <c r="D154" i="49"/>
  <c r="D149" i="49"/>
  <c r="D147" i="49"/>
  <c r="D141" i="49"/>
  <c r="D131" i="49"/>
  <c r="D119" i="49"/>
  <c r="D114" i="49"/>
  <c r="D112" i="49"/>
  <c r="D106" i="49"/>
  <c r="D96" i="49"/>
  <c r="D84" i="49"/>
  <c r="D79" i="49"/>
  <c r="D77" i="49"/>
  <c r="D71" i="49"/>
  <c r="D61" i="49"/>
  <c r="D33" i="49"/>
  <c r="D28" i="49"/>
  <c r="D26" i="49"/>
  <c r="D20" i="49"/>
  <c r="D10" i="49"/>
  <c r="AL162" i="49" l="1"/>
  <c r="AD162" i="49"/>
  <c r="AB403" i="56"/>
  <c r="AB401" i="56"/>
  <c r="AB399" i="56"/>
  <c r="AB383" i="56"/>
  <c r="AB416" i="56"/>
  <c r="AB402" i="56"/>
  <c r="AB400" i="56"/>
  <c r="AB387" i="56"/>
  <c r="AB385" i="56"/>
  <c r="AB382" i="56"/>
  <c r="AB398" i="56"/>
  <c r="AB404" i="56"/>
  <c r="AB384" i="56"/>
  <c r="AB381" i="56"/>
  <c r="AB386" i="56"/>
  <c r="T403" i="56"/>
  <c r="T401" i="56"/>
  <c r="T399" i="56"/>
  <c r="T383" i="56"/>
  <c r="T385" i="56"/>
  <c r="T400" i="56"/>
  <c r="T398" i="56"/>
  <c r="T387" i="56"/>
  <c r="T382" i="56"/>
  <c r="T402" i="56"/>
  <c r="T386" i="56"/>
  <c r="T404" i="56"/>
  <c r="T416" i="56"/>
  <c r="T384" i="56"/>
  <c r="T381" i="56"/>
  <c r="AM416" i="56"/>
  <c r="AM386" i="56"/>
  <c r="AM404" i="56"/>
  <c r="AM402" i="56"/>
  <c r="AM400" i="56"/>
  <c r="AM398" i="56"/>
  <c r="AM387" i="56"/>
  <c r="AM381" i="56"/>
  <c r="AM382" i="56"/>
  <c r="AM403" i="56"/>
  <c r="AM401" i="56"/>
  <c r="AM399" i="56"/>
  <c r="AM383" i="56"/>
  <c r="AM384" i="56"/>
  <c r="AM385" i="56"/>
  <c r="AE416" i="56"/>
  <c r="AE387" i="56"/>
  <c r="AE404" i="56"/>
  <c r="AE402" i="56"/>
  <c r="AE400" i="56"/>
  <c r="AE398" i="56"/>
  <c r="AE384" i="56"/>
  <c r="AE383" i="56"/>
  <c r="AE381" i="56"/>
  <c r="AE386" i="56"/>
  <c r="AE403" i="56"/>
  <c r="AE401" i="56"/>
  <c r="AE399" i="56"/>
  <c r="AE385" i="56"/>
  <c r="AE382" i="56"/>
  <c r="AL411" i="56"/>
  <c r="AL389" i="56"/>
  <c r="AL406" i="56"/>
  <c r="AL392" i="56"/>
  <c r="AL409" i="56"/>
  <c r="AL390" i="56"/>
  <c r="AL407" i="56"/>
  <c r="AL393" i="56"/>
  <c r="AL410" i="56"/>
  <c r="AL388" i="56"/>
  <c r="AL405" i="56"/>
  <c r="AL391" i="56"/>
  <c r="AL415" i="56"/>
  <c r="AL408" i="56"/>
  <c r="AL394" i="56"/>
  <c r="AD411" i="56"/>
  <c r="AD389" i="56"/>
  <c r="AD406" i="56"/>
  <c r="AD392" i="56"/>
  <c r="AD409" i="56"/>
  <c r="AD390" i="56"/>
  <c r="AD407" i="56"/>
  <c r="AD393" i="56"/>
  <c r="AD410" i="56"/>
  <c r="AD388" i="56"/>
  <c r="AD405" i="56"/>
  <c r="AD391" i="56"/>
  <c r="AD415" i="56"/>
  <c r="AD408" i="56"/>
  <c r="AD394" i="56"/>
  <c r="V411" i="56"/>
  <c r="V389" i="56"/>
  <c r="V406" i="56"/>
  <c r="V392" i="56"/>
  <c r="V409" i="56"/>
  <c r="V390" i="56"/>
  <c r="V407" i="56"/>
  <c r="V393" i="56"/>
  <c r="V410" i="56"/>
  <c r="V388" i="56"/>
  <c r="V405" i="56"/>
  <c r="V391" i="56"/>
  <c r="V415" i="56"/>
  <c r="V408" i="56"/>
  <c r="V394" i="56"/>
  <c r="AN174" i="49"/>
  <c r="AP414" i="56"/>
  <c r="AP412" i="56"/>
  <c r="AP395" i="56"/>
  <c r="AP397" i="56"/>
  <c r="AP413" i="56"/>
  <c r="AP396" i="56"/>
  <c r="AN167" i="49"/>
  <c r="AN166" i="49"/>
  <c r="AF174" i="49"/>
  <c r="AH395" i="56"/>
  <c r="AH414" i="56"/>
  <c r="AH412" i="56"/>
  <c r="AH397" i="56"/>
  <c r="AH396" i="56"/>
  <c r="AH413" i="56"/>
  <c r="AF167" i="49"/>
  <c r="AF166" i="49"/>
  <c r="X174" i="49"/>
  <c r="Z397" i="56"/>
  <c r="Z396" i="56"/>
  <c r="Z395" i="56"/>
  <c r="Z414" i="56"/>
  <c r="Z412" i="56"/>
  <c r="Z413" i="56"/>
  <c r="X167" i="49"/>
  <c r="X166" i="49"/>
  <c r="P174" i="49"/>
  <c r="R397" i="56"/>
  <c r="R414" i="56"/>
  <c r="R412" i="56"/>
  <c r="R395" i="56"/>
  <c r="R396" i="56"/>
  <c r="R413" i="56"/>
  <c r="P167" i="49"/>
  <c r="P166" i="49"/>
  <c r="AN163" i="49"/>
  <c r="AF163" i="49"/>
  <c r="X163" i="49"/>
  <c r="P163" i="49"/>
  <c r="AI162" i="49"/>
  <c r="AA162" i="49"/>
  <c r="S162" i="49"/>
  <c r="S164" i="49"/>
  <c r="AA164" i="49"/>
  <c r="AI164" i="49"/>
  <c r="O165" i="49"/>
  <c r="W165" i="49"/>
  <c r="AE165" i="49"/>
  <c r="AM165" i="49"/>
  <c r="S168" i="49"/>
  <c r="AA168" i="49"/>
  <c r="AI168" i="49"/>
  <c r="O169" i="49"/>
  <c r="W169" i="49"/>
  <c r="AE169" i="49"/>
  <c r="AM169" i="49"/>
  <c r="S170" i="49"/>
  <c r="AA170" i="49"/>
  <c r="AI170" i="49"/>
  <c r="O171" i="49"/>
  <c r="W171" i="49"/>
  <c r="AE171" i="49"/>
  <c r="AM171" i="49"/>
  <c r="W173" i="49"/>
  <c r="AE173" i="49"/>
  <c r="AM173" i="49"/>
  <c r="AA416" i="56"/>
  <c r="AA403" i="56"/>
  <c r="AA401" i="56"/>
  <c r="AA399" i="56"/>
  <c r="AA385" i="56"/>
  <c r="AA382" i="56"/>
  <c r="AA384" i="56"/>
  <c r="AA383" i="56"/>
  <c r="AA387" i="56"/>
  <c r="AA404" i="56"/>
  <c r="AA402" i="56"/>
  <c r="AA400" i="56"/>
  <c r="AA398" i="56"/>
  <c r="AA381" i="56"/>
  <c r="AA386" i="56"/>
  <c r="S403" i="56"/>
  <c r="S401" i="56"/>
  <c r="S399" i="56"/>
  <c r="S385" i="56"/>
  <c r="S384" i="56"/>
  <c r="S382" i="56"/>
  <c r="S387" i="56"/>
  <c r="S416" i="56"/>
  <c r="S383" i="56"/>
  <c r="S404" i="56"/>
  <c r="S402" i="56"/>
  <c r="S400" i="56"/>
  <c r="S398" i="56"/>
  <c r="S381" i="56"/>
  <c r="S386" i="56"/>
  <c r="AL387" i="56"/>
  <c r="AL404" i="56"/>
  <c r="AL402" i="56"/>
  <c r="AL400" i="56"/>
  <c r="AL398" i="56"/>
  <c r="AL381" i="56"/>
  <c r="AL382" i="56"/>
  <c r="AL383" i="56"/>
  <c r="AL384" i="56"/>
  <c r="AL416" i="56"/>
  <c r="AL386" i="56"/>
  <c r="AL403" i="56"/>
  <c r="AL401" i="56"/>
  <c r="AL399" i="56"/>
  <c r="AL385" i="56"/>
  <c r="Q410" i="56"/>
  <c r="Q391" i="56"/>
  <c r="Q409" i="56"/>
  <c r="Q392" i="56"/>
  <c r="Q408" i="56"/>
  <c r="Q393" i="56"/>
  <c r="Q407" i="56"/>
  <c r="Q394" i="56"/>
  <c r="Q406" i="56"/>
  <c r="Q415" i="56"/>
  <c r="Q405" i="56"/>
  <c r="Q389" i="56"/>
  <c r="Q411" i="56"/>
  <c r="Q390" i="56"/>
  <c r="Q388" i="56"/>
  <c r="AK406" i="56"/>
  <c r="AK392" i="56"/>
  <c r="AK409" i="56"/>
  <c r="AK390" i="56"/>
  <c r="AK407" i="56"/>
  <c r="AK393" i="56"/>
  <c r="AK410" i="56"/>
  <c r="AK388" i="56"/>
  <c r="AK405" i="56"/>
  <c r="AK391" i="56"/>
  <c r="AK415" i="56"/>
  <c r="AK408" i="56"/>
  <c r="AK394" i="56"/>
  <c r="AK411" i="56"/>
  <c r="AK389" i="56"/>
  <c r="AC406" i="56"/>
  <c r="AC392" i="56"/>
  <c r="AC409" i="56"/>
  <c r="AC390" i="56"/>
  <c r="AC407" i="56"/>
  <c r="AC393" i="56"/>
  <c r="AC410" i="56"/>
  <c r="AC388" i="56"/>
  <c r="AC405" i="56"/>
  <c r="AC391" i="56"/>
  <c r="AC415" i="56"/>
  <c r="AC408" i="56"/>
  <c r="AC394" i="56"/>
  <c r="AC411" i="56"/>
  <c r="AC389" i="56"/>
  <c r="U406" i="56"/>
  <c r="U392" i="56"/>
  <c r="U409" i="56"/>
  <c r="U390" i="56"/>
  <c r="U407" i="56"/>
  <c r="U393" i="56"/>
  <c r="U410" i="56"/>
  <c r="U388" i="56"/>
  <c r="U405" i="56"/>
  <c r="U391" i="56"/>
  <c r="U415" i="56"/>
  <c r="U408" i="56"/>
  <c r="U394" i="56"/>
  <c r="U411" i="56"/>
  <c r="U389" i="56"/>
  <c r="AM174" i="49"/>
  <c r="AO414" i="56"/>
  <c r="AO412" i="56"/>
  <c r="AO395" i="56"/>
  <c r="AO396" i="56"/>
  <c r="AO413" i="56"/>
  <c r="AO397" i="56"/>
  <c r="AM167" i="49"/>
  <c r="AM166" i="49"/>
  <c r="AE174" i="49"/>
  <c r="AG397" i="56"/>
  <c r="AG414" i="56"/>
  <c r="AG412" i="56"/>
  <c r="AG396" i="56"/>
  <c r="AG395" i="56"/>
  <c r="AG413" i="56"/>
  <c r="AE167" i="49"/>
  <c r="AE166" i="49"/>
  <c r="W174" i="49"/>
  <c r="Y414" i="56"/>
  <c r="Y412" i="56"/>
  <c r="Y396" i="56"/>
  <c r="Y397" i="56"/>
  <c r="Y413" i="56"/>
  <c r="Y395" i="56"/>
  <c r="W167" i="49"/>
  <c r="W166" i="49"/>
  <c r="Z162" i="49"/>
  <c r="R162" i="49"/>
  <c r="T164" i="49"/>
  <c r="AB164" i="49"/>
  <c r="AJ164" i="49"/>
  <c r="P165" i="49"/>
  <c r="X165" i="49"/>
  <c r="AF165" i="49"/>
  <c r="AN165" i="49"/>
  <c r="T168" i="49"/>
  <c r="AB168" i="49"/>
  <c r="AJ168" i="49"/>
  <c r="P169" i="49"/>
  <c r="X169" i="49"/>
  <c r="AF169" i="49"/>
  <c r="AN169" i="49"/>
  <c r="T170" i="49"/>
  <c r="AB170" i="49"/>
  <c r="AJ170" i="49"/>
  <c r="P171" i="49"/>
  <c r="X171" i="49"/>
  <c r="AF171" i="49"/>
  <c r="AN171" i="49"/>
  <c r="AJ172" i="49"/>
  <c r="Z382" i="56"/>
  <c r="Z381" i="56"/>
  <c r="Z403" i="56"/>
  <c r="Z401" i="56"/>
  <c r="Z399" i="56"/>
  <c r="Z387" i="56"/>
  <c r="Z384" i="56"/>
  <c r="Z385" i="56"/>
  <c r="Z386" i="56"/>
  <c r="Z404" i="56"/>
  <c r="Z402" i="56"/>
  <c r="Z400" i="56"/>
  <c r="Z398" i="56"/>
  <c r="Z383" i="56"/>
  <c r="Z416" i="56"/>
  <c r="R382" i="56"/>
  <c r="R403" i="56"/>
  <c r="R401" i="56"/>
  <c r="R399" i="56"/>
  <c r="R387" i="56"/>
  <c r="R381" i="56"/>
  <c r="R416" i="56"/>
  <c r="R384" i="56"/>
  <c r="R386" i="56"/>
  <c r="R404" i="56"/>
  <c r="R402" i="56"/>
  <c r="R400" i="56"/>
  <c r="R398" i="56"/>
  <c r="R383" i="56"/>
  <c r="R385" i="56"/>
  <c r="AK381" i="56"/>
  <c r="AK384" i="56"/>
  <c r="AK382" i="56"/>
  <c r="AK404" i="56"/>
  <c r="AK402" i="56"/>
  <c r="AK400" i="56"/>
  <c r="AK398" i="56"/>
  <c r="AK383" i="56"/>
  <c r="AK385" i="56"/>
  <c r="AK403" i="56"/>
  <c r="AK416" i="56"/>
  <c r="AK386" i="56"/>
  <c r="AK401" i="56"/>
  <c r="AK399" i="56"/>
  <c r="AK387" i="56"/>
  <c r="AR409" i="56"/>
  <c r="AR390" i="56"/>
  <c r="AR415" i="56"/>
  <c r="AR407" i="56"/>
  <c r="AR393" i="56"/>
  <c r="AR410" i="56"/>
  <c r="AR388" i="56"/>
  <c r="AR405" i="56"/>
  <c r="AR391" i="56"/>
  <c r="AR408" i="56"/>
  <c r="AR394" i="56"/>
  <c r="AR411" i="56"/>
  <c r="AR389" i="56"/>
  <c r="AR406" i="56"/>
  <c r="AR392" i="56"/>
  <c r="AJ409" i="56"/>
  <c r="AJ390" i="56"/>
  <c r="AJ407" i="56"/>
  <c r="AJ393" i="56"/>
  <c r="AJ410" i="56"/>
  <c r="AJ388" i="56"/>
  <c r="AJ405" i="56"/>
  <c r="AJ391" i="56"/>
  <c r="AJ415" i="56"/>
  <c r="AJ408" i="56"/>
  <c r="AJ394" i="56"/>
  <c r="AJ411" i="56"/>
  <c r="AJ389" i="56"/>
  <c r="AJ406" i="56"/>
  <c r="AJ392" i="56"/>
  <c r="AB409" i="56"/>
  <c r="AB390" i="56"/>
  <c r="AB407" i="56"/>
  <c r="AB393" i="56"/>
  <c r="AB410" i="56"/>
  <c r="AB388" i="56"/>
  <c r="AB405" i="56"/>
  <c r="AB391" i="56"/>
  <c r="AB415" i="56"/>
  <c r="AB408" i="56"/>
  <c r="AB394" i="56"/>
  <c r="AB411" i="56"/>
  <c r="AB389" i="56"/>
  <c r="AB406" i="56"/>
  <c r="AB392" i="56"/>
  <c r="T409" i="56"/>
  <c r="T390" i="56"/>
  <c r="T407" i="56"/>
  <c r="T393" i="56"/>
  <c r="T410" i="56"/>
  <c r="T388" i="56"/>
  <c r="T405" i="56"/>
  <c r="T391" i="56"/>
  <c r="T415" i="56"/>
  <c r="T408" i="56"/>
  <c r="T394" i="56"/>
  <c r="T411" i="56"/>
  <c r="T389" i="56"/>
  <c r="T406" i="56"/>
  <c r="T392" i="56"/>
  <c r="AL174" i="49"/>
  <c r="AN413" i="56"/>
  <c r="AN412" i="56"/>
  <c r="AN396" i="56"/>
  <c r="AN395" i="56"/>
  <c r="AN414" i="56"/>
  <c r="AN397" i="56"/>
  <c r="AL166" i="49"/>
  <c r="AL167" i="49"/>
  <c r="AD174" i="49"/>
  <c r="AF413" i="56"/>
  <c r="AF397" i="56"/>
  <c r="AF396" i="56"/>
  <c r="AF414" i="56"/>
  <c r="AF412" i="56"/>
  <c r="AF395" i="56"/>
  <c r="AD166" i="49"/>
  <c r="AD167" i="49"/>
  <c r="V174" i="49"/>
  <c r="X413" i="56"/>
  <c r="X396" i="56"/>
  <c r="X414" i="56"/>
  <c r="X412" i="56"/>
  <c r="X395" i="56"/>
  <c r="X397" i="56"/>
  <c r="V166" i="49"/>
  <c r="V167" i="49"/>
  <c r="Y162" i="49"/>
  <c r="Q162" i="49"/>
  <c r="U164" i="49"/>
  <c r="AC164" i="49"/>
  <c r="AK164" i="49"/>
  <c r="Q165" i="49"/>
  <c r="Y165" i="49"/>
  <c r="AG165" i="49"/>
  <c r="AO165" i="49"/>
  <c r="U168" i="49"/>
  <c r="AC168" i="49"/>
  <c r="AK168" i="49"/>
  <c r="Q169" i="49"/>
  <c r="Y169" i="49"/>
  <c r="AG169" i="49"/>
  <c r="AO169" i="49"/>
  <c r="U170" i="49"/>
  <c r="AC170" i="49"/>
  <c r="AK170" i="49"/>
  <c r="Q171" i="49"/>
  <c r="Y171" i="49"/>
  <c r="AG171" i="49"/>
  <c r="AO171" i="49"/>
  <c r="AC172" i="49"/>
  <c r="AK172" i="49"/>
  <c r="Y416" i="56"/>
  <c r="Y382" i="56"/>
  <c r="Y387" i="56"/>
  <c r="Y384" i="56"/>
  <c r="Y403" i="56"/>
  <c r="Y401" i="56"/>
  <c r="Y399" i="56"/>
  <c r="Y381" i="56"/>
  <c r="Y386" i="56"/>
  <c r="Y383" i="56"/>
  <c r="Y398" i="56"/>
  <c r="Y385" i="56"/>
  <c r="Y404" i="56"/>
  <c r="Y402" i="56"/>
  <c r="Y400" i="56"/>
  <c r="AQ390" i="56"/>
  <c r="AQ407" i="56"/>
  <c r="AQ393" i="56"/>
  <c r="AQ410" i="56"/>
  <c r="AQ388" i="56"/>
  <c r="AQ405" i="56"/>
  <c r="AQ391" i="56"/>
  <c r="AQ415" i="56"/>
  <c r="AQ408" i="56"/>
  <c r="AQ394" i="56"/>
  <c r="AQ411" i="56"/>
  <c r="AQ389" i="56"/>
  <c r="AQ406" i="56"/>
  <c r="AQ392" i="56"/>
  <c r="AQ409" i="56"/>
  <c r="AA390" i="56"/>
  <c r="AA407" i="56"/>
  <c r="AA393" i="56"/>
  <c r="AA410" i="56"/>
  <c r="AA388" i="56"/>
  <c r="AA405" i="56"/>
  <c r="AA391" i="56"/>
  <c r="AA415" i="56"/>
  <c r="AA408" i="56"/>
  <c r="AA394" i="56"/>
  <c r="AA411" i="56"/>
  <c r="AA389" i="56"/>
  <c r="AA406" i="56"/>
  <c r="AA392" i="56"/>
  <c r="AA409" i="56"/>
  <c r="AK174" i="49"/>
  <c r="AM413" i="56"/>
  <c r="AM395" i="56"/>
  <c r="AM397" i="56"/>
  <c r="AM396" i="56"/>
  <c r="AM414" i="56"/>
  <c r="AM412" i="56"/>
  <c r="AK166" i="49"/>
  <c r="AK167" i="49"/>
  <c r="U174" i="49"/>
  <c r="W413" i="56"/>
  <c r="W396" i="56"/>
  <c r="W395" i="56"/>
  <c r="W414" i="56"/>
  <c r="W412" i="56"/>
  <c r="W397" i="56"/>
  <c r="U166" i="49"/>
  <c r="U167" i="49"/>
  <c r="AK163" i="49"/>
  <c r="AC163" i="49"/>
  <c r="U163" i="49"/>
  <c r="X162" i="49"/>
  <c r="P162" i="49"/>
  <c r="V164" i="49"/>
  <c r="AD164" i="49"/>
  <c r="AL164" i="49"/>
  <c r="R165" i="49"/>
  <c r="Z165" i="49"/>
  <c r="AH165" i="49"/>
  <c r="AP165" i="49"/>
  <c r="V168" i="49"/>
  <c r="AD168" i="49"/>
  <c r="AL168" i="49"/>
  <c r="R169" i="49"/>
  <c r="Z169" i="49"/>
  <c r="AH169" i="49"/>
  <c r="AP169" i="49"/>
  <c r="V170" i="49"/>
  <c r="AD170" i="49"/>
  <c r="AL170" i="49"/>
  <c r="R171" i="49"/>
  <c r="Z171" i="49"/>
  <c r="AH171" i="49"/>
  <c r="AP171" i="49"/>
  <c r="AD172" i="49"/>
  <c r="AL172" i="49"/>
  <c r="R173" i="49"/>
  <c r="Z173" i="49"/>
  <c r="AH173" i="49"/>
  <c r="AP173" i="49"/>
  <c r="X416" i="56"/>
  <c r="X404" i="56"/>
  <c r="X402" i="56"/>
  <c r="X400" i="56"/>
  <c r="X398" i="56"/>
  <c r="X384" i="56"/>
  <c r="X399" i="56"/>
  <c r="X387" i="56"/>
  <c r="X381" i="56"/>
  <c r="X401" i="56"/>
  <c r="X383" i="56"/>
  <c r="X386" i="56"/>
  <c r="X403" i="56"/>
  <c r="X382" i="56"/>
  <c r="X385" i="56"/>
  <c r="AQ382" i="56"/>
  <c r="AQ403" i="56"/>
  <c r="AQ401" i="56"/>
  <c r="AQ399" i="56"/>
  <c r="AQ383" i="56"/>
  <c r="AQ384" i="56"/>
  <c r="AQ416" i="56"/>
  <c r="AQ385" i="56"/>
  <c r="AQ386" i="56"/>
  <c r="AQ404" i="56"/>
  <c r="AQ402" i="56"/>
  <c r="AQ400" i="56"/>
  <c r="AQ398" i="56"/>
  <c r="AQ387" i="56"/>
  <c r="AQ381" i="56"/>
  <c r="AI383" i="56"/>
  <c r="AI403" i="56"/>
  <c r="AI401" i="56"/>
  <c r="AI399" i="56"/>
  <c r="AI387" i="56"/>
  <c r="AI386" i="56"/>
  <c r="AI385" i="56"/>
  <c r="AI382" i="56"/>
  <c r="AI416" i="56"/>
  <c r="AI404" i="56"/>
  <c r="AI402" i="56"/>
  <c r="AI400" i="56"/>
  <c r="AI398" i="56"/>
  <c r="AI384" i="56"/>
  <c r="AI381" i="56"/>
  <c r="AP407" i="56"/>
  <c r="AP393" i="56"/>
  <c r="AP410" i="56"/>
  <c r="AP388" i="56"/>
  <c r="AP405" i="56"/>
  <c r="AP391" i="56"/>
  <c r="AP415" i="56"/>
  <c r="AP408" i="56"/>
  <c r="AP394" i="56"/>
  <c r="AP411" i="56"/>
  <c r="AP389" i="56"/>
  <c r="AP406" i="56"/>
  <c r="AP392" i="56"/>
  <c r="AP409" i="56"/>
  <c r="AP390" i="56"/>
  <c r="AH407" i="56"/>
  <c r="AH393" i="56"/>
  <c r="AH410" i="56"/>
  <c r="AH388" i="56"/>
  <c r="AH405" i="56"/>
  <c r="AH391" i="56"/>
  <c r="AH415" i="56"/>
  <c r="AH408" i="56"/>
  <c r="AH394" i="56"/>
  <c r="AH411" i="56"/>
  <c r="AH389" i="56"/>
  <c r="AH406" i="56"/>
  <c r="AH392" i="56"/>
  <c r="AH409" i="56"/>
  <c r="AH390" i="56"/>
  <c r="Z407" i="56"/>
  <c r="Z393" i="56"/>
  <c r="Z410" i="56"/>
  <c r="Z388" i="56"/>
  <c r="Z405" i="56"/>
  <c r="Z391" i="56"/>
  <c r="Z415" i="56"/>
  <c r="Z408" i="56"/>
  <c r="Z394" i="56"/>
  <c r="Z411" i="56"/>
  <c r="Z389" i="56"/>
  <c r="Z406" i="56"/>
  <c r="Z392" i="56"/>
  <c r="Z409" i="56"/>
  <c r="Z390" i="56"/>
  <c r="R407" i="56"/>
  <c r="R393" i="56"/>
  <c r="R410" i="56"/>
  <c r="R388" i="56"/>
  <c r="R405" i="56"/>
  <c r="R391" i="56"/>
  <c r="R415" i="56"/>
  <c r="R408" i="56"/>
  <c r="R394" i="56"/>
  <c r="R411" i="56"/>
  <c r="R389" i="56"/>
  <c r="R406" i="56"/>
  <c r="R392" i="56"/>
  <c r="R409" i="56"/>
  <c r="R390" i="56"/>
  <c r="AJ174" i="49"/>
  <c r="AL395" i="56"/>
  <c r="AL413" i="56"/>
  <c r="AL396" i="56"/>
  <c r="AL397" i="56"/>
  <c r="AL414" i="56"/>
  <c r="AL412" i="56"/>
  <c r="AJ166" i="49"/>
  <c r="AJ167" i="49"/>
  <c r="AB174" i="49"/>
  <c r="AD413" i="56"/>
  <c r="AD396" i="56"/>
  <c r="AD395" i="56"/>
  <c r="AD397" i="56"/>
  <c r="AD414" i="56"/>
  <c r="AD412" i="56"/>
  <c r="AB166" i="49"/>
  <c r="AB167" i="49"/>
  <c r="T174" i="49"/>
  <c r="V396" i="56"/>
  <c r="V413" i="56"/>
  <c r="V395" i="56"/>
  <c r="V397" i="56"/>
  <c r="V414" i="56"/>
  <c r="V412" i="56"/>
  <c r="T166" i="49"/>
  <c r="T167" i="49"/>
  <c r="O162" i="49"/>
  <c r="AJ163" i="49"/>
  <c r="AB163" i="49"/>
  <c r="T163" i="49"/>
  <c r="AM162" i="49"/>
  <c r="AE162" i="49"/>
  <c r="W162" i="49"/>
  <c r="O164" i="49"/>
  <c r="W164" i="49"/>
  <c r="AE164" i="49"/>
  <c r="AM164" i="49"/>
  <c r="S165" i="49"/>
  <c r="AA165" i="49"/>
  <c r="AI165" i="49"/>
  <c r="O168" i="49"/>
  <c r="W168" i="49"/>
  <c r="AE168" i="49"/>
  <c r="AM168" i="49"/>
  <c r="S169" i="49"/>
  <c r="AA169" i="49"/>
  <c r="AI169" i="49"/>
  <c r="O170" i="49"/>
  <c r="W170" i="49"/>
  <c r="AE170" i="49"/>
  <c r="AM170" i="49"/>
  <c r="S171" i="49"/>
  <c r="AA171" i="49"/>
  <c r="AI171" i="49"/>
  <c r="W172" i="49"/>
  <c r="S173" i="49"/>
  <c r="AA173" i="49"/>
  <c r="AI173" i="49"/>
  <c r="AJ403" i="56"/>
  <c r="AJ401" i="56"/>
  <c r="AJ399" i="56"/>
  <c r="AJ381" i="56"/>
  <c r="AJ382" i="56"/>
  <c r="AJ383" i="56"/>
  <c r="AJ402" i="56"/>
  <c r="AJ385" i="56"/>
  <c r="AJ384" i="56"/>
  <c r="AJ400" i="56"/>
  <c r="AJ404" i="56"/>
  <c r="AJ398" i="56"/>
  <c r="AJ416" i="56"/>
  <c r="AJ386" i="56"/>
  <c r="AJ387" i="56"/>
  <c r="S390" i="56"/>
  <c r="S407" i="56"/>
  <c r="S393" i="56"/>
  <c r="S410" i="56"/>
  <c r="S388" i="56"/>
  <c r="S405" i="56"/>
  <c r="S391" i="56"/>
  <c r="S415" i="56"/>
  <c r="S408" i="56"/>
  <c r="S394" i="56"/>
  <c r="S411" i="56"/>
  <c r="S389" i="56"/>
  <c r="S406" i="56"/>
  <c r="S392" i="56"/>
  <c r="S409" i="56"/>
  <c r="AC174" i="49"/>
  <c r="AE413" i="56"/>
  <c r="AE396" i="56"/>
  <c r="AE414" i="56"/>
  <c r="AE412" i="56"/>
  <c r="AE395" i="56"/>
  <c r="AE397" i="56"/>
  <c r="AC166" i="49"/>
  <c r="AC167" i="49"/>
  <c r="Q382" i="56"/>
  <c r="Q385" i="56"/>
  <c r="Q381" i="56"/>
  <c r="Q383" i="56"/>
  <c r="Q403" i="56"/>
  <c r="Q401" i="56"/>
  <c r="Q399" i="56"/>
  <c r="Q384" i="56"/>
  <c r="Q416" i="56"/>
  <c r="Q386" i="56"/>
  <c r="Q402" i="56"/>
  <c r="Q400" i="56"/>
  <c r="Q387" i="56"/>
  <c r="Q404" i="56"/>
  <c r="Q398" i="56"/>
  <c r="W416" i="56"/>
  <c r="W384" i="56"/>
  <c r="W404" i="56"/>
  <c r="W402" i="56"/>
  <c r="W400" i="56"/>
  <c r="W398" i="56"/>
  <c r="W381" i="56"/>
  <c r="W386" i="56"/>
  <c r="W383" i="56"/>
  <c r="W387" i="56"/>
  <c r="W403" i="56"/>
  <c r="W401" i="56"/>
  <c r="W399" i="56"/>
  <c r="W385" i="56"/>
  <c r="W382" i="56"/>
  <c r="AP383" i="56"/>
  <c r="AP384" i="56"/>
  <c r="AP416" i="56"/>
  <c r="AP403" i="56"/>
  <c r="AP401" i="56"/>
  <c r="AP399" i="56"/>
  <c r="AP385" i="56"/>
  <c r="AP387" i="56"/>
  <c r="AP386" i="56"/>
  <c r="AP382" i="56"/>
  <c r="AP404" i="56"/>
  <c r="AP402" i="56"/>
  <c r="AP400" i="56"/>
  <c r="AP398" i="56"/>
  <c r="AP381" i="56"/>
  <c r="AH385" i="56"/>
  <c r="AH403" i="56"/>
  <c r="AH401" i="56"/>
  <c r="AH399" i="56"/>
  <c r="AH382" i="56"/>
  <c r="AH384" i="56"/>
  <c r="AH416" i="56"/>
  <c r="AH387" i="56"/>
  <c r="AH383" i="56"/>
  <c r="AH381" i="56"/>
  <c r="AH404" i="56"/>
  <c r="AH402" i="56"/>
  <c r="AH400" i="56"/>
  <c r="AH398" i="56"/>
  <c r="AH386" i="56"/>
  <c r="AO410" i="56"/>
  <c r="AO388" i="56"/>
  <c r="AO405" i="56"/>
  <c r="AO391" i="56"/>
  <c r="AO415" i="56"/>
  <c r="AO408" i="56"/>
  <c r="AO394" i="56"/>
  <c r="AO411" i="56"/>
  <c r="AO389" i="56"/>
  <c r="AO406" i="56"/>
  <c r="AO392" i="56"/>
  <c r="AO409" i="56"/>
  <c r="AO390" i="56"/>
  <c r="AO407" i="56"/>
  <c r="AO393" i="56"/>
  <c r="AG410" i="56"/>
  <c r="AG388" i="56"/>
  <c r="AG405" i="56"/>
  <c r="AG391" i="56"/>
  <c r="AG415" i="56"/>
  <c r="AG408" i="56"/>
  <c r="AG394" i="56"/>
  <c r="AG411" i="56"/>
  <c r="AG389" i="56"/>
  <c r="AG406" i="56"/>
  <c r="AG392" i="56"/>
  <c r="AG409" i="56"/>
  <c r="AG390" i="56"/>
  <c r="AG407" i="56"/>
  <c r="AG393" i="56"/>
  <c r="Y410" i="56"/>
  <c r="Y388" i="56"/>
  <c r="Y405" i="56"/>
  <c r="Y391" i="56"/>
  <c r="Y415" i="56"/>
  <c r="Y408" i="56"/>
  <c r="Y394" i="56"/>
  <c r="Y411" i="56"/>
  <c r="Y389" i="56"/>
  <c r="Y406" i="56"/>
  <c r="Y392" i="56"/>
  <c r="Y409" i="56"/>
  <c r="Y390" i="56"/>
  <c r="Y407" i="56"/>
  <c r="Y393" i="56"/>
  <c r="O174" i="49"/>
  <c r="Q414" i="56"/>
  <c r="Q412" i="56"/>
  <c r="Q395" i="56"/>
  <c r="Q396" i="56"/>
  <c r="Q413" i="56"/>
  <c r="Q397" i="56"/>
  <c r="O167" i="49"/>
  <c r="O166" i="49"/>
  <c r="AI174" i="49"/>
  <c r="AK395" i="56"/>
  <c r="AK396" i="56"/>
  <c r="AK397" i="56"/>
  <c r="AK413" i="56"/>
  <c r="AK412" i="56"/>
  <c r="AK414" i="56"/>
  <c r="AI167" i="49"/>
  <c r="AI166" i="49"/>
  <c r="AA174" i="49"/>
  <c r="AC395" i="56"/>
  <c r="AC397" i="56"/>
  <c r="AC413" i="56"/>
  <c r="AC396" i="56"/>
  <c r="AC414" i="56"/>
  <c r="AC412" i="56"/>
  <c r="AA166" i="49"/>
  <c r="AA167" i="49"/>
  <c r="S174" i="49"/>
  <c r="U395" i="56"/>
  <c r="U413" i="56"/>
  <c r="U397" i="56"/>
  <c r="U412" i="56"/>
  <c r="U414" i="56"/>
  <c r="U396" i="56"/>
  <c r="S166" i="49"/>
  <c r="S167" i="49"/>
  <c r="O163" i="49"/>
  <c r="AI163" i="49"/>
  <c r="AA163" i="49"/>
  <c r="S163" i="49"/>
  <c r="V162" i="49"/>
  <c r="P164" i="49"/>
  <c r="X164" i="49"/>
  <c r="AF164" i="49"/>
  <c r="AN164" i="49"/>
  <c r="T165" i="49"/>
  <c r="AB165" i="49"/>
  <c r="AJ165" i="49"/>
  <c r="P168" i="49"/>
  <c r="X168" i="49"/>
  <c r="AF168" i="49"/>
  <c r="AN168" i="49"/>
  <c r="T169" i="49"/>
  <c r="AB169" i="49"/>
  <c r="AJ169" i="49"/>
  <c r="P170" i="49"/>
  <c r="X170" i="49"/>
  <c r="AF170" i="49"/>
  <c r="AN170" i="49"/>
  <c r="T171" i="49"/>
  <c r="AB171" i="49"/>
  <c r="AJ171" i="49"/>
  <c r="P172" i="49"/>
  <c r="X172" i="49"/>
  <c r="AF172" i="49"/>
  <c r="AN172" i="49"/>
  <c r="T173" i="49"/>
  <c r="AB173" i="49"/>
  <c r="AJ173" i="49"/>
  <c r="AR403" i="56"/>
  <c r="AR401" i="56"/>
  <c r="AR399" i="56"/>
  <c r="AR381" i="56"/>
  <c r="AR382" i="56"/>
  <c r="AR385" i="56"/>
  <c r="AR383" i="56"/>
  <c r="AR398" i="56"/>
  <c r="AR384" i="56"/>
  <c r="AR416" i="56"/>
  <c r="AR404" i="56"/>
  <c r="AR402" i="56"/>
  <c r="AR400" i="56"/>
  <c r="AR386" i="56"/>
  <c r="AR387" i="56"/>
  <c r="AI390" i="56"/>
  <c r="AI407" i="56"/>
  <c r="AI393" i="56"/>
  <c r="AI410" i="56"/>
  <c r="AI388" i="56"/>
  <c r="AI405" i="56"/>
  <c r="AI391" i="56"/>
  <c r="AI415" i="56"/>
  <c r="AI408" i="56"/>
  <c r="AI394" i="56"/>
  <c r="AI411" i="56"/>
  <c r="AI389" i="56"/>
  <c r="AI406" i="56"/>
  <c r="AI392" i="56"/>
  <c r="AI409" i="56"/>
  <c r="AD416" i="56"/>
  <c r="AD381" i="56"/>
  <c r="AD386" i="56"/>
  <c r="AD384" i="56"/>
  <c r="AD404" i="56"/>
  <c r="AD402" i="56"/>
  <c r="AD400" i="56"/>
  <c r="AD398" i="56"/>
  <c r="AD383" i="56"/>
  <c r="AD385" i="56"/>
  <c r="AD382" i="56"/>
  <c r="AD403" i="56"/>
  <c r="AD401" i="56"/>
  <c r="AD399" i="56"/>
  <c r="AD387" i="56"/>
  <c r="V416" i="56"/>
  <c r="V381" i="56"/>
  <c r="V386" i="56"/>
  <c r="V385" i="56"/>
  <c r="V404" i="56"/>
  <c r="V402" i="56"/>
  <c r="V400" i="56"/>
  <c r="V398" i="56"/>
  <c r="V383" i="56"/>
  <c r="V382" i="56"/>
  <c r="V403" i="56"/>
  <c r="V401" i="56"/>
  <c r="V399" i="56"/>
  <c r="V387" i="56"/>
  <c r="V384" i="56"/>
  <c r="AO384" i="56"/>
  <c r="AO416" i="56"/>
  <c r="AO385" i="56"/>
  <c r="AO386" i="56"/>
  <c r="AO398" i="56"/>
  <c r="AO403" i="56"/>
  <c r="AO401" i="56"/>
  <c r="AO399" i="56"/>
  <c r="AO387" i="56"/>
  <c r="AO381" i="56"/>
  <c r="AO382" i="56"/>
  <c r="AO404" i="56"/>
  <c r="AO402" i="56"/>
  <c r="AO400" i="56"/>
  <c r="AO383" i="56"/>
  <c r="AG416" i="56"/>
  <c r="AG385" i="56"/>
  <c r="AG382" i="56"/>
  <c r="AG387" i="56"/>
  <c r="AG403" i="56"/>
  <c r="AG401" i="56"/>
  <c r="AG399" i="56"/>
  <c r="AG384" i="56"/>
  <c r="AG381" i="56"/>
  <c r="AG398" i="56"/>
  <c r="AG386" i="56"/>
  <c r="AG404" i="56"/>
  <c r="AG402" i="56"/>
  <c r="AG400" i="56"/>
  <c r="AG383" i="56"/>
  <c r="AN405" i="56"/>
  <c r="AN391" i="56"/>
  <c r="AN415" i="56"/>
  <c r="AN408" i="56"/>
  <c r="AN394" i="56"/>
  <c r="AN411" i="56"/>
  <c r="AN389" i="56"/>
  <c r="AN406" i="56"/>
  <c r="AN392" i="56"/>
  <c r="AN409" i="56"/>
  <c r="AN390" i="56"/>
  <c r="AN407" i="56"/>
  <c r="AN393" i="56"/>
  <c r="AN410" i="56"/>
  <c r="AN388" i="56"/>
  <c r="AF405" i="56"/>
  <c r="AF391" i="56"/>
  <c r="AF415" i="56"/>
  <c r="AF408" i="56"/>
  <c r="AF394" i="56"/>
  <c r="AF411" i="56"/>
  <c r="AF389" i="56"/>
  <c r="AF406" i="56"/>
  <c r="AF392" i="56"/>
  <c r="AF409" i="56"/>
  <c r="AF390" i="56"/>
  <c r="AF407" i="56"/>
  <c r="AF393" i="56"/>
  <c r="AF410" i="56"/>
  <c r="AF388" i="56"/>
  <c r="X405" i="56"/>
  <c r="X391" i="56"/>
  <c r="X415" i="56"/>
  <c r="X408" i="56"/>
  <c r="X394" i="56"/>
  <c r="X411" i="56"/>
  <c r="X389" i="56"/>
  <c r="X406" i="56"/>
  <c r="X392" i="56"/>
  <c r="X409" i="56"/>
  <c r="X390" i="56"/>
  <c r="X407" i="56"/>
  <c r="X393" i="56"/>
  <c r="X410" i="56"/>
  <c r="X388" i="56"/>
  <c r="AP174" i="49"/>
  <c r="AR414" i="56"/>
  <c r="AR412" i="56"/>
  <c r="AR396" i="56"/>
  <c r="AR397" i="56"/>
  <c r="AR413" i="56"/>
  <c r="AR395" i="56"/>
  <c r="AP167" i="49"/>
  <c r="AP166" i="49"/>
  <c r="AH174" i="49"/>
  <c r="AJ414" i="56"/>
  <c r="AJ412" i="56"/>
  <c r="AJ396" i="56"/>
  <c r="AJ397" i="56"/>
  <c r="AJ413" i="56"/>
  <c r="AJ395" i="56"/>
  <c r="AH167" i="49"/>
  <c r="AH166" i="49"/>
  <c r="Z174" i="49"/>
  <c r="AB414" i="56"/>
  <c r="AB412" i="56"/>
  <c r="AB395" i="56"/>
  <c r="AB397" i="56"/>
  <c r="AB413" i="56"/>
  <c r="AB396" i="56"/>
  <c r="Z167" i="49"/>
  <c r="Z166" i="49"/>
  <c r="R174" i="49"/>
  <c r="T414" i="56"/>
  <c r="T412" i="56"/>
  <c r="T395" i="56"/>
  <c r="T413" i="56"/>
  <c r="T397" i="56"/>
  <c r="T396" i="56"/>
  <c r="R167" i="49"/>
  <c r="R166" i="49"/>
  <c r="AP163" i="49"/>
  <c r="AH163" i="49"/>
  <c r="Z163" i="49"/>
  <c r="R163" i="49"/>
  <c r="AK162" i="49"/>
  <c r="AC162" i="49"/>
  <c r="U162" i="49"/>
  <c r="Q164" i="49"/>
  <c r="Y164" i="49"/>
  <c r="AG164" i="49"/>
  <c r="AO164" i="49"/>
  <c r="U165" i="49"/>
  <c r="AC165" i="49"/>
  <c r="AK165" i="49"/>
  <c r="Q168" i="49"/>
  <c r="Y168" i="49"/>
  <c r="AG168" i="49"/>
  <c r="AO168" i="49"/>
  <c r="U169" i="49"/>
  <c r="AC169" i="49"/>
  <c r="AK169" i="49"/>
  <c r="Q170" i="49"/>
  <c r="Y170" i="49"/>
  <c r="AG170" i="49"/>
  <c r="AO170" i="49"/>
  <c r="U171" i="49"/>
  <c r="AC171" i="49"/>
  <c r="AK171" i="49"/>
  <c r="Q172" i="49"/>
  <c r="Y172" i="49"/>
  <c r="AG172" i="49"/>
  <c r="AO172" i="49"/>
  <c r="AC383" i="56"/>
  <c r="AC416" i="56"/>
  <c r="AC404" i="56"/>
  <c r="AC402" i="56"/>
  <c r="AC400" i="56"/>
  <c r="AC398" i="56"/>
  <c r="AC385" i="56"/>
  <c r="AC382" i="56"/>
  <c r="AC399" i="56"/>
  <c r="AC386" i="56"/>
  <c r="AC387" i="56"/>
  <c r="AC401" i="56"/>
  <c r="AC384" i="56"/>
  <c r="AC403" i="56"/>
  <c r="AC381" i="56"/>
  <c r="U383" i="56"/>
  <c r="U399" i="56"/>
  <c r="U386" i="56"/>
  <c r="U404" i="56"/>
  <c r="U402" i="56"/>
  <c r="U400" i="56"/>
  <c r="U398" i="56"/>
  <c r="U385" i="56"/>
  <c r="U381" i="56"/>
  <c r="U382" i="56"/>
  <c r="U387" i="56"/>
  <c r="U403" i="56"/>
  <c r="U401" i="56"/>
  <c r="U416" i="56"/>
  <c r="U384" i="56"/>
  <c r="AN416" i="56"/>
  <c r="AN404" i="56"/>
  <c r="AN402" i="56"/>
  <c r="AN400" i="56"/>
  <c r="AN398" i="56"/>
  <c r="AN385" i="56"/>
  <c r="AN386" i="56"/>
  <c r="AN381" i="56"/>
  <c r="AN387" i="56"/>
  <c r="AN403" i="56"/>
  <c r="AN401" i="56"/>
  <c r="AN399" i="56"/>
  <c r="AN382" i="56"/>
  <c r="AN384" i="56"/>
  <c r="AN383" i="56"/>
  <c r="AF416" i="56"/>
  <c r="AF404" i="56"/>
  <c r="AF402" i="56"/>
  <c r="AF400" i="56"/>
  <c r="AF398" i="56"/>
  <c r="AF382" i="56"/>
  <c r="AF387" i="56"/>
  <c r="AF401" i="56"/>
  <c r="AF384" i="56"/>
  <c r="AF385" i="56"/>
  <c r="AF381" i="56"/>
  <c r="AF399" i="56"/>
  <c r="AF403" i="56"/>
  <c r="AF386" i="56"/>
  <c r="AF383" i="56"/>
  <c r="AM415" i="56"/>
  <c r="AM408" i="56"/>
  <c r="AM394" i="56"/>
  <c r="AM411" i="56"/>
  <c r="AM389" i="56"/>
  <c r="AM406" i="56"/>
  <c r="AM392" i="56"/>
  <c r="AM409" i="56"/>
  <c r="AM390" i="56"/>
  <c r="AM407" i="56"/>
  <c r="AM393" i="56"/>
  <c r="AM410" i="56"/>
  <c r="AM388" i="56"/>
  <c r="AM405" i="56"/>
  <c r="AM391" i="56"/>
  <c r="AE415" i="56"/>
  <c r="AE408" i="56"/>
  <c r="AE394" i="56"/>
  <c r="AE411" i="56"/>
  <c r="AE389" i="56"/>
  <c r="AE406" i="56"/>
  <c r="AE392" i="56"/>
  <c r="AE409" i="56"/>
  <c r="AE390" i="56"/>
  <c r="AE407" i="56"/>
  <c r="AE393" i="56"/>
  <c r="AE410" i="56"/>
  <c r="AE388" i="56"/>
  <c r="AE405" i="56"/>
  <c r="AE391" i="56"/>
  <c r="W415" i="56"/>
  <c r="W408" i="56"/>
  <c r="W394" i="56"/>
  <c r="W411" i="56"/>
  <c r="W389" i="56"/>
  <c r="W406" i="56"/>
  <c r="W392" i="56"/>
  <c r="W409" i="56"/>
  <c r="W390" i="56"/>
  <c r="W407" i="56"/>
  <c r="W393" i="56"/>
  <c r="W410" i="56"/>
  <c r="W388" i="56"/>
  <c r="W405" i="56"/>
  <c r="W391" i="56"/>
  <c r="AO174" i="49"/>
  <c r="AQ397" i="56"/>
  <c r="AQ414" i="56"/>
  <c r="AQ412" i="56"/>
  <c r="AQ396" i="56"/>
  <c r="AQ413" i="56"/>
  <c r="AQ395" i="56"/>
  <c r="AO167" i="49"/>
  <c r="AO166" i="49"/>
  <c r="AG174" i="49"/>
  <c r="AI414" i="56"/>
  <c r="AI412" i="56"/>
  <c r="AI395" i="56"/>
  <c r="AI397" i="56"/>
  <c r="AI413" i="56"/>
  <c r="AI396" i="56"/>
  <c r="AG167" i="49"/>
  <c r="AG166" i="49"/>
  <c r="Y174" i="49"/>
  <c r="AA395" i="56"/>
  <c r="AA414" i="56"/>
  <c r="AA412" i="56"/>
  <c r="AA397" i="56"/>
  <c r="AA413" i="56"/>
  <c r="AA396" i="56"/>
  <c r="Y167" i="49"/>
  <c r="Y166" i="49"/>
  <c r="Q174" i="49"/>
  <c r="S414" i="56"/>
  <c r="S412" i="56"/>
  <c r="S397" i="56"/>
  <c r="S413" i="56"/>
  <c r="S396" i="56"/>
  <c r="S395" i="56"/>
  <c r="Q167" i="49"/>
  <c r="Q166" i="49"/>
  <c r="AO163" i="49"/>
  <c r="AG163" i="49"/>
  <c r="Y163" i="49"/>
  <c r="Q163" i="49"/>
  <c r="AJ162" i="49"/>
  <c r="AB162" i="49"/>
  <c r="T162" i="49"/>
  <c r="R164" i="49"/>
  <c r="Z164" i="49"/>
  <c r="AH164" i="49"/>
  <c r="AP164" i="49"/>
  <c r="V165" i="49"/>
  <c r="AD165" i="49"/>
  <c r="AL165" i="49"/>
  <c r="R168" i="49"/>
  <c r="Z168" i="49"/>
  <c r="AH168" i="49"/>
  <c r="AP168" i="49"/>
  <c r="V169" i="49"/>
  <c r="AD169" i="49"/>
  <c r="AL169" i="49"/>
  <c r="R170" i="49"/>
  <c r="Z170" i="49"/>
  <c r="AH170" i="49"/>
  <c r="AP170" i="49"/>
  <c r="V171" i="49"/>
  <c r="AD171" i="49"/>
  <c r="AL171" i="49"/>
  <c r="R172" i="49"/>
  <c r="Z172" i="49"/>
  <c r="AH172" i="49"/>
  <c r="AP172" i="49"/>
  <c r="V173" i="49"/>
  <c r="AD173" i="49"/>
  <c r="AL173" i="49"/>
  <c r="E39" i="17"/>
  <c r="L16" i="10"/>
  <c r="B15" i="17" s="1"/>
  <c r="B39" i="17" s="1"/>
  <c r="M16" i="10"/>
  <c r="C15" i="17" s="1"/>
  <c r="C39" i="17" s="1"/>
  <c r="C19" i="10"/>
  <c r="D19" i="10"/>
  <c r="Y39" i="17" l="1"/>
  <c r="Y40" i="17" s="1"/>
  <c r="AG39" i="17"/>
  <c r="AG40" i="17" s="1"/>
  <c r="W39" i="17"/>
  <c r="W40" i="17" s="1"/>
  <c r="L39" i="17"/>
  <c r="L40" i="17" s="1"/>
  <c r="Z39" i="17"/>
  <c r="Z40" i="17" s="1"/>
  <c r="AH39" i="17"/>
  <c r="AH40" i="17" s="1"/>
  <c r="X39" i="17"/>
  <c r="X40" i="17" s="1"/>
  <c r="M39" i="17"/>
  <c r="M40" i="17" s="1"/>
  <c r="AA39" i="17"/>
  <c r="AA40" i="17" s="1"/>
  <c r="AI39" i="17"/>
  <c r="AI40" i="17" s="1"/>
  <c r="Q39" i="17"/>
  <c r="Q40" i="17" s="1"/>
  <c r="N39" i="17"/>
  <c r="N40" i="17" s="1"/>
  <c r="AB39" i="17"/>
  <c r="AB40" i="17" s="1"/>
  <c r="AJ39" i="17"/>
  <c r="AJ40" i="17" s="1"/>
  <c r="R39" i="17"/>
  <c r="R40" i="17" s="1"/>
  <c r="O39" i="17"/>
  <c r="O40" i="17" s="1"/>
  <c r="AC39" i="17"/>
  <c r="AC40" i="17" s="1"/>
  <c r="S39" i="17"/>
  <c r="S40" i="17" s="1"/>
  <c r="P39" i="17"/>
  <c r="P40" i="17" s="1"/>
  <c r="I39" i="17"/>
  <c r="I40" i="17" s="1"/>
  <c r="K39" i="17"/>
  <c r="K40" i="17" s="1"/>
  <c r="AD39" i="17"/>
  <c r="AD40" i="17" s="1"/>
  <c r="T39" i="17"/>
  <c r="T40" i="17" s="1"/>
  <c r="AF39" i="17"/>
  <c r="AF40" i="17" s="1"/>
  <c r="AE39" i="17"/>
  <c r="AE40" i="17" s="1"/>
  <c r="U39" i="17"/>
  <c r="U40" i="17" s="1"/>
  <c r="J39" i="17"/>
  <c r="J40" i="17" s="1"/>
  <c r="V39" i="17"/>
  <c r="V40" i="17" s="1"/>
  <c r="M150" i="49"/>
  <c r="D150" i="49"/>
  <c r="C150" i="49"/>
  <c r="M149" i="49"/>
  <c r="M160" i="49"/>
  <c r="M159" i="49"/>
  <c r="M158" i="49"/>
  <c r="M157" i="49"/>
  <c r="M156" i="49"/>
  <c r="M151" i="49"/>
  <c r="M152" i="49"/>
  <c r="M153" i="49"/>
  <c r="M154" i="49"/>
  <c r="M155" i="49"/>
  <c r="M148" i="49"/>
  <c r="M147" i="49"/>
  <c r="M146" i="49"/>
  <c r="M145" i="49"/>
  <c r="M144" i="49"/>
  <c r="M143" i="49"/>
  <c r="M142" i="49"/>
  <c r="M141" i="49"/>
  <c r="M140" i="49"/>
  <c r="M139" i="49"/>
  <c r="M138" i="49"/>
  <c r="M137" i="49"/>
  <c r="M129" i="49"/>
  <c r="M130" i="49"/>
  <c r="M131" i="49"/>
  <c r="M132" i="49"/>
  <c r="M133" i="49"/>
  <c r="M134" i="49"/>
  <c r="M135" i="49"/>
  <c r="M136" i="49"/>
  <c r="M128" i="49"/>
  <c r="M127" i="49"/>
  <c r="D146" i="49"/>
  <c r="E146" i="49" s="1"/>
  <c r="C146" i="49"/>
  <c r="D145" i="49"/>
  <c r="E145" i="49" s="1"/>
  <c r="C145" i="49"/>
  <c r="D144" i="49"/>
  <c r="E144" i="49" s="1"/>
  <c r="C144" i="49"/>
  <c r="D143" i="49"/>
  <c r="E143" i="49" s="1"/>
  <c r="C143" i="49"/>
  <c r="D142" i="49"/>
  <c r="E142" i="49" s="1"/>
  <c r="C142" i="49"/>
  <c r="D140" i="49"/>
  <c r="E140" i="49" s="1"/>
  <c r="C140" i="49"/>
  <c r="D139" i="49"/>
  <c r="E139" i="49" s="1"/>
  <c r="C139" i="49"/>
  <c r="D138" i="49"/>
  <c r="E138" i="49" s="1"/>
  <c r="C138" i="49"/>
  <c r="D137" i="49"/>
  <c r="E137" i="49" s="1"/>
  <c r="C137" i="49"/>
  <c r="P124" i="49"/>
  <c r="Q124" i="49"/>
  <c r="R124" i="49"/>
  <c r="S124" i="49"/>
  <c r="T124" i="49"/>
  <c r="U124" i="49"/>
  <c r="V124" i="49"/>
  <c r="W124" i="49"/>
  <c r="X124" i="49"/>
  <c r="Y124" i="49"/>
  <c r="Z124" i="49"/>
  <c r="AA124" i="49"/>
  <c r="AB124" i="49"/>
  <c r="AC124" i="49"/>
  <c r="AD124" i="49"/>
  <c r="AE124" i="49"/>
  <c r="AF124" i="49"/>
  <c r="AG124" i="49"/>
  <c r="AH124" i="49"/>
  <c r="AI124" i="49"/>
  <c r="AJ124" i="49"/>
  <c r="AK124" i="49"/>
  <c r="AL124" i="49"/>
  <c r="AM124" i="49"/>
  <c r="AN124" i="49"/>
  <c r="AO124" i="49"/>
  <c r="AP124" i="49"/>
  <c r="P125" i="49"/>
  <c r="Q125" i="49"/>
  <c r="R125" i="49"/>
  <c r="S125" i="49"/>
  <c r="T125" i="49"/>
  <c r="U125" i="49"/>
  <c r="V125" i="49"/>
  <c r="W125" i="49"/>
  <c r="X125" i="49"/>
  <c r="Y125" i="49"/>
  <c r="Z125" i="49"/>
  <c r="AA125" i="49"/>
  <c r="AB125" i="49"/>
  <c r="AC125" i="49"/>
  <c r="AD125" i="49"/>
  <c r="AE125" i="49"/>
  <c r="AF125" i="49"/>
  <c r="AG125" i="49"/>
  <c r="AH125" i="49"/>
  <c r="AI125" i="49"/>
  <c r="AJ125" i="49"/>
  <c r="AK125" i="49"/>
  <c r="AL125" i="49"/>
  <c r="AM125" i="49"/>
  <c r="AN125" i="49"/>
  <c r="AO125" i="49"/>
  <c r="AP125" i="49"/>
  <c r="O125" i="49"/>
  <c r="O124" i="49"/>
  <c r="P116" i="49"/>
  <c r="Q116" i="49"/>
  <c r="R116" i="49"/>
  <c r="S116" i="49"/>
  <c r="T116" i="49"/>
  <c r="U116" i="49"/>
  <c r="V116" i="49"/>
  <c r="W116" i="49"/>
  <c r="X116" i="49"/>
  <c r="Y116" i="49"/>
  <c r="Z116" i="49"/>
  <c r="AA116" i="49"/>
  <c r="AB116" i="49"/>
  <c r="AC116" i="49"/>
  <c r="AD116" i="49"/>
  <c r="AE116" i="49"/>
  <c r="AF116" i="49"/>
  <c r="AG116" i="49"/>
  <c r="AH116" i="49"/>
  <c r="AI116" i="49"/>
  <c r="AJ116" i="49"/>
  <c r="AK116" i="49"/>
  <c r="AL116" i="49"/>
  <c r="AM116" i="49"/>
  <c r="AN116" i="49"/>
  <c r="AO116" i="49"/>
  <c r="AP116" i="49"/>
  <c r="P117" i="49"/>
  <c r="Q117" i="49"/>
  <c r="R117" i="49"/>
  <c r="S117" i="49"/>
  <c r="T117" i="49"/>
  <c r="U117" i="49"/>
  <c r="V117" i="49"/>
  <c r="W117" i="49"/>
  <c r="X117" i="49"/>
  <c r="Y117" i="49"/>
  <c r="Z117" i="49"/>
  <c r="AA117" i="49"/>
  <c r="AB117" i="49"/>
  <c r="AC117" i="49"/>
  <c r="AD117" i="49"/>
  <c r="AE117" i="49"/>
  <c r="AF117" i="49"/>
  <c r="AG117" i="49"/>
  <c r="AH117" i="49"/>
  <c r="AI117" i="49"/>
  <c r="AJ117" i="49"/>
  <c r="AK117" i="49"/>
  <c r="AL117" i="49"/>
  <c r="AM117" i="49"/>
  <c r="AN117" i="49"/>
  <c r="AO117" i="49"/>
  <c r="AP117" i="49"/>
  <c r="P118" i="49"/>
  <c r="Q118" i="49"/>
  <c r="R118" i="49"/>
  <c r="S118" i="49"/>
  <c r="T118" i="49"/>
  <c r="U118" i="49"/>
  <c r="V118" i="49"/>
  <c r="W118" i="49"/>
  <c r="X118" i="49"/>
  <c r="Y118" i="49"/>
  <c r="Z118" i="49"/>
  <c r="AA118" i="49"/>
  <c r="AB118" i="49"/>
  <c r="AC118" i="49"/>
  <c r="AD118" i="49"/>
  <c r="AE118" i="49"/>
  <c r="AF118" i="49"/>
  <c r="AG118" i="49"/>
  <c r="AH118" i="49"/>
  <c r="AI118" i="49"/>
  <c r="AJ118" i="49"/>
  <c r="AK118" i="49"/>
  <c r="AL118" i="49"/>
  <c r="AM118" i="49"/>
  <c r="AN118" i="49"/>
  <c r="AO118" i="49"/>
  <c r="AP118" i="49"/>
  <c r="P119" i="49"/>
  <c r="Q119" i="49"/>
  <c r="R119" i="49"/>
  <c r="S119" i="49"/>
  <c r="T119" i="49"/>
  <c r="U119" i="49"/>
  <c r="V119" i="49"/>
  <c r="W119" i="49"/>
  <c r="X119" i="49"/>
  <c r="Y119" i="49"/>
  <c r="Z119" i="49"/>
  <c r="AA119" i="49"/>
  <c r="AB119" i="49"/>
  <c r="AC119" i="49"/>
  <c r="AD119" i="49"/>
  <c r="AE119" i="49"/>
  <c r="AF119" i="49"/>
  <c r="AG119" i="49"/>
  <c r="AH119" i="49"/>
  <c r="AI119" i="49"/>
  <c r="AJ119" i="49"/>
  <c r="AK119" i="49"/>
  <c r="AL119" i="49"/>
  <c r="AM119" i="49"/>
  <c r="AN119" i="49"/>
  <c r="AO119" i="49"/>
  <c r="AP119" i="49"/>
  <c r="P120" i="49"/>
  <c r="Q120" i="49"/>
  <c r="R120" i="49"/>
  <c r="S120" i="49"/>
  <c r="T120" i="49"/>
  <c r="U120" i="49"/>
  <c r="V120" i="49"/>
  <c r="W120" i="49"/>
  <c r="X120" i="49"/>
  <c r="Y120" i="49"/>
  <c r="Z120" i="49"/>
  <c r="AA120" i="49"/>
  <c r="AB120" i="49"/>
  <c r="AC120" i="49"/>
  <c r="AD120" i="49"/>
  <c r="AE120" i="49"/>
  <c r="AF120" i="49"/>
  <c r="AG120" i="49"/>
  <c r="AH120" i="49"/>
  <c r="AI120" i="49"/>
  <c r="AJ120" i="49"/>
  <c r="AK120" i="49"/>
  <c r="AL120" i="49"/>
  <c r="AM120" i="49"/>
  <c r="AN120" i="49"/>
  <c r="AO120" i="49"/>
  <c r="AP120" i="49"/>
  <c r="P121" i="49"/>
  <c r="Q121" i="49"/>
  <c r="R121" i="49"/>
  <c r="S121" i="49"/>
  <c r="T121" i="49"/>
  <c r="U121" i="49"/>
  <c r="V121" i="49"/>
  <c r="W121" i="49"/>
  <c r="X121" i="49"/>
  <c r="Y121" i="49"/>
  <c r="Z121" i="49"/>
  <c r="AA121" i="49"/>
  <c r="AB121" i="49"/>
  <c r="AC121" i="49"/>
  <c r="AD121" i="49"/>
  <c r="AE121" i="49"/>
  <c r="AF121" i="49"/>
  <c r="AG121" i="49"/>
  <c r="AH121" i="49"/>
  <c r="AI121" i="49"/>
  <c r="AJ121" i="49"/>
  <c r="AK121" i="49"/>
  <c r="AL121" i="49"/>
  <c r="AM121" i="49"/>
  <c r="AN121" i="49"/>
  <c r="AO121" i="49"/>
  <c r="AP121" i="49"/>
  <c r="P122" i="49"/>
  <c r="Q122" i="49"/>
  <c r="R122" i="49"/>
  <c r="S122" i="49"/>
  <c r="T122" i="49"/>
  <c r="U122" i="49"/>
  <c r="V122" i="49"/>
  <c r="W122" i="49"/>
  <c r="X122" i="49"/>
  <c r="Y122" i="49"/>
  <c r="Z122" i="49"/>
  <c r="AA122" i="49"/>
  <c r="AB122" i="49"/>
  <c r="AC122" i="49"/>
  <c r="AD122" i="49"/>
  <c r="AE122" i="49"/>
  <c r="AF122" i="49"/>
  <c r="AG122" i="49"/>
  <c r="AH122" i="49"/>
  <c r="AI122" i="49"/>
  <c r="AJ122" i="49"/>
  <c r="AK122" i="49"/>
  <c r="AL122" i="49"/>
  <c r="AM122" i="49"/>
  <c r="AN122" i="49"/>
  <c r="AO122" i="49"/>
  <c r="AP122" i="49"/>
  <c r="O116" i="49"/>
  <c r="O117" i="49"/>
  <c r="O118" i="49"/>
  <c r="O119" i="49"/>
  <c r="O120" i="49"/>
  <c r="O121" i="49"/>
  <c r="O122" i="49"/>
  <c r="AP113" i="49"/>
  <c r="AO113" i="49"/>
  <c r="AN113" i="49"/>
  <c r="AM113" i="49"/>
  <c r="AL113" i="49"/>
  <c r="AK113" i="49"/>
  <c r="AJ113" i="49"/>
  <c r="AI113" i="49"/>
  <c r="AH113" i="49"/>
  <c r="AG113" i="49"/>
  <c r="AF113" i="49"/>
  <c r="AE113" i="49"/>
  <c r="AD113" i="49"/>
  <c r="AC113" i="49"/>
  <c r="AB113" i="49"/>
  <c r="AA113" i="49"/>
  <c r="Z113" i="49"/>
  <c r="Y113" i="49"/>
  <c r="X113" i="49"/>
  <c r="W113" i="49"/>
  <c r="V113" i="49"/>
  <c r="U113" i="49"/>
  <c r="T113" i="49"/>
  <c r="S113" i="49"/>
  <c r="R113" i="49"/>
  <c r="Q113" i="49"/>
  <c r="P113" i="49"/>
  <c r="O113" i="49"/>
  <c r="AP112" i="49"/>
  <c r="AO112" i="49"/>
  <c r="AN112" i="49"/>
  <c r="AM112" i="49"/>
  <c r="AL112" i="49"/>
  <c r="AK112" i="49"/>
  <c r="AJ112" i="49"/>
  <c r="AI112" i="49"/>
  <c r="AH112" i="49"/>
  <c r="AG112" i="49"/>
  <c r="AF112" i="49"/>
  <c r="AE112" i="49"/>
  <c r="AD112" i="49"/>
  <c r="AC112" i="49"/>
  <c r="AB112" i="49"/>
  <c r="AA112" i="49"/>
  <c r="Z112" i="49"/>
  <c r="Y112" i="49"/>
  <c r="X112" i="49"/>
  <c r="W112" i="49"/>
  <c r="V112" i="49"/>
  <c r="U112" i="49"/>
  <c r="T112" i="49"/>
  <c r="S112" i="49"/>
  <c r="R112" i="49"/>
  <c r="Q112" i="49"/>
  <c r="P112" i="49"/>
  <c r="O112" i="49"/>
  <c r="P114" i="49"/>
  <c r="Q114" i="49"/>
  <c r="R114" i="49"/>
  <c r="S114" i="49"/>
  <c r="T114" i="49"/>
  <c r="U114" i="49"/>
  <c r="V114" i="49"/>
  <c r="W114" i="49"/>
  <c r="X114" i="49"/>
  <c r="Y114" i="49"/>
  <c r="Z114" i="49"/>
  <c r="AA114" i="49"/>
  <c r="AB114" i="49"/>
  <c r="AC114" i="49"/>
  <c r="AD114" i="49"/>
  <c r="AE114" i="49"/>
  <c r="AF114" i="49"/>
  <c r="AG114" i="49"/>
  <c r="AH114" i="49"/>
  <c r="AI114" i="49"/>
  <c r="AJ114" i="49"/>
  <c r="AK114" i="49"/>
  <c r="AL114" i="49"/>
  <c r="AM114" i="49"/>
  <c r="AN114" i="49"/>
  <c r="AO114" i="49"/>
  <c r="AP114" i="49"/>
  <c r="P115" i="49"/>
  <c r="Q115" i="49"/>
  <c r="R115" i="49"/>
  <c r="S115" i="49"/>
  <c r="T115" i="49"/>
  <c r="U115" i="49"/>
  <c r="V115" i="49"/>
  <c r="W115" i="49"/>
  <c r="X115" i="49"/>
  <c r="Y115" i="49"/>
  <c r="Z115" i="49"/>
  <c r="AA115" i="49"/>
  <c r="AB115" i="49"/>
  <c r="AC115" i="49"/>
  <c r="AD115" i="49"/>
  <c r="AE115" i="49"/>
  <c r="AF115" i="49"/>
  <c r="AG115" i="49"/>
  <c r="AH115" i="49"/>
  <c r="AI115" i="49"/>
  <c r="AJ115" i="49"/>
  <c r="AK115" i="49"/>
  <c r="AL115" i="49"/>
  <c r="AM115" i="49"/>
  <c r="AN115" i="49"/>
  <c r="AO115" i="49"/>
  <c r="AP115" i="49"/>
  <c r="E149" i="49" l="1"/>
  <c r="E150" i="49"/>
  <c r="E141" i="49"/>
  <c r="O115" i="49"/>
  <c r="O114" i="49"/>
  <c r="D115" i="49"/>
  <c r="E115" i="49" s="1"/>
  <c r="C115" i="49"/>
  <c r="E114" i="49"/>
  <c r="AP111" i="49"/>
  <c r="AO111" i="49"/>
  <c r="AN111" i="49"/>
  <c r="AM111" i="49"/>
  <c r="AL111" i="49"/>
  <c r="AK111" i="49"/>
  <c r="AJ111" i="49"/>
  <c r="AI111" i="49"/>
  <c r="AH111" i="49"/>
  <c r="AG111" i="49"/>
  <c r="AF111" i="49"/>
  <c r="AE111" i="49"/>
  <c r="AD111" i="49"/>
  <c r="AC111" i="49"/>
  <c r="AB111" i="49"/>
  <c r="AA111" i="49"/>
  <c r="Z111" i="49"/>
  <c r="Y111" i="49"/>
  <c r="X111" i="49"/>
  <c r="W111" i="49"/>
  <c r="V111" i="49"/>
  <c r="U111" i="49"/>
  <c r="T111" i="49"/>
  <c r="S111" i="49"/>
  <c r="R111" i="49"/>
  <c r="Q111" i="49"/>
  <c r="P111" i="49"/>
  <c r="O111" i="49"/>
  <c r="AP110" i="49"/>
  <c r="AO110" i="49"/>
  <c r="AN110" i="49"/>
  <c r="AM110" i="49"/>
  <c r="AL110" i="49"/>
  <c r="AK110" i="49"/>
  <c r="AJ110" i="49"/>
  <c r="AI110" i="49"/>
  <c r="AH110" i="49"/>
  <c r="AG110" i="49"/>
  <c r="AF110" i="49"/>
  <c r="AE110" i="49"/>
  <c r="AD110" i="49"/>
  <c r="AC110" i="49"/>
  <c r="AB110" i="49"/>
  <c r="AA110" i="49"/>
  <c r="Z110" i="49"/>
  <c r="Y110" i="49"/>
  <c r="X110" i="49"/>
  <c r="W110" i="49"/>
  <c r="V110" i="49"/>
  <c r="U110" i="49"/>
  <c r="T110" i="49"/>
  <c r="S110" i="49"/>
  <c r="R110" i="49"/>
  <c r="Q110" i="49"/>
  <c r="P110" i="49"/>
  <c r="O110" i="49"/>
  <c r="AP109" i="49"/>
  <c r="AO109" i="49"/>
  <c r="AN109" i="49"/>
  <c r="AM109" i="49"/>
  <c r="AL109" i="49"/>
  <c r="AK109" i="49"/>
  <c r="AJ109" i="49"/>
  <c r="AI109" i="49"/>
  <c r="AH109" i="49"/>
  <c r="AG109" i="49"/>
  <c r="AF109" i="49"/>
  <c r="AE109" i="49"/>
  <c r="AD109" i="49"/>
  <c r="AC109" i="49"/>
  <c r="AB109" i="49"/>
  <c r="AA109" i="49"/>
  <c r="Z109" i="49"/>
  <c r="Y109" i="49"/>
  <c r="X109" i="49"/>
  <c r="W109" i="49"/>
  <c r="V109" i="49"/>
  <c r="U109" i="49"/>
  <c r="T109" i="49"/>
  <c r="S109" i="49"/>
  <c r="R109" i="49"/>
  <c r="Q109" i="49"/>
  <c r="P109" i="49"/>
  <c r="O109" i="49"/>
  <c r="AP108" i="49"/>
  <c r="AO108" i="49"/>
  <c r="AN108" i="49"/>
  <c r="AM108" i="49"/>
  <c r="AL108" i="49"/>
  <c r="AK108" i="49"/>
  <c r="AJ108" i="49"/>
  <c r="AI108" i="49"/>
  <c r="AH108" i="49"/>
  <c r="AG108" i="49"/>
  <c r="AF108" i="49"/>
  <c r="AE108" i="49"/>
  <c r="AD108" i="49"/>
  <c r="AC108" i="49"/>
  <c r="AB108" i="49"/>
  <c r="AA108" i="49"/>
  <c r="Z108" i="49"/>
  <c r="Y108" i="49"/>
  <c r="X108" i="49"/>
  <c r="W108" i="49"/>
  <c r="V108" i="49"/>
  <c r="U108" i="49"/>
  <c r="T108" i="49"/>
  <c r="S108" i="49"/>
  <c r="R108" i="49"/>
  <c r="Q108" i="49"/>
  <c r="P108" i="49"/>
  <c r="O108" i="49"/>
  <c r="AP107" i="49"/>
  <c r="AO107" i="49"/>
  <c r="AN107" i="49"/>
  <c r="AM107" i="49"/>
  <c r="AL107" i="49"/>
  <c r="AK107" i="49"/>
  <c r="AJ107" i="49"/>
  <c r="AI107" i="49"/>
  <c r="AH107" i="49"/>
  <c r="AG107" i="49"/>
  <c r="AF107" i="49"/>
  <c r="AE107" i="49"/>
  <c r="AD107" i="49"/>
  <c r="AC107" i="49"/>
  <c r="AB107" i="49"/>
  <c r="AA107" i="49"/>
  <c r="Z107" i="49"/>
  <c r="Y107" i="49"/>
  <c r="X107" i="49"/>
  <c r="W107" i="49"/>
  <c r="V107" i="49"/>
  <c r="U107" i="49"/>
  <c r="T107" i="49"/>
  <c r="S107" i="49"/>
  <c r="R107" i="49"/>
  <c r="Q107" i="49"/>
  <c r="P107" i="49"/>
  <c r="O107" i="49"/>
  <c r="AP106" i="49"/>
  <c r="AO106" i="49"/>
  <c r="AN106" i="49"/>
  <c r="AM106" i="49"/>
  <c r="AL106" i="49"/>
  <c r="AK106" i="49"/>
  <c r="AJ106" i="49"/>
  <c r="AI106" i="49"/>
  <c r="AH106" i="49"/>
  <c r="AG106" i="49"/>
  <c r="AF106" i="49"/>
  <c r="AE106" i="49"/>
  <c r="AD106" i="49"/>
  <c r="AC106" i="49"/>
  <c r="AB106" i="49"/>
  <c r="AA106" i="49"/>
  <c r="Z106" i="49"/>
  <c r="Y106" i="49"/>
  <c r="X106" i="49"/>
  <c r="W106" i="49"/>
  <c r="V106" i="49"/>
  <c r="U106" i="49"/>
  <c r="T106" i="49"/>
  <c r="S106" i="49"/>
  <c r="R106" i="49"/>
  <c r="Q106" i="49"/>
  <c r="P106" i="49"/>
  <c r="O106" i="49"/>
  <c r="AP105" i="49"/>
  <c r="AO105" i="49"/>
  <c r="AN105" i="49"/>
  <c r="AM105" i="49"/>
  <c r="AL105" i="49"/>
  <c r="AK105" i="49"/>
  <c r="AJ105" i="49"/>
  <c r="AI105" i="49"/>
  <c r="AH105" i="49"/>
  <c r="AG105" i="49"/>
  <c r="AF105" i="49"/>
  <c r="AE105" i="49"/>
  <c r="AD105" i="49"/>
  <c r="AC105" i="49"/>
  <c r="AB105" i="49"/>
  <c r="AA105" i="49"/>
  <c r="Z105" i="49"/>
  <c r="Y105" i="49"/>
  <c r="X105" i="49"/>
  <c r="W105" i="49"/>
  <c r="V105" i="49"/>
  <c r="U105" i="49"/>
  <c r="T105" i="49"/>
  <c r="S105" i="49"/>
  <c r="R105" i="49"/>
  <c r="Q105" i="49"/>
  <c r="P105" i="49"/>
  <c r="O105" i="49"/>
  <c r="AP104" i="49"/>
  <c r="AO104" i="49"/>
  <c r="AN104" i="49"/>
  <c r="AM104" i="49"/>
  <c r="AL104" i="49"/>
  <c r="AK104" i="49"/>
  <c r="AJ104" i="49"/>
  <c r="AI104" i="49"/>
  <c r="AH104" i="49"/>
  <c r="AG104" i="49"/>
  <c r="AF104" i="49"/>
  <c r="AE104" i="49"/>
  <c r="AD104" i="49"/>
  <c r="AC104" i="49"/>
  <c r="AB104" i="49"/>
  <c r="AA104" i="49"/>
  <c r="Z104" i="49"/>
  <c r="Y104" i="49"/>
  <c r="X104" i="49"/>
  <c r="W104" i="49"/>
  <c r="V104" i="49"/>
  <c r="U104" i="49"/>
  <c r="T104" i="49"/>
  <c r="S104" i="49"/>
  <c r="R104" i="49"/>
  <c r="Q104" i="49"/>
  <c r="P104" i="49"/>
  <c r="O104" i="49"/>
  <c r="AP103" i="49"/>
  <c r="AO103" i="49"/>
  <c r="AN103" i="49"/>
  <c r="AM103" i="49"/>
  <c r="AL103" i="49"/>
  <c r="AK103" i="49"/>
  <c r="AJ103" i="49"/>
  <c r="AI103" i="49"/>
  <c r="AH103" i="49"/>
  <c r="AG103" i="49"/>
  <c r="AF103" i="49"/>
  <c r="AE103" i="49"/>
  <c r="AD103" i="49"/>
  <c r="AC103" i="49"/>
  <c r="AB103" i="49"/>
  <c r="AA103" i="49"/>
  <c r="Z103" i="49"/>
  <c r="Y103" i="49"/>
  <c r="X103" i="49"/>
  <c r="W103" i="49"/>
  <c r="V103" i="49"/>
  <c r="U103" i="49"/>
  <c r="T103" i="49"/>
  <c r="S103" i="49"/>
  <c r="R103" i="49"/>
  <c r="Q103" i="49"/>
  <c r="P103" i="49"/>
  <c r="O103" i="49"/>
  <c r="AP102" i="49"/>
  <c r="AO102" i="49"/>
  <c r="AN102" i="49"/>
  <c r="AM102" i="49"/>
  <c r="AL102" i="49"/>
  <c r="AK102" i="49"/>
  <c r="AJ102" i="49"/>
  <c r="AI102" i="49"/>
  <c r="AH102" i="49"/>
  <c r="AG102" i="49"/>
  <c r="AF102" i="49"/>
  <c r="AE102" i="49"/>
  <c r="AD102" i="49"/>
  <c r="AC102" i="49"/>
  <c r="AB102" i="49"/>
  <c r="AA102" i="49"/>
  <c r="Z102" i="49"/>
  <c r="Y102" i="49"/>
  <c r="X102" i="49"/>
  <c r="W102" i="49"/>
  <c r="V102" i="49"/>
  <c r="U102" i="49"/>
  <c r="T102" i="49"/>
  <c r="S102" i="49"/>
  <c r="R102" i="49"/>
  <c r="Q102" i="49"/>
  <c r="P102" i="49"/>
  <c r="O102" i="49"/>
  <c r="P92" i="49"/>
  <c r="Q92" i="49"/>
  <c r="R92" i="49"/>
  <c r="S92" i="49"/>
  <c r="T92" i="49"/>
  <c r="U92" i="49"/>
  <c r="V92" i="49"/>
  <c r="W92" i="49"/>
  <c r="X92" i="49"/>
  <c r="Y92" i="49"/>
  <c r="Z92" i="49"/>
  <c r="AA92" i="49"/>
  <c r="AB92" i="49"/>
  <c r="AC92" i="49"/>
  <c r="AD92" i="49"/>
  <c r="AE92" i="49"/>
  <c r="AF92" i="49"/>
  <c r="AG92" i="49"/>
  <c r="AH92" i="49"/>
  <c r="AI92" i="49"/>
  <c r="AJ92" i="49"/>
  <c r="AK92" i="49"/>
  <c r="AL92" i="49"/>
  <c r="AM92" i="49"/>
  <c r="AN92" i="49"/>
  <c r="AO92" i="49"/>
  <c r="AP92" i="49"/>
  <c r="P93" i="49"/>
  <c r="Q93" i="49"/>
  <c r="R93" i="49"/>
  <c r="S93" i="49"/>
  <c r="T93" i="49"/>
  <c r="U93" i="49"/>
  <c r="V93" i="49"/>
  <c r="W93" i="49"/>
  <c r="X93" i="49"/>
  <c r="Y93" i="49"/>
  <c r="Z93" i="49"/>
  <c r="AA93" i="49"/>
  <c r="AB93" i="49"/>
  <c r="AC93" i="49"/>
  <c r="AD93" i="49"/>
  <c r="AE93" i="49"/>
  <c r="AF93" i="49"/>
  <c r="AG93" i="49"/>
  <c r="AH93" i="49"/>
  <c r="AI93" i="49"/>
  <c r="AJ93" i="49"/>
  <c r="AK93" i="49"/>
  <c r="AL93" i="49"/>
  <c r="AM93" i="49"/>
  <c r="AN93" i="49"/>
  <c r="AO93" i="49"/>
  <c r="AP93" i="49"/>
  <c r="P94" i="49"/>
  <c r="Q94" i="49"/>
  <c r="R94" i="49"/>
  <c r="S94" i="49"/>
  <c r="T94" i="49"/>
  <c r="U94" i="49"/>
  <c r="V94" i="49"/>
  <c r="W94" i="49"/>
  <c r="X94" i="49"/>
  <c r="Y94" i="49"/>
  <c r="Z94" i="49"/>
  <c r="AA94" i="49"/>
  <c r="AB94" i="49"/>
  <c r="AC94" i="49"/>
  <c r="AD94" i="49"/>
  <c r="AE94" i="49"/>
  <c r="AF94" i="49"/>
  <c r="AG94" i="49"/>
  <c r="AH94" i="49"/>
  <c r="AI94" i="49"/>
  <c r="AJ94" i="49"/>
  <c r="AK94" i="49"/>
  <c r="AL94" i="49"/>
  <c r="AM94" i="49"/>
  <c r="AN94" i="49"/>
  <c r="AO94" i="49"/>
  <c r="AP94" i="49"/>
  <c r="P95" i="49"/>
  <c r="Q95" i="49"/>
  <c r="R95" i="49"/>
  <c r="S95" i="49"/>
  <c r="T95" i="49"/>
  <c r="U95" i="49"/>
  <c r="V95" i="49"/>
  <c r="W95" i="49"/>
  <c r="X95" i="49"/>
  <c r="Y95" i="49"/>
  <c r="Z95" i="49"/>
  <c r="AA95" i="49"/>
  <c r="AB95" i="49"/>
  <c r="AC95" i="49"/>
  <c r="AD95" i="49"/>
  <c r="AE95" i="49"/>
  <c r="AF95" i="49"/>
  <c r="AG95" i="49"/>
  <c r="AH95" i="49"/>
  <c r="AI95" i="49"/>
  <c r="AJ95" i="49"/>
  <c r="AK95" i="49"/>
  <c r="AL95" i="49"/>
  <c r="AM95" i="49"/>
  <c r="AN95" i="49"/>
  <c r="AO95" i="49"/>
  <c r="AP95" i="49"/>
  <c r="P96" i="49"/>
  <c r="Q96" i="49"/>
  <c r="R96" i="49"/>
  <c r="S96" i="49"/>
  <c r="T96" i="49"/>
  <c r="U96" i="49"/>
  <c r="V96" i="49"/>
  <c r="W96" i="49"/>
  <c r="X96" i="49"/>
  <c r="Y96" i="49"/>
  <c r="Z96" i="49"/>
  <c r="AA96" i="49"/>
  <c r="AB96" i="49"/>
  <c r="AC96" i="49"/>
  <c r="AD96" i="49"/>
  <c r="AE96" i="49"/>
  <c r="AF96" i="49"/>
  <c r="AG96" i="49"/>
  <c r="AH96" i="49"/>
  <c r="AI96" i="49"/>
  <c r="AJ96" i="49"/>
  <c r="AK96" i="49"/>
  <c r="AL96" i="49"/>
  <c r="AM96" i="49"/>
  <c r="AN96" i="49"/>
  <c r="AO96" i="49"/>
  <c r="AP96" i="49"/>
  <c r="P97" i="49"/>
  <c r="Q97" i="49"/>
  <c r="R97" i="49"/>
  <c r="S97" i="49"/>
  <c r="T97" i="49"/>
  <c r="U97" i="49"/>
  <c r="V97" i="49"/>
  <c r="W97" i="49"/>
  <c r="X97" i="49"/>
  <c r="Y97" i="49"/>
  <c r="Z97" i="49"/>
  <c r="AA97" i="49"/>
  <c r="AB97" i="49"/>
  <c r="AC97" i="49"/>
  <c r="AD97" i="49"/>
  <c r="AE97" i="49"/>
  <c r="AF97" i="49"/>
  <c r="AG97" i="49"/>
  <c r="AH97" i="49"/>
  <c r="AI97" i="49"/>
  <c r="AJ97" i="49"/>
  <c r="AK97" i="49"/>
  <c r="AL97" i="49"/>
  <c r="AM97" i="49"/>
  <c r="AN97" i="49"/>
  <c r="AO97" i="49"/>
  <c r="AP97" i="49"/>
  <c r="P98" i="49"/>
  <c r="Q98" i="49"/>
  <c r="R98" i="49"/>
  <c r="S98" i="49"/>
  <c r="T98" i="49"/>
  <c r="U98" i="49"/>
  <c r="V98" i="49"/>
  <c r="W98" i="49"/>
  <c r="X98" i="49"/>
  <c r="Y98" i="49"/>
  <c r="Z98" i="49"/>
  <c r="AA98" i="49"/>
  <c r="AB98" i="49"/>
  <c r="AC98" i="49"/>
  <c r="AD98" i="49"/>
  <c r="AE98" i="49"/>
  <c r="AF98" i="49"/>
  <c r="AG98" i="49"/>
  <c r="AH98" i="49"/>
  <c r="AI98" i="49"/>
  <c r="AJ98" i="49"/>
  <c r="AK98" i="49"/>
  <c r="AL98" i="49"/>
  <c r="AM98" i="49"/>
  <c r="AN98" i="49"/>
  <c r="AO98" i="49"/>
  <c r="AP98" i="49"/>
  <c r="P99" i="49"/>
  <c r="Q99" i="49"/>
  <c r="R99" i="49"/>
  <c r="S99" i="49"/>
  <c r="T99" i="49"/>
  <c r="U99" i="49"/>
  <c r="V99" i="49"/>
  <c r="W99" i="49"/>
  <c r="X99" i="49"/>
  <c r="Y99" i="49"/>
  <c r="Z99" i="49"/>
  <c r="AA99" i="49"/>
  <c r="AB99" i="49"/>
  <c r="AC99" i="49"/>
  <c r="AD99" i="49"/>
  <c r="AE99" i="49"/>
  <c r="AF99" i="49"/>
  <c r="AG99" i="49"/>
  <c r="AH99" i="49"/>
  <c r="AI99" i="49"/>
  <c r="AJ99" i="49"/>
  <c r="AK99" i="49"/>
  <c r="AL99" i="49"/>
  <c r="AM99" i="49"/>
  <c r="AN99" i="49"/>
  <c r="AO99" i="49"/>
  <c r="AP99" i="49"/>
  <c r="P100" i="49"/>
  <c r="Q100" i="49"/>
  <c r="R100" i="49"/>
  <c r="S100" i="49"/>
  <c r="T100" i="49"/>
  <c r="U100" i="49"/>
  <c r="V100" i="49"/>
  <c r="W100" i="49"/>
  <c r="X100" i="49"/>
  <c r="Y100" i="49"/>
  <c r="Z100" i="49"/>
  <c r="AA100" i="49"/>
  <c r="AB100" i="49"/>
  <c r="AC100" i="49"/>
  <c r="AD100" i="49"/>
  <c r="AE100" i="49"/>
  <c r="AF100" i="49"/>
  <c r="AG100" i="49"/>
  <c r="AH100" i="49"/>
  <c r="AI100" i="49"/>
  <c r="AJ100" i="49"/>
  <c r="AK100" i="49"/>
  <c r="AL100" i="49"/>
  <c r="AM100" i="49"/>
  <c r="AN100" i="49"/>
  <c r="AO100" i="49"/>
  <c r="AP100" i="49"/>
  <c r="P101" i="49"/>
  <c r="Q101" i="49"/>
  <c r="R101" i="49"/>
  <c r="S101" i="49"/>
  <c r="T101" i="49"/>
  <c r="U101" i="49"/>
  <c r="V101" i="49"/>
  <c r="W101" i="49"/>
  <c r="X101" i="49"/>
  <c r="Y101" i="49"/>
  <c r="Z101" i="49"/>
  <c r="AA101" i="49"/>
  <c r="AB101" i="49"/>
  <c r="AC101" i="49"/>
  <c r="AD101" i="49"/>
  <c r="AE101" i="49"/>
  <c r="AF101" i="49"/>
  <c r="AG101" i="49"/>
  <c r="AH101" i="49"/>
  <c r="AI101" i="49"/>
  <c r="AJ101" i="49"/>
  <c r="AK101" i="49"/>
  <c r="AL101" i="49"/>
  <c r="AM101" i="49"/>
  <c r="AN101" i="49"/>
  <c r="AO101" i="49"/>
  <c r="AP101" i="49"/>
  <c r="O94" i="49"/>
  <c r="O95" i="49"/>
  <c r="O96" i="49"/>
  <c r="O97" i="49"/>
  <c r="O98" i="49"/>
  <c r="O99" i="49"/>
  <c r="O100" i="49"/>
  <c r="O101" i="49"/>
  <c r="O93" i="49"/>
  <c r="D111" i="49"/>
  <c r="E111" i="49" s="1"/>
  <c r="C111" i="49"/>
  <c r="D110" i="49"/>
  <c r="E110" i="49" s="1"/>
  <c r="C110" i="49"/>
  <c r="D109" i="49"/>
  <c r="E109" i="49" s="1"/>
  <c r="C109" i="49"/>
  <c r="D108" i="49"/>
  <c r="E108" i="49" s="1"/>
  <c r="C108" i="49"/>
  <c r="D107" i="49"/>
  <c r="E107" i="49" s="1"/>
  <c r="C107" i="49"/>
  <c r="E106" i="49"/>
  <c r="D105" i="49"/>
  <c r="E105" i="49" s="1"/>
  <c r="C105" i="49"/>
  <c r="D104" i="49"/>
  <c r="E104" i="49" s="1"/>
  <c r="C104" i="49"/>
  <c r="D103" i="49"/>
  <c r="E103" i="49" s="1"/>
  <c r="C103" i="49"/>
  <c r="D102" i="49"/>
  <c r="E102" i="49" s="1"/>
  <c r="C102" i="49"/>
  <c r="O92" i="49"/>
  <c r="J32" i="62"/>
  <c r="K32" i="62"/>
  <c r="L32" i="62"/>
  <c r="M32" i="62"/>
  <c r="N32" i="62"/>
  <c r="O32" i="62"/>
  <c r="P32" i="62"/>
  <c r="Q32" i="62"/>
  <c r="R32" i="62"/>
  <c r="S32" i="62"/>
  <c r="T32" i="62"/>
  <c r="U32" i="62"/>
  <c r="V32" i="62"/>
  <c r="W32" i="62"/>
  <c r="X32" i="62"/>
  <c r="Y32" i="62"/>
  <c r="Z32" i="62"/>
  <c r="AA32" i="62"/>
  <c r="AB32" i="62"/>
  <c r="AC32" i="62"/>
  <c r="AD32" i="62"/>
  <c r="AE32" i="62"/>
  <c r="AF32" i="62"/>
  <c r="AG32" i="62"/>
  <c r="AH32" i="62"/>
  <c r="AI32" i="62"/>
  <c r="AJ32" i="62"/>
  <c r="I32" i="62"/>
  <c r="D80" i="49"/>
  <c r="C80" i="49"/>
  <c r="D76" i="49"/>
  <c r="C76" i="49"/>
  <c r="D75" i="49"/>
  <c r="C75" i="49"/>
  <c r="D74" i="49"/>
  <c r="C74" i="49"/>
  <c r="D73" i="49"/>
  <c r="C73" i="49"/>
  <c r="D72" i="49"/>
  <c r="C72" i="49"/>
  <c r="D70" i="49"/>
  <c r="E70" i="49" s="1"/>
  <c r="C70" i="49"/>
  <c r="D69" i="49"/>
  <c r="E69" i="49" s="1"/>
  <c r="C69" i="49"/>
  <c r="D68" i="49"/>
  <c r="C68" i="49"/>
  <c r="D67" i="49"/>
  <c r="C67" i="49"/>
  <c r="N39" i="49"/>
  <c r="N38" i="49"/>
  <c r="N37" i="49"/>
  <c r="N30" i="49"/>
  <c r="N31" i="49"/>
  <c r="N32" i="49"/>
  <c r="N33" i="49"/>
  <c r="N34" i="49"/>
  <c r="N36" i="49"/>
  <c r="N35" i="49"/>
  <c r="N29" i="49"/>
  <c r="N28" i="49"/>
  <c r="N27" i="49"/>
  <c r="N26" i="49"/>
  <c r="N25" i="49"/>
  <c r="N24" i="49"/>
  <c r="N23" i="49"/>
  <c r="N22" i="49"/>
  <c r="N21" i="49"/>
  <c r="N20" i="49"/>
  <c r="N19" i="49"/>
  <c r="N18" i="49"/>
  <c r="N17" i="49"/>
  <c r="N16" i="49"/>
  <c r="N7" i="49"/>
  <c r="N8" i="49"/>
  <c r="N9" i="49"/>
  <c r="N10" i="49"/>
  <c r="N11" i="49"/>
  <c r="N12" i="49"/>
  <c r="N13" i="49"/>
  <c r="N14" i="49"/>
  <c r="N15" i="49"/>
  <c r="N6" i="49"/>
  <c r="C26" i="10"/>
  <c r="A9" i="50" s="1"/>
  <c r="D26" i="10"/>
  <c r="B9" i="50" s="1"/>
  <c r="C24" i="10"/>
  <c r="A7" i="50" s="1"/>
  <c r="D24" i="10"/>
  <c r="B7" i="50" s="1"/>
  <c r="D25" i="10"/>
  <c r="D23" i="10"/>
  <c r="C25" i="10"/>
  <c r="C23" i="10"/>
  <c r="L39" i="49"/>
  <c r="L38" i="49"/>
  <c r="L37" i="49"/>
  <c r="L30" i="49"/>
  <c r="L31" i="49"/>
  <c r="L32" i="49"/>
  <c r="L33" i="49"/>
  <c r="L34" i="49"/>
  <c r="L36" i="49"/>
  <c r="L35" i="49"/>
  <c r="L29" i="49"/>
  <c r="L28" i="49"/>
  <c r="L27" i="49"/>
  <c r="L26" i="49"/>
  <c r="L25" i="49"/>
  <c r="L24" i="49"/>
  <c r="L23" i="49"/>
  <c r="L22" i="49"/>
  <c r="L21" i="49"/>
  <c r="L20" i="49"/>
  <c r="L19" i="49"/>
  <c r="L18" i="49"/>
  <c r="L17" i="49"/>
  <c r="L16" i="49"/>
  <c r="L7" i="49"/>
  <c r="L8" i="49"/>
  <c r="L9" i="49"/>
  <c r="L10" i="49"/>
  <c r="L11" i="49"/>
  <c r="L12" i="49"/>
  <c r="L13" i="49"/>
  <c r="L14" i="49"/>
  <c r="L15" i="49"/>
  <c r="L6" i="49"/>
  <c r="B29" i="49"/>
  <c r="B28" i="49"/>
  <c r="D29" i="49"/>
  <c r="K29" i="49" s="1"/>
  <c r="C29" i="49"/>
  <c r="A29" i="49"/>
  <c r="M29" i="49" s="1"/>
  <c r="E28" i="49"/>
  <c r="A28" i="49"/>
  <c r="M28" i="49" s="1"/>
  <c r="B27" i="49"/>
  <c r="B26" i="49"/>
  <c r="B17" i="49"/>
  <c r="B18" i="49"/>
  <c r="B19" i="49"/>
  <c r="B20" i="49"/>
  <c r="B21" i="49"/>
  <c r="B22" i="49"/>
  <c r="B23" i="49"/>
  <c r="B24" i="49"/>
  <c r="B25" i="49"/>
  <c r="B16" i="49"/>
  <c r="B7" i="49"/>
  <c r="B8" i="49"/>
  <c r="B9" i="49"/>
  <c r="B10" i="49"/>
  <c r="B11" i="49"/>
  <c r="B12" i="49"/>
  <c r="B13" i="49"/>
  <c r="B14" i="49"/>
  <c r="B15" i="49"/>
  <c r="B6" i="49"/>
  <c r="G25" i="49"/>
  <c r="F25" i="49"/>
  <c r="D25" i="49"/>
  <c r="E25" i="49" s="1"/>
  <c r="C25" i="49"/>
  <c r="A25" i="49"/>
  <c r="M25" i="49" s="1"/>
  <c r="G24" i="49"/>
  <c r="F24" i="49"/>
  <c r="D24" i="49"/>
  <c r="E24" i="49" s="1"/>
  <c r="C24" i="49"/>
  <c r="A24" i="49"/>
  <c r="M24" i="49" s="1"/>
  <c r="G23" i="49"/>
  <c r="F23" i="49"/>
  <c r="D23" i="49"/>
  <c r="E23" i="49" s="1"/>
  <c r="C23" i="49"/>
  <c r="A23" i="49"/>
  <c r="M23" i="49" s="1"/>
  <c r="G22" i="49"/>
  <c r="F22" i="49"/>
  <c r="D22" i="49"/>
  <c r="E22" i="49" s="1"/>
  <c r="C22" i="49"/>
  <c r="A22" i="49"/>
  <c r="M22" i="49" s="1"/>
  <c r="G21" i="49"/>
  <c r="F21" i="49"/>
  <c r="D21" i="49"/>
  <c r="E21" i="49" s="1"/>
  <c r="C21" i="49"/>
  <c r="A21" i="49"/>
  <c r="M21" i="49" s="1"/>
  <c r="G20" i="49"/>
  <c r="F20" i="49"/>
  <c r="E20" i="49"/>
  <c r="A20" i="49"/>
  <c r="G19" i="49"/>
  <c r="F19" i="49"/>
  <c r="D19" i="49"/>
  <c r="E19" i="49" s="1"/>
  <c r="C19" i="49"/>
  <c r="A19" i="49"/>
  <c r="G18" i="49"/>
  <c r="F18" i="49"/>
  <c r="D18" i="49"/>
  <c r="E18" i="49" s="1"/>
  <c r="C18" i="49"/>
  <c r="A18" i="49"/>
  <c r="M18" i="49" s="1"/>
  <c r="G17" i="49"/>
  <c r="F17" i="49"/>
  <c r="D17" i="49"/>
  <c r="E17" i="49" s="1"/>
  <c r="C17" i="49"/>
  <c r="A17" i="49"/>
  <c r="M17" i="49" s="1"/>
  <c r="G16" i="49"/>
  <c r="F16" i="49"/>
  <c r="D16" i="49"/>
  <c r="K16" i="49" s="1"/>
  <c r="C16" i="49"/>
  <c r="A16" i="49"/>
  <c r="AJ41" i="62"/>
  <c r="AP90" i="49" s="1"/>
  <c r="AI41" i="62"/>
  <c r="AH41" i="62"/>
  <c r="AG41" i="62"/>
  <c r="AM90" i="49" s="1"/>
  <c r="AF41" i="62"/>
  <c r="AE41" i="62"/>
  <c r="AD41" i="62"/>
  <c r="AC41" i="62"/>
  <c r="AB41" i="62"/>
  <c r="AH90" i="49" s="1"/>
  <c r="AA41" i="62"/>
  <c r="Z41" i="62"/>
  <c r="Y41" i="62"/>
  <c r="X41" i="62"/>
  <c r="W41" i="62"/>
  <c r="V41" i="62"/>
  <c r="U41" i="62"/>
  <c r="T41" i="62"/>
  <c r="Z90" i="49" s="1"/>
  <c r="S41" i="62"/>
  <c r="R41" i="62"/>
  <c r="Q41" i="62"/>
  <c r="P41" i="62"/>
  <c r="O41" i="62"/>
  <c r="N41" i="62"/>
  <c r="M41" i="62"/>
  <c r="L41" i="62"/>
  <c r="R90" i="49" s="1"/>
  <c r="K41" i="62"/>
  <c r="J41" i="62"/>
  <c r="I41" i="62"/>
  <c r="O90" i="49" s="1"/>
  <c r="AJ40" i="62"/>
  <c r="AI40" i="62"/>
  <c r="AH40" i="62"/>
  <c r="AG40" i="62"/>
  <c r="AF40" i="62"/>
  <c r="AE40" i="62"/>
  <c r="AD40" i="62"/>
  <c r="AC40" i="62"/>
  <c r="AB40" i="62"/>
  <c r="AA40" i="62"/>
  <c r="Z40" i="62"/>
  <c r="Y40" i="62"/>
  <c r="X40" i="62"/>
  <c r="W40" i="62"/>
  <c r="V40" i="62"/>
  <c r="U40" i="62"/>
  <c r="T40" i="62"/>
  <c r="S40" i="62"/>
  <c r="R40" i="62"/>
  <c r="Q40" i="62"/>
  <c r="P40" i="62"/>
  <c r="O40" i="62"/>
  <c r="N40" i="62"/>
  <c r="M40" i="62"/>
  <c r="L40" i="62"/>
  <c r="K40" i="62"/>
  <c r="J40" i="62"/>
  <c r="I40" i="62"/>
  <c r="AJ39" i="62"/>
  <c r="AI39" i="62"/>
  <c r="AH39" i="62"/>
  <c r="AG39" i="62"/>
  <c r="AF39" i="62"/>
  <c r="AE39" i="62"/>
  <c r="AD39" i="62"/>
  <c r="AC39" i="62"/>
  <c r="AB39" i="62"/>
  <c r="AA39" i="62"/>
  <c r="Z39" i="62"/>
  <c r="Y39" i="62"/>
  <c r="X39" i="62"/>
  <c r="W39" i="62"/>
  <c r="V39" i="62"/>
  <c r="U39" i="62"/>
  <c r="T39" i="62"/>
  <c r="S39" i="62"/>
  <c r="R39" i="62"/>
  <c r="Q39" i="62"/>
  <c r="P39" i="62"/>
  <c r="O39" i="62"/>
  <c r="N39" i="62"/>
  <c r="M39" i="62"/>
  <c r="L39" i="62"/>
  <c r="K39" i="62"/>
  <c r="J39" i="62"/>
  <c r="I39" i="62"/>
  <c r="I91" i="62" s="1"/>
  <c r="AJ38" i="62"/>
  <c r="AI38" i="62"/>
  <c r="AH38" i="62"/>
  <c r="AG38" i="62"/>
  <c r="AF38" i="62"/>
  <c r="AE38" i="62"/>
  <c r="AD38" i="62"/>
  <c r="AC38" i="62"/>
  <c r="AB38" i="62"/>
  <c r="AA38" i="62"/>
  <c r="Z38" i="62"/>
  <c r="Y38" i="62"/>
  <c r="X38" i="62"/>
  <c r="W38" i="62"/>
  <c r="V38" i="62"/>
  <c r="U38" i="62"/>
  <c r="T38" i="62"/>
  <c r="S38" i="62"/>
  <c r="R38" i="62"/>
  <c r="Q38" i="62"/>
  <c r="P38" i="62"/>
  <c r="O38" i="62"/>
  <c r="N38" i="62"/>
  <c r="M38" i="62"/>
  <c r="L38" i="62"/>
  <c r="K38" i="62"/>
  <c r="J38" i="62"/>
  <c r="I38" i="62"/>
  <c r="AJ37" i="62"/>
  <c r="AL113" i="63" s="1"/>
  <c r="AR184" i="56" s="1"/>
  <c r="AI37" i="62"/>
  <c r="AK113" i="63" s="1"/>
  <c r="AQ184" i="56" s="1"/>
  <c r="AH37" i="62"/>
  <c r="AJ113" i="63" s="1"/>
  <c r="AP184" i="56" s="1"/>
  <c r="AG37" i="62"/>
  <c r="AI113" i="63" s="1"/>
  <c r="AO184" i="56" s="1"/>
  <c r="AF37" i="62"/>
  <c r="AH113" i="63" s="1"/>
  <c r="AN184" i="56" s="1"/>
  <c r="AE37" i="62"/>
  <c r="AG113" i="63" s="1"/>
  <c r="AM184" i="56" s="1"/>
  <c r="AD37" i="62"/>
  <c r="AF113" i="63" s="1"/>
  <c r="AL184" i="56" s="1"/>
  <c r="AC37" i="62"/>
  <c r="AE113" i="63" s="1"/>
  <c r="AK184" i="56" s="1"/>
  <c r="AB37" i="62"/>
  <c r="AD113" i="63" s="1"/>
  <c r="AJ184" i="56" s="1"/>
  <c r="AA37" i="62"/>
  <c r="AC113" i="63" s="1"/>
  <c r="AI184" i="56" s="1"/>
  <c r="Z37" i="62"/>
  <c r="AB113" i="63" s="1"/>
  <c r="AH184" i="56" s="1"/>
  <c r="Y37" i="62"/>
  <c r="AA113" i="63" s="1"/>
  <c r="AG184" i="56" s="1"/>
  <c r="X37" i="62"/>
  <c r="Z113" i="63" s="1"/>
  <c r="AF184" i="56" s="1"/>
  <c r="W37" i="62"/>
  <c r="Y113" i="63" s="1"/>
  <c r="AE184" i="56" s="1"/>
  <c r="V37" i="62"/>
  <c r="X113" i="63" s="1"/>
  <c r="AD184" i="56" s="1"/>
  <c r="U37" i="62"/>
  <c r="W113" i="63" s="1"/>
  <c r="AC184" i="56" s="1"/>
  <c r="T37" i="62"/>
  <c r="V113" i="63" s="1"/>
  <c r="AB184" i="56" s="1"/>
  <c r="S37" i="62"/>
  <c r="U113" i="63" s="1"/>
  <c r="AA184" i="56" s="1"/>
  <c r="R37" i="62"/>
  <c r="T113" i="63" s="1"/>
  <c r="Z184" i="56" s="1"/>
  <c r="Q37" i="62"/>
  <c r="S113" i="63" s="1"/>
  <c r="Y184" i="56" s="1"/>
  <c r="P37" i="62"/>
  <c r="R113" i="63" s="1"/>
  <c r="X184" i="56" s="1"/>
  <c r="O37" i="62"/>
  <c r="Q113" i="63" s="1"/>
  <c r="W184" i="56" s="1"/>
  <c r="N37" i="62"/>
  <c r="P113" i="63" s="1"/>
  <c r="V184" i="56" s="1"/>
  <c r="M37" i="62"/>
  <c r="O113" i="63" s="1"/>
  <c r="U184" i="56" s="1"/>
  <c r="L37" i="62"/>
  <c r="N113" i="63" s="1"/>
  <c r="T184" i="56" s="1"/>
  <c r="K37" i="62"/>
  <c r="M113" i="63" s="1"/>
  <c r="S184" i="56" s="1"/>
  <c r="J37" i="62"/>
  <c r="L113" i="63" s="1"/>
  <c r="R184" i="56" s="1"/>
  <c r="I37" i="62"/>
  <c r="K113" i="63" s="1"/>
  <c r="Q184" i="56" s="1"/>
  <c r="AJ36" i="62"/>
  <c r="AL111" i="63" s="1"/>
  <c r="AR182" i="56" s="1"/>
  <c r="AI36" i="62"/>
  <c r="AK111" i="63" s="1"/>
  <c r="AQ182" i="56" s="1"/>
  <c r="AH36" i="62"/>
  <c r="AJ111" i="63" s="1"/>
  <c r="AP182" i="56" s="1"/>
  <c r="AG36" i="62"/>
  <c r="AI111" i="63" s="1"/>
  <c r="AO182" i="56" s="1"/>
  <c r="AF36" i="62"/>
  <c r="AH111" i="63" s="1"/>
  <c r="AN182" i="56" s="1"/>
  <c r="AE36" i="62"/>
  <c r="AG111" i="63" s="1"/>
  <c r="AM182" i="56" s="1"/>
  <c r="AD36" i="62"/>
  <c r="AF111" i="63" s="1"/>
  <c r="AL182" i="56" s="1"/>
  <c r="AC36" i="62"/>
  <c r="AE111" i="63" s="1"/>
  <c r="AK182" i="56" s="1"/>
  <c r="AB36" i="62"/>
  <c r="AD111" i="63" s="1"/>
  <c r="AJ182" i="56" s="1"/>
  <c r="AA36" i="62"/>
  <c r="AC111" i="63" s="1"/>
  <c r="AI182" i="56" s="1"/>
  <c r="Z36" i="62"/>
  <c r="AB111" i="63" s="1"/>
  <c r="AH182" i="56" s="1"/>
  <c r="Y36" i="62"/>
  <c r="AA111" i="63" s="1"/>
  <c r="AG182" i="56" s="1"/>
  <c r="X36" i="62"/>
  <c r="Z111" i="63" s="1"/>
  <c r="AF182" i="56" s="1"/>
  <c r="W36" i="62"/>
  <c r="Y111" i="63" s="1"/>
  <c r="AE182" i="56" s="1"/>
  <c r="V36" i="62"/>
  <c r="X111" i="63" s="1"/>
  <c r="AD182" i="56" s="1"/>
  <c r="U36" i="62"/>
  <c r="W111" i="63" s="1"/>
  <c r="AC182" i="56" s="1"/>
  <c r="T36" i="62"/>
  <c r="V111" i="63" s="1"/>
  <c r="AB182" i="56" s="1"/>
  <c r="S36" i="62"/>
  <c r="U111" i="63" s="1"/>
  <c r="AA182" i="56" s="1"/>
  <c r="R36" i="62"/>
  <c r="T111" i="63" s="1"/>
  <c r="Z182" i="56" s="1"/>
  <c r="Q36" i="62"/>
  <c r="S111" i="63" s="1"/>
  <c r="Y182" i="56" s="1"/>
  <c r="P36" i="62"/>
  <c r="R111" i="63" s="1"/>
  <c r="X182" i="56" s="1"/>
  <c r="O36" i="62"/>
  <c r="Q111" i="63" s="1"/>
  <c r="W182" i="56" s="1"/>
  <c r="N36" i="62"/>
  <c r="P111" i="63" s="1"/>
  <c r="V182" i="56" s="1"/>
  <c r="M36" i="62"/>
  <c r="O111" i="63" s="1"/>
  <c r="U182" i="56" s="1"/>
  <c r="L36" i="62"/>
  <c r="N111" i="63" s="1"/>
  <c r="T182" i="56" s="1"/>
  <c r="K36" i="62"/>
  <c r="M111" i="63" s="1"/>
  <c r="S182" i="56" s="1"/>
  <c r="J36" i="62"/>
  <c r="L111" i="63" s="1"/>
  <c r="R182" i="56" s="1"/>
  <c r="I36" i="62"/>
  <c r="K111" i="63" s="1"/>
  <c r="Q182" i="56" s="1"/>
  <c r="AJ35" i="62"/>
  <c r="AL110" i="63" s="1"/>
  <c r="AR181" i="56" s="1"/>
  <c r="AI35" i="62"/>
  <c r="AK110" i="63" s="1"/>
  <c r="AQ181" i="56" s="1"/>
  <c r="AH35" i="62"/>
  <c r="AJ110" i="63" s="1"/>
  <c r="AP181" i="56" s="1"/>
  <c r="AG35" i="62"/>
  <c r="AI110" i="63" s="1"/>
  <c r="AO181" i="56" s="1"/>
  <c r="AF35" i="62"/>
  <c r="AH110" i="63" s="1"/>
  <c r="AN181" i="56" s="1"/>
  <c r="AE35" i="62"/>
  <c r="AG110" i="63" s="1"/>
  <c r="AM181" i="56" s="1"/>
  <c r="AD35" i="62"/>
  <c r="AF110" i="63" s="1"/>
  <c r="AL181" i="56" s="1"/>
  <c r="AC35" i="62"/>
  <c r="AE110" i="63" s="1"/>
  <c r="AK181" i="56" s="1"/>
  <c r="AB35" i="62"/>
  <c r="AD110" i="63" s="1"/>
  <c r="AJ181" i="56" s="1"/>
  <c r="AA35" i="62"/>
  <c r="AC110" i="63" s="1"/>
  <c r="AI181" i="56" s="1"/>
  <c r="Z35" i="62"/>
  <c r="AB110" i="63" s="1"/>
  <c r="AH181" i="56" s="1"/>
  <c r="Y35" i="62"/>
  <c r="AA110" i="63" s="1"/>
  <c r="AG181" i="56" s="1"/>
  <c r="X35" i="62"/>
  <c r="Z110" i="63" s="1"/>
  <c r="AF181" i="56" s="1"/>
  <c r="W35" i="62"/>
  <c r="Y110" i="63" s="1"/>
  <c r="AE181" i="56" s="1"/>
  <c r="V35" i="62"/>
  <c r="X110" i="63" s="1"/>
  <c r="AD181" i="56" s="1"/>
  <c r="U35" i="62"/>
  <c r="W110" i="63" s="1"/>
  <c r="AC181" i="56" s="1"/>
  <c r="T35" i="62"/>
  <c r="V110" i="63" s="1"/>
  <c r="AB181" i="56" s="1"/>
  <c r="S35" i="62"/>
  <c r="U110" i="63" s="1"/>
  <c r="AA181" i="56" s="1"/>
  <c r="R35" i="62"/>
  <c r="T110" i="63" s="1"/>
  <c r="Z181" i="56" s="1"/>
  <c r="Q35" i="62"/>
  <c r="S110" i="63" s="1"/>
  <c r="Y181" i="56" s="1"/>
  <c r="P35" i="62"/>
  <c r="R110" i="63" s="1"/>
  <c r="X181" i="56" s="1"/>
  <c r="O35" i="62"/>
  <c r="Q110" i="63" s="1"/>
  <c r="W181" i="56" s="1"/>
  <c r="N35" i="62"/>
  <c r="P110" i="63" s="1"/>
  <c r="V181" i="56" s="1"/>
  <c r="M35" i="62"/>
  <c r="O110" i="63" s="1"/>
  <c r="U181" i="56" s="1"/>
  <c r="L35" i="62"/>
  <c r="N110" i="63" s="1"/>
  <c r="T181" i="56" s="1"/>
  <c r="K35" i="62"/>
  <c r="M110" i="63" s="1"/>
  <c r="S181" i="56" s="1"/>
  <c r="J35" i="62"/>
  <c r="L110" i="63" s="1"/>
  <c r="R181" i="56" s="1"/>
  <c r="I35" i="62"/>
  <c r="K110" i="63" s="1"/>
  <c r="Q181" i="56" s="1"/>
  <c r="AJ34" i="62"/>
  <c r="AL109" i="63" s="1"/>
  <c r="AR180" i="56" s="1"/>
  <c r="AI34" i="62"/>
  <c r="AK109" i="63" s="1"/>
  <c r="AQ180" i="56" s="1"/>
  <c r="AH34" i="62"/>
  <c r="AJ109" i="63" s="1"/>
  <c r="AP180" i="56" s="1"/>
  <c r="AG34" i="62"/>
  <c r="AI109" i="63" s="1"/>
  <c r="AO180" i="56" s="1"/>
  <c r="AF34" i="62"/>
  <c r="AH109" i="63" s="1"/>
  <c r="AN180" i="56" s="1"/>
  <c r="AE34" i="62"/>
  <c r="AG109" i="63" s="1"/>
  <c r="AM180" i="56" s="1"/>
  <c r="AD34" i="62"/>
  <c r="AF109" i="63" s="1"/>
  <c r="AL180" i="56" s="1"/>
  <c r="AC34" i="62"/>
  <c r="AE109" i="63" s="1"/>
  <c r="AK180" i="56" s="1"/>
  <c r="AB34" i="62"/>
  <c r="AD109" i="63" s="1"/>
  <c r="AJ180" i="56" s="1"/>
  <c r="AA34" i="62"/>
  <c r="AC109" i="63" s="1"/>
  <c r="AI180" i="56" s="1"/>
  <c r="Z34" i="62"/>
  <c r="AB109" i="63" s="1"/>
  <c r="AH180" i="56" s="1"/>
  <c r="Y34" i="62"/>
  <c r="AA109" i="63" s="1"/>
  <c r="AG180" i="56" s="1"/>
  <c r="X34" i="62"/>
  <c r="Z109" i="63" s="1"/>
  <c r="AF180" i="56" s="1"/>
  <c r="W34" i="62"/>
  <c r="Y109" i="63" s="1"/>
  <c r="AE180" i="56" s="1"/>
  <c r="V34" i="62"/>
  <c r="X109" i="63" s="1"/>
  <c r="AD180" i="56" s="1"/>
  <c r="U34" i="62"/>
  <c r="W109" i="63" s="1"/>
  <c r="AC180" i="56" s="1"/>
  <c r="T34" i="62"/>
  <c r="V109" i="63" s="1"/>
  <c r="AB180" i="56" s="1"/>
  <c r="S34" i="62"/>
  <c r="U109" i="63" s="1"/>
  <c r="AA180" i="56" s="1"/>
  <c r="R34" i="62"/>
  <c r="T109" i="63" s="1"/>
  <c r="Z180" i="56" s="1"/>
  <c r="Q34" i="62"/>
  <c r="S109" i="63" s="1"/>
  <c r="Y180" i="56" s="1"/>
  <c r="P34" i="62"/>
  <c r="R109" i="63" s="1"/>
  <c r="X180" i="56" s="1"/>
  <c r="O34" i="62"/>
  <c r="Q109" i="63" s="1"/>
  <c r="W180" i="56" s="1"/>
  <c r="N34" i="62"/>
  <c r="P109" i="63" s="1"/>
  <c r="V180" i="56" s="1"/>
  <c r="M34" i="62"/>
  <c r="O109" i="63" s="1"/>
  <c r="U180" i="56" s="1"/>
  <c r="L34" i="62"/>
  <c r="N109" i="63" s="1"/>
  <c r="T180" i="56" s="1"/>
  <c r="K34" i="62"/>
  <c r="M109" i="63" s="1"/>
  <c r="S180" i="56" s="1"/>
  <c r="J34" i="62"/>
  <c r="L109" i="63" s="1"/>
  <c r="R180" i="56" s="1"/>
  <c r="I34" i="62"/>
  <c r="K109" i="63" s="1"/>
  <c r="Q180" i="56" s="1"/>
  <c r="AJ33" i="62"/>
  <c r="AI33" i="62"/>
  <c r="AH33" i="62"/>
  <c r="AG33" i="62"/>
  <c r="AF33" i="62"/>
  <c r="AE33" i="62"/>
  <c r="AD33" i="62"/>
  <c r="AC33" i="62"/>
  <c r="AB33" i="62"/>
  <c r="AA33" i="62"/>
  <c r="Z33" i="62"/>
  <c r="Y33" i="62"/>
  <c r="X33" i="62"/>
  <c r="W33" i="62"/>
  <c r="V33" i="62"/>
  <c r="U33" i="62"/>
  <c r="T33" i="62"/>
  <c r="S33" i="62"/>
  <c r="R33" i="62"/>
  <c r="Q33" i="62"/>
  <c r="P33" i="62"/>
  <c r="O33" i="62"/>
  <c r="N33" i="62"/>
  <c r="M33" i="62"/>
  <c r="L33" i="62"/>
  <c r="K33" i="62"/>
  <c r="J33" i="62"/>
  <c r="I33" i="62"/>
  <c r="AJ31" i="62"/>
  <c r="AI31" i="62"/>
  <c r="AH31" i="62"/>
  <c r="AG31" i="62"/>
  <c r="AF31" i="62"/>
  <c r="AE31" i="62"/>
  <c r="AD31" i="62"/>
  <c r="AC31" i="62"/>
  <c r="AB31" i="62"/>
  <c r="AA31" i="62"/>
  <c r="Z31" i="62"/>
  <c r="Y31" i="62"/>
  <c r="X31" i="62"/>
  <c r="W31" i="62"/>
  <c r="V31" i="62"/>
  <c r="U31" i="62"/>
  <c r="T31" i="62"/>
  <c r="S31" i="62"/>
  <c r="R31" i="62"/>
  <c r="Q31" i="62"/>
  <c r="P31" i="62"/>
  <c r="O31" i="62"/>
  <c r="N31" i="62"/>
  <c r="M31" i="62"/>
  <c r="L31" i="62"/>
  <c r="K31" i="62"/>
  <c r="J31" i="62"/>
  <c r="I31" i="62"/>
  <c r="AJ30" i="62"/>
  <c r="AI30" i="62"/>
  <c r="AH30" i="62"/>
  <c r="AG30" i="62"/>
  <c r="AF30" i="62"/>
  <c r="AE30" i="62"/>
  <c r="AD30" i="62"/>
  <c r="AC30" i="62"/>
  <c r="AB30" i="62"/>
  <c r="AA30" i="62"/>
  <c r="Z30" i="62"/>
  <c r="Y30" i="62"/>
  <c r="X30" i="62"/>
  <c r="W30" i="62"/>
  <c r="V30" i="62"/>
  <c r="U30" i="62"/>
  <c r="T30" i="62"/>
  <c r="S30" i="62"/>
  <c r="Y79" i="49" s="1"/>
  <c r="R30" i="62"/>
  <c r="Q30" i="62"/>
  <c r="P30" i="62"/>
  <c r="O30" i="62"/>
  <c r="N30" i="62"/>
  <c r="M30" i="62"/>
  <c r="L30" i="62"/>
  <c r="K30" i="62"/>
  <c r="J30" i="62"/>
  <c r="I30" i="62"/>
  <c r="AJ29" i="62"/>
  <c r="AI29" i="62"/>
  <c r="AH29" i="62"/>
  <c r="AG29" i="62"/>
  <c r="AF29" i="62"/>
  <c r="AE29" i="62"/>
  <c r="AD29" i="62"/>
  <c r="AC29" i="62"/>
  <c r="AB29" i="62"/>
  <c r="AA29" i="62"/>
  <c r="Z29" i="62"/>
  <c r="Y29" i="62"/>
  <c r="X29" i="62"/>
  <c r="W29" i="62"/>
  <c r="V29" i="62"/>
  <c r="U29" i="62"/>
  <c r="T29" i="62"/>
  <c r="S29" i="62"/>
  <c r="R29" i="62"/>
  <c r="Q29" i="62"/>
  <c r="P29" i="62"/>
  <c r="O29" i="62"/>
  <c r="N29" i="62"/>
  <c r="M29" i="62"/>
  <c r="L29" i="62"/>
  <c r="K29" i="62"/>
  <c r="J29" i="62"/>
  <c r="I29" i="62"/>
  <c r="AJ28" i="62"/>
  <c r="AI28" i="62"/>
  <c r="AH28" i="62"/>
  <c r="AG28" i="62"/>
  <c r="AF28" i="62"/>
  <c r="AE28" i="62"/>
  <c r="AD28" i="62"/>
  <c r="AC28" i="62"/>
  <c r="AB28" i="62"/>
  <c r="AA28" i="62"/>
  <c r="Z28" i="62"/>
  <c r="Y28" i="62"/>
  <c r="X28" i="62"/>
  <c r="W28" i="62"/>
  <c r="V28" i="62"/>
  <c r="U28" i="62"/>
  <c r="T28" i="62"/>
  <c r="S28" i="62"/>
  <c r="R28" i="62"/>
  <c r="Q28" i="62"/>
  <c r="P28" i="62"/>
  <c r="O28" i="62"/>
  <c r="N28" i="62"/>
  <c r="M28" i="62"/>
  <c r="L28" i="62"/>
  <c r="K28" i="62"/>
  <c r="J28" i="62"/>
  <c r="I28" i="62"/>
  <c r="AJ27" i="62"/>
  <c r="AI27" i="62"/>
  <c r="AH27" i="62"/>
  <c r="AG27" i="62"/>
  <c r="AF27" i="62"/>
  <c r="AE27" i="62"/>
  <c r="AD27" i="62"/>
  <c r="AC27" i="62"/>
  <c r="AB27" i="62"/>
  <c r="AA27" i="62"/>
  <c r="Z27" i="62"/>
  <c r="Y27" i="62"/>
  <c r="X27" i="62"/>
  <c r="W27" i="62"/>
  <c r="V27" i="62"/>
  <c r="U27" i="62"/>
  <c r="T27" i="62"/>
  <c r="S27" i="62"/>
  <c r="R27" i="62"/>
  <c r="Q27" i="62"/>
  <c r="P27" i="62"/>
  <c r="O27" i="62"/>
  <c r="N27" i="62"/>
  <c r="M27" i="62"/>
  <c r="L27" i="62"/>
  <c r="K27" i="62"/>
  <c r="J27" i="62"/>
  <c r="I27" i="62"/>
  <c r="AJ26" i="62"/>
  <c r="AI26" i="62"/>
  <c r="AH26" i="62"/>
  <c r="AG26" i="62"/>
  <c r="AF26" i="62"/>
  <c r="AE26" i="62"/>
  <c r="AD26" i="62"/>
  <c r="AC26" i="62"/>
  <c r="AB26" i="62"/>
  <c r="AA26" i="62"/>
  <c r="Z26" i="62"/>
  <c r="Y26" i="62"/>
  <c r="X26" i="62"/>
  <c r="W26" i="62"/>
  <c r="V26" i="62"/>
  <c r="U26" i="62"/>
  <c r="T26" i="62"/>
  <c r="S26" i="62"/>
  <c r="R26" i="62"/>
  <c r="Q26" i="62"/>
  <c r="P26" i="62"/>
  <c r="O26" i="62"/>
  <c r="N26" i="62"/>
  <c r="M26" i="62"/>
  <c r="L26" i="62"/>
  <c r="K26" i="62"/>
  <c r="J26" i="62"/>
  <c r="I26" i="62"/>
  <c r="AJ25" i="62"/>
  <c r="AI25" i="62"/>
  <c r="AH25" i="62"/>
  <c r="AG25" i="62"/>
  <c r="AF25" i="62"/>
  <c r="AE25" i="62"/>
  <c r="AD25" i="62"/>
  <c r="AC25" i="62"/>
  <c r="AB25" i="62"/>
  <c r="AA25" i="62"/>
  <c r="Z25" i="62"/>
  <c r="Y25" i="62"/>
  <c r="X25" i="62"/>
  <c r="W25" i="62"/>
  <c r="V25" i="62"/>
  <c r="U25" i="62"/>
  <c r="T25" i="62"/>
  <c r="S25" i="62"/>
  <c r="R25" i="62"/>
  <c r="Q25" i="62"/>
  <c r="P25" i="62"/>
  <c r="O25" i="62"/>
  <c r="N25" i="62"/>
  <c r="M25" i="62"/>
  <c r="L25" i="62"/>
  <c r="K25" i="62"/>
  <c r="J25" i="62"/>
  <c r="I25" i="62"/>
  <c r="AJ24" i="62"/>
  <c r="AI24" i="62"/>
  <c r="AH24" i="62"/>
  <c r="AG24" i="62"/>
  <c r="AF24" i="62"/>
  <c r="AE24" i="62"/>
  <c r="AD24" i="62"/>
  <c r="AC24" i="62"/>
  <c r="AB24" i="62"/>
  <c r="AA24" i="62"/>
  <c r="Z24" i="62"/>
  <c r="Y24" i="62"/>
  <c r="X24" i="62"/>
  <c r="W24" i="62"/>
  <c r="V24" i="62"/>
  <c r="U24" i="62"/>
  <c r="T24" i="62"/>
  <c r="S24" i="62"/>
  <c r="R24" i="62"/>
  <c r="Q24" i="62"/>
  <c r="P24" i="62"/>
  <c r="O24" i="62"/>
  <c r="N24" i="62"/>
  <c r="M24" i="62"/>
  <c r="L24" i="62"/>
  <c r="K24" i="62"/>
  <c r="J24" i="62"/>
  <c r="I24" i="62"/>
  <c r="AJ23" i="62"/>
  <c r="AI23" i="62"/>
  <c r="AH23" i="62"/>
  <c r="AG23" i="62"/>
  <c r="AF23" i="62"/>
  <c r="AE23" i="62"/>
  <c r="AD23" i="62"/>
  <c r="AC23" i="62"/>
  <c r="AB23" i="62"/>
  <c r="AA23" i="62"/>
  <c r="Z23" i="62"/>
  <c r="Y23" i="62"/>
  <c r="X23" i="62"/>
  <c r="W23" i="62"/>
  <c r="V23" i="62"/>
  <c r="U23" i="62"/>
  <c r="T23" i="62"/>
  <c r="S23" i="62"/>
  <c r="R23" i="62"/>
  <c r="Q23" i="62"/>
  <c r="P23" i="62"/>
  <c r="O23" i="62"/>
  <c r="N23" i="62"/>
  <c r="M23" i="62"/>
  <c r="L23" i="62"/>
  <c r="K23" i="62"/>
  <c r="J23" i="62"/>
  <c r="I23" i="62"/>
  <c r="AJ22" i="62"/>
  <c r="AI22" i="62"/>
  <c r="AO71" i="49" s="1"/>
  <c r="AH22" i="62"/>
  <c r="AG22" i="62"/>
  <c r="AF22" i="62"/>
  <c r="AE22" i="62"/>
  <c r="AD22" i="62"/>
  <c r="AC22" i="62"/>
  <c r="AB22" i="62"/>
  <c r="AA22" i="62"/>
  <c r="Z22" i="62"/>
  <c r="Y22" i="62"/>
  <c r="X22" i="62"/>
  <c r="W22" i="62"/>
  <c r="V22" i="62"/>
  <c r="U22" i="62"/>
  <c r="T22" i="62"/>
  <c r="S22" i="62"/>
  <c r="R22" i="62"/>
  <c r="Q22" i="62"/>
  <c r="P22" i="62"/>
  <c r="O22" i="62"/>
  <c r="N22" i="62"/>
  <c r="M22" i="62"/>
  <c r="L22" i="62"/>
  <c r="K22" i="62"/>
  <c r="J22" i="62"/>
  <c r="I22" i="62"/>
  <c r="AJ21" i="62"/>
  <c r="AP70" i="49" s="1"/>
  <c r="AJ20" i="62"/>
  <c r="AP69" i="49" s="1"/>
  <c r="AI20" i="62"/>
  <c r="AH20" i="62"/>
  <c r="AG20" i="62"/>
  <c r="AF20" i="62"/>
  <c r="AE20" i="62"/>
  <c r="AD20" i="62"/>
  <c r="AC20" i="62"/>
  <c r="AB20" i="62"/>
  <c r="AA20" i="62"/>
  <c r="Z20" i="62"/>
  <c r="Y20" i="62"/>
  <c r="X20" i="62"/>
  <c r="W20" i="62"/>
  <c r="V20" i="62"/>
  <c r="U20" i="62"/>
  <c r="T20" i="62"/>
  <c r="S20" i="62"/>
  <c r="R20" i="62"/>
  <c r="Q20" i="62"/>
  <c r="P20" i="62"/>
  <c r="O20" i="62"/>
  <c r="N20" i="62"/>
  <c r="M20" i="62"/>
  <c r="L20" i="62"/>
  <c r="K20" i="62"/>
  <c r="J20" i="62"/>
  <c r="I20" i="62"/>
  <c r="AJ19" i="62"/>
  <c r="AI19" i="62"/>
  <c r="AH19" i="62"/>
  <c r="AG19" i="62"/>
  <c r="AF19" i="62"/>
  <c r="AE19" i="62"/>
  <c r="AD19" i="62"/>
  <c r="AC19" i="62"/>
  <c r="AB19" i="62"/>
  <c r="AA19" i="62"/>
  <c r="Z19" i="62"/>
  <c r="Y19" i="62"/>
  <c r="X19" i="62"/>
  <c r="W19" i="62"/>
  <c r="V19" i="62"/>
  <c r="U19" i="62"/>
  <c r="T19" i="62"/>
  <c r="S19" i="62"/>
  <c r="R19" i="62"/>
  <c r="Q19" i="62"/>
  <c r="P19" i="62"/>
  <c r="O19" i="62"/>
  <c r="N19" i="62"/>
  <c r="M19" i="62"/>
  <c r="L19" i="62"/>
  <c r="K19" i="62"/>
  <c r="J19" i="62"/>
  <c r="I19" i="62"/>
  <c r="AJ18" i="62"/>
  <c r="AL96" i="63" s="1"/>
  <c r="AR167" i="56" s="1"/>
  <c r="AI18" i="62"/>
  <c r="AK96" i="63" s="1"/>
  <c r="AQ167" i="56" s="1"/>
  <c r="AH18" i="62"/>
  <c r="AJ96" i="63" s="1"/>
  <c r="AP167" i="56" s="1"/>
  <c r="AG18" i="62"/>
  <c r="AI96" i="63" s="1"/>
  <c r="AO167" i="56" s="1"/>
  <c r="AF18" i="62"/>
  <c r="AH96" i="63" s="1"/>
  <c r="AN167" i="56" s="1"/>
  <c r="AE18" i="62"/>
  <c r="AG96" i="63" s="1"/>
  <c r="AM167" i="56" s="1"/>
  <c r="AD18" i="62"/>
  <c r="AF96" i="63" s="1"/>
  <c r="AL167" i="56" s="1"/>
  <c r="AC18" i="62"/>
  <c r="AE96" i="63" s="1"/>
  <c r="AK167" i="56" s="1"/>
  <c r="AB18" i="62"/>
  <c r="AD96" i="63" s="1"/>
  <c r="AJ167" i="56" s="1"/>
  <c r="AA18" i="62"/>
  <c r="AC96" i="63" s="1"/>
  <c r="AI167" i="56" s="1"/>
  <c r="Z18" i="62"/>
  <c r="AB96" i="63" s="1"/>
  <c r="AH167" i="56" s="1"/>
  <c r="Y18" i="62"/>
  <c r="AA96" i="63" s="1"/>
  <c r="AG167" i="56" s="1"/>
  <c r="X18" i="62"/>
  <c r="Z96" i="63" s="1"/>
  <c r="AF167" i="56" s="1"/>
  <c r="W18" i="62"/>
  <c r="Y96" i="63" s="1"/>
  <c r="AE167" i="56" s="1"/>
  <c r="V18" i="62"/>
  <c r="X96" i="63" s="1"/>
  <c r="AD167" i="56" s="1"/>
  <c r="U18" i="62"/>
  <c r="W96" i="63" s="1"/>
  <c r="AC167" i="56" s="1"/>
  <c r="T18" i="62"/>
  <c r="V96" i="63" s="1"/>
  <c r="AB167" i="56" s="1"/>
  <c r="S18" i="62"/>
  <c r="U96" i="63" s="1"/>
  <c r="AA167" i="56" s="1"/>
  <c r="R18" i="62"/>
  <c r="T96" i="63" s="1"/>
  <c r="Z167" i="56" s="1"/>
  <c r="Q18" i="62"/>
  <c r="S96" i="63" s="1"/>
  <c r="Y167" i="56" s="1"/>
  <c r="P18" i="62"/>
  <c r="R96" i="63" s="1"/>
  <c r="X167" i="56" s="1"/>
  <c r="O18" i="62"/>
  <c r="Q96" i="63" s="1"/>
  <c r="W167" i="56" s="1"/>
  <c r="N18" i="62"/>
  <c r="P96" i="63" s="1"/>
  <c r="V167" i="56" s="1"/>
  <c r="M18" i="62"/>
  <c r="O96" i="63" s="1"/>
  <c r="U167" i="56" s="1"/>
  <c r="L18" i="62"/>
  <c r="N96" i="63" s="1"/>
  <c r="T167" i="56" s="1"/>
  <c r="K18" i="62"/>
  <c r="M96" i="63" s="1"/>
  <c r="S167" i="56" s="1"/>
  <c r="J18" i="62"/>
  <c r="L96" i="63" s="1"/>
  <c r="R167" i="56" s="1"/>
  <c r="I18" i="62"/>
  <c r="K96" i="63" s="1"/>
  <c r="Q167" i="56" s="1"/>
  <c r="AJ17" i="62"/>
  <c r="AI17" i="62"/>
  <c r="AH17" i="62"/>
  <c r="AG17" i="62"/>
  <c r="AF17" i="62"/>
  <c r="AE17" i="62"/>
  <c r="AD17" i="62"/>
  <c r="AC17" i="62"/>
  <c r="AB17" i="62"/>
  <c r="AA17" i="62"/>
  <c r="Z17" i="62"/>
  <c r="Y17" i="62"/>
  <c r="X17" i="62"/>
  <c r="W17" i="62"/>
  <c r="V17" i="62"/>
  <c r="U17" i="62"/>
  <c r="T17" i="62"/>
  <c r="S17" i="62"/>
  <c r="R17" i="62"/>
  <c r="Q17" i="62"/>
  <c r="P17" i="62"/>
  <c r="O17" i="62"/>
  <c r="N17" i="62"/>
  <c r="M17" i="62"/>
  <c r="L17" i="62"/>
  <c r="K17" i="62"/>
  <c r="J17" i="62"/>
  <c r="I17" i="62"/>
  <c r="AJ16" i="62"/>
  <c r="AI16" i="62"/>
  <c r="AH16" i="62"/>
  <c r="AG16" i="62"/>
  <c r="AF16" i="62"/>
  <c r="AE16" i="62"/>
  <c r="AD16" i="62"/>
  <c r="AC16" i="62"/>
  <c r="AB16" i="62"/>
  <c r="AA16" i="62"/>
  <c r="Z16" i="62"/>
  <c r="Y16" i="62"/>
  <c r="X16" i="62"/>
  <c r="W16" i="62"/>
  <c r="V16" i="62"/>
  <c r="U16" i="62"/>
  <c r="T16" i="62"/>
  <c r="S16" i="62"/>
  <c r="R16" i="62"/>
  <c r="Q16" i="62"/>
  <c r="P16" i="62"/>
  <c r="O16" i="62"/>
  <c r="N16" i="62"/>
  <c r="M16" i="62"/>
  <c r="L16" i="62"/>
  <c r="K16" i="62"/>
  <c r="J16" i="62"/>
  <c r="I16" i="62"/>
  <c r="AJ15" i="62"/>
  <c r="AI15" i="62"/>
  <c r="AH15" i="62"/>
  <c r="AG15" i="62"/>
  <c r="AF15" i="62"/>
  <c r="AE15" i="62"/>
  <c r="AD15" i="62"/>
  <c r="AC15" i="62"/>
  <c r="AB15" i="62"/>
  <c r="AA15" i="62"/>
  <c r="Z15" i="62"/>
  <c r="Y15" i="62"/>
  <c r="X15" i="62"/>
  <c r="W15" i="62"/>
  <c r="V15" i="62"/>
  <c r="U15" i="62"/>
  <c r="T15" i="62"/>
  <c r="S15" i="62"/>
  <c r="R15" i="62"/>
  <c r="Q15" i="62"/>
  <c r="P15" i="62"/>
  <c r="O15" i="62"/>
  <c r="N15" i="62"/>
  <c r="M15" i="62"/>
  <c r="L15" i="62"/>
  <c r="K15" i="62"/>
  <c r="J15" i="62"/>
  <c r="I15" i="62"/>
  <c r="AJ14" i="62"/>
  <c r="AI14" i="62"/>
  <c r="AH14" i="62"/>
  <c r="AG14" i="62"/>
  <c r="AF14" i="62"/>
  <c r="AE14" i="62"/>
  <c r="AD14" i="62"/>
  <c r="AC14" i="62"/>
  <c r="AB14" i="62"/>
  <c r="AA14" i="62"/>
  <c r="Z14" i="62"/>
  <c r="Y14" i="62"/>
  <c r="X14" i="62"/>
  <c r="W14" i="62"/>
  <c r="V14" i="62"/>
  <c r="U14" i="62"/>
  <c r="T14" i="62"/>
  <c r="S14" i="62"/>
  <c r="R14" i="62"/>
  <c r="Q14" i="62"/>
  <c r="P14" i="62"/>
  <c r="O14" i="62"/>
  <c r="N14" i="62"/>
  <c r="M14" i="62"/>
  <c r="L14" i="62"/>
  <c r="K14" i="62"/>
  <c r="J14" i="62"/>
  <c r="I14" i="62"/>
  <c r="AJ13" i="62"/>
  <c r="AI13" i="62"/>
  <c r="AH13" i="62"/>
  <c r="AG13" i="62"/>
  <c r="AF13" i="62"/>
  <c r="AE13" i="62"/>
  <c r="AD13" i="62"/>
  <c r="AC13" i="62"/>
  <c r="AB13" i="62"/>
  <c r="AA13" i="62"/>
  <c r="Z13" i="62"/>
  <c r="Y13" i="62"/>
  <c r="X13" i="62"/>
  <c r="W13" i="62"/>
  <c r="V13" i="62"/>
  <c r="U13" i="62"/>
  <c r="T13" i="62"/>
  <c r="S13" i="62"/>
  <c r="R13" i="62"/>
  <c r="Q13" i="62"/>
  <c r="P13" i="62"/>
  <c r="O13" i="62"/>
  <c r="N13" i="62"/>
  <c r="M13" i="62"/>
  <c r="L13" i="62"/>
  <c r="K13" i="62"/>
  <c r="J13" i="62"/>
  <c r="I13" i="62"/>
  <c r="AJ12" i="62"/>
  <c r="AI12" i="62"/>
  <c r="AH12" i="62"/>
  <c r="AG12" i="62"/>
  <c r="AF12" i="62"/>
  <c r="AE12" i="62"/>
  <c r="AD12" i="62"/>
  <c r="AC12" i="62"/>
  <c r="AB12" i="62"/>
  <c r="AA12" i="62"/>
  <c r="Z12" i="62"/>
  <c r="Y12" i="62"/>
  <c r="X12" i="62"/>
  <c r="W12" i="62"/>
  <c r="V12" i="62"/>
  <c r="U12" i="62"/>
  <c r="T12" i="62"/>
  <c r="S12" i="62"/>
  <c r="R12" i="62"/>
  <c r="Q12" i="62"/>
  <c r="P12" i="62"/>
  <c r="O12" i="62"/>
  <c r="N12" i="62"/>
  <c r="M12" i="62"/>
  <c r="L12" i="62"/>
  <c r="K12" i="62"/>
  <c r="J12" i="62"/>
  <c r="I12" i="62"/>
  <c r="AC11" i="62"/>
  <c r="AJ10" i="62"/>
  <c r="AI10" i="62"/>
  <c r="AH10" i="62"/>
  <c r="AG10" i="62"/>
  <c r="AF10" i="62"/>
  <c r="AE10" i="62"/>
  <c r="AD10" i="62"/>
  <c r="AC10" i="62"/>
  <c r="AB10" i="62"/>
  <c r="AA10" i="62"/>
  <c r="Z10" i="62"/>
  <c r="Y10" i="62"/>
  <c r="X10" i="62"/>
  <c r="W10" i="62"/>
  <c r="V10" i="62"/>
  <c r="U10" i="62"/>
  <c r="T10" i="62"/>
  <c r="S10" i="62"/>
  <c r="R10" i="62"/>
  <c r="Q10" i="62"/>
  <c r="P10" i="62"/>
  <c r="O10" i="62"/>
  <c r="N10" i="62"/>
  <c r="M10" i="62"/>
  <c r="L10" i="62"/>
  <c r="K10" i="62"/>
  <c r="J10" i="62"/>
  <c r="I10" i="62"/>
  <c r="AJ9" i="62"/>
  <c r="AI9" i="62"/>
  <c r="AH9" i="62"/>
  <c r="AG9" i="62"/>
  <c r="AF9" i="62"/>
  <c r="AE9" i="62"/>
  <c r="AD9" i="62"/>
  <c r="AC9" i="62"/>
  <c r="AB9" i="62"/>
  <c r="AA9" i="62"/>
  <c r="Z9" i="62"/>
  <c r="Y9" i="62"/>
  <c r="X9" i="62"/>
  <c r="W9" i="62"/>
  <c r="V9" i="62"/>
  <c r="U9" i="62"/>
  <c r="T9" i="62"/>
  <c r="S9" i="62"/>
  <c r="R9" i="62"/>
  <c r="Q9" i="62"/>
  <c r="P9" i="62"/>
  <c r="O9" i="62"/>
  <c r="N9" i="62"/>
  <c r="M9" i="62"/>
  <c r="L9" i="62"/>
  <c r="K9" i="62"/>
  <c r="J9" i="62"/>
  <c r="I9" i="62"/>
  <c r="AJ8" i="62"/>
  <c r="AL50" i="63" s="1"/>
  <c r="AR121" i="56" s="1"/>
  <c r="AI8" i="62"/>
  <c r="AK50" i="63" s="1"/>
  <c r="AQ121" i="56" s="1"/>
  <c r="AH8" i="62"/>
  <c r="AJ50" i="63" s="1"/>
  <c r="AP121" i="56" s="1"/>
  <c r="AG8" i="62"/>
  <c r="AI50" i="63" s="1"/>
  <c r="AO121" i="56" s="1"/>
  <c r="AF8" i="62"/>
  <c r="AH50" i="63" s="1"/>
  <c r="AN121" i="56" s="1"/>
  <c r="AE8" i="62"/>
  <c r="AG50" i="63" s="1"/>
  <c r="AM121" i="56" s="1"/>
  <c r="AD8" i="62"/>
  <c r="AF50" i="63" s="1"/>
  <c r="AL121" i="56" s="1"/>
  <c r="AC8" i="62"/>
  <c r="AE50" i="63" s="1"/>
  <c r="AK121" i="56" s="1"/>
  <c r="AB8" i="62"/>
  <c r="AD50" i="63" s="1"/>
  <c r="AJ121" i="56" s="1"/>
  <c r="AA8" i="62"/>
  <c r="AC50" i="63" s="1"/>
  <c r="AI121" i="56" s="1"/>
  <c r="Z8" i="62"/>
  <c r="AB50" i="63" s="1"/>
  <c r="AH121" i="56" s="1"/>
  <c r="Y8" i="62"/>
  <c r="AA50" i="63" s="1"/>
  <c r="AG121" i="56" s="1"/>
  <c r="X8" i="62"/>
  <c r="Z50" i="63" s="1"/>
  <c r="AF121" i="56" s="1"/>
  <c r="W8" i="62"/>
  <c r="Y50" i="63" s="1"/>
  <c r="AE121" i="56" s="1"/>
  <c r="V8" i="62"/>
  <c r="X50" i="63" s="1"/>
  <c r="AD121" i="56" s="1"/>
  <c r="U8" i="62"/>
  <c r="W50" i="63" s="1"/>
  <c r="AC121" i="56" s="1"/>
  <c r="T8" i="62"/>
  <c r="V50" i="63" s="1"/>
  <c r="AB121" i="56" s="1"/>
  <c r="S8" i="62"/>
  <c r="U50" i="63" s="1"/>
  <c r="AA121" i="56" s="1"/>
  <c r="R8" i="62"/>
  <c r="T50" i="63" s="1"/>
  <c r="Z121" i="56" s="1"/>
  <c r="Q8" i="62"/>
  <c r="S50" i="63" s="1"/>
  <c r="Y121" i="56" s="1"/>
  <c r="P8" i="62"/>
  <c r="R50" i="63" s="1"/>
  <c r="X121" i="56" s="1"/>
  <c r="O8" i="62"/>
  <c r="Q50" i="63" s="1"/>
  <c r="W121" i="56" s="1"/>
  <c r="N8" i="62"/>
  <c r="P50" i="63" s="1"/>
  <c r="V121" i="56" s="1"/>
  <c r="M8" i="62"/>
  <c r="O50" i="63" s="1"/>
  <c r="U121" i="56" s="1"/>
  <c r="L8" i="62"/>
  <c r="N50" i="63" s="1"/>
  <c r="T121" i="56" s="1"/>
  <c r="K8" i="62"/>
  <c r="M50" i="63" s="1"/>
  <c r="S121" i="56" s="1"/>
  <c r="J8" i="62"/>
  <c r="L50" i="63" s="1"/>
  <c r="R121" i="56" s="1"/>
  <c r="I8" i="62"/>
  <c r="K50" i="63" s="1"/>
  <c r="Q121" i="56" s="1"/>
  <c r="AA188" i="61"/>
  <c r="AA189" i="61" s="1"/>
  <c r="V188" i="61"/>
  <c r="U188" i="61"/>
  <c r="AA177" i="61"/>
  <c r="V177" i="61"/>
  <c r="U177" i="61"/>
  <c r="AI166" i="61"/>
  <c r="AI167" i="61" s="1"/>
  <c r="AH166" i="61"/>
  <c r="AH167" i="61" s="1"/>
  <c r="AC166" i="61"/>
  <c r="AC167" i="61" s="1"/>
  <c r="AB166" i="61"/>
  <c r="AB167" i="61" s="1"/>
  <c r="AA166" i="61"/>
  <c r="X166" i="61"/>
  <c r="X167" i="61" s="1"/>
  <c r="W166" i="61"/>
  <c r="V166" i="61"/>
  <c r="U166" i="61"/>
  <c r="T166" i="61"/>
  <c r="T167" i="61" s="1"/>
  <c r="S166" i="61"/>
  <c r="S167" i="61" s="1"/>
  <c r="R166" i="61"/>
  <c r="R167" i="61" s="1"/>
  <c r="Q166" i="61"/>
  <c r="P166" i="61"/>
  <c r="P167" i="61" s="1"/>
  <c r="M166" i="61"/>
  <c r="L166" i="61"/>
  <c r="L167" i="61" s="1"/>
  <c r="I166" i="61"/>
  <c r="I167" i="61" s="1"/>
  <c r="AI155" i="61"/>
  <c r="AI156" i="61" s="1"/>
  <c r="AH155" i="61"/>
  <c r="AH156" i="61" s="1"/>
  <c r="AC155" i="61"/>
  <c r="AB155" i="61"/>
  <c r="AB156" i="61" s="1"/>
  <c r="AA155" i="61"/>
  <c r="AA156" i="61" s="1"/>
  <c r="X155" i="61"/>
  <c r="X156" i="61" s="1"/>
  <c r="W155" i="61"/>
  <c r="V155" i="61"/>
  <c r="U155" i="61"/>
  <c r="U156" i="61" s="1"/>
  <c r="T155" i="61"/>
  <c r="T156" i="61" s="1"/>
  <c r="S155" i="61"/>
  <c r="S156" i="61" s="1"/>
  <c r="R155" i="61"/>
  <c r="R156" i="61" s="1"/>
  <c r="Q155" i="61"/>
  <c r="Q156" i="61" s="1"/>
  <c r="P155" i="61"/>
  <c r="P156" i="61" s="1"/>
  <c r="M155" i="61"/>
  <c r="L155" i="61"/>
  <c r="L156" i="61" s="1"/>
  <c r="I155" i="61"/>
  <c r="I156" i="61" s="1"/>
  <c r="I149" i="61"/>
  <c r="I148" i="61"/>
  <c r="K148" i="61" s="1"/>
  <c r="I146" i="61"/>
  <c r="I147" i="61"/>
  <c r="AF147" i="61" s="1"/>
  <c r="I143" i="61"/>
  <c r="I144" i="61" s="1"/>
  <c r="AA144" i="61"/>
  <c r="AA145" i="61" s="1"/>
  <c r="V144" i="61"/>
  <c r="V145" i="61" s="1"/>
  <c r="U144" i="61"/>
  <c r="U145" i="61" s="1"/>
  <c r="H144" i="61"/>
  <c r="AI133" i="61"/>
  <c r="AH133" i="61"/>
  <c r="AH134" i="61" s="1"/>
  <c r="AC133" i="61"/>
  <c r="AB133" i="61"/>
  <c r="AA133" i="61"/>
  <c r="X133" i="61"/>
  <c r="X134" i="61" s="1"/>
  <c r="V133" i="61"/>
  <c r="V134" i="61" s="1"/>
  <c r="U133" i="61"/>
  <c r="S133" i="61"/>
  <c r="R133" i="61"/>
  <c r="R134" i="61" s="1"/>
  <c r="Q133" i="61"/>
  <c r="P133" i="61"/>
  <c r="M133" i="61"/>
  <c r="M134" i="61" s="1"/>
  <c r="L133" i="61"/>
  <c r="L134" i="61" s="1"/>
  <c r="AI122" i="61"/>
  <c r="AH122" i="61"/>
  <c r="AC122" i="61"/>
  <c r="AB122" i="61"/>
  <c r="AB123" i="61" s="1"/>
  <c r="AA122" i="61"/>
  <c r="X122" i="61"/>
  <c r="X123" i="61" s="1"/>
  <c r="V122" i="61"/>
  <c r="V123" i="61" s="1"/>
  <c r="U122" i="61"/>
  <c r="U123" i="61" s="1"/>
  <c r="S122" i="61"/>
  <c r="R122" i="61"/>
  <c r="Q122" i="61"/>
  <c r="P122" i="61"/>
  <c r="P123" i="61" s="1"/>
  <c r="M122" i="61"/>
  <c r="L122" i="61"/>
  <c r="L123" i="61" s="1"/>
  <c r="AI111" i="61"/>
  <c r="AI112" i="61" s="1"/>
  <c r="AH111" i="61"/>
  <c r="AH112" i="61" s="1"/>
  <c r="AC111" i="61"/>
  <c r="AC112" i="61" s="1"/>
  <c r="AB111" i="61"/>
  <c r="AB112" i="61" s="1"/>
  <c r="AA111" i="61"/>
  <c r="X111" i="61"/>
  <c r="X112" i="61" s="1"/>
  <c r="W111" i="61"/>
  <c r="V111" i="61"/>
  <c r="U111" i="61"/>
  <c r="U112" i="61" s="1"/>
  <c r="T111" i="61"/>
  <c r="T112" i="61" s="1"/>
  <c r="S111" i="61"/>
  <c r="R111" i="61"/>
  <c r="R112" i="61" s="1"/>
  <c r="Q111" i="61"/>
  <c r="P111" i="61"/>
  <c r="P112" i="61" s="1"/>
  <c r="M111" i="61"/>
  <c r="L111" i="61"/>
  <c r="L112" i="61" s="1"/>
  <c r="I111" i="61"/>
  <c r="I112" i="61" s="1"/>
  <c r="AC100" i="61"/>
  <c r="AC101" i="61" s="1"/>
  <c r="AA100" i="61"/>
  <c r="AA101" i="61" s="1"/>
  <c r="R100" i="61"/>
  <c r="M100" i="61"/>
  <c r="AI89" i="61"/>
  <c r="AI90" i="61" s="1"/>
  <c r="AC89" i="61"/>
  <c r="AB89" i="61"/>
  <c r="AB90" i="61" s="1"/>
  <c r="AA89" i="61"/>
  <c r="AA90" i="61" s="1"/>
  <c r="X89" i="61"/>
  <c r="X90" i="61" s="1"/>
  <c r="W89" i="61"/>
  <c r="W90" i="61" s="1"/>
  <c r="V89" i="61"/>
  <c r="U89" i="61"/>
  <c r="T89" i="61"/>
  <c r="T90" i="61" s="1"/>
  <c r="R89" i="61"/>
  <c r="R90" i="61" s="1"/>
  <c r="Q89" i="61"/>
  <c r="Q90" i="61" s="1"/>
  <c r="P89" i="61"/>
  <c r="P90" i="61" s="1"/>
  <c r="M89" i="61"/>
  <c r="M90" i="61" s="1"/>
  <c r="L89" i="61"/>
  <c r="L90" i="61" s="1"/>
  <c r="I89" i="61"/>
  <c r="AI78" i="61"/>
  <c r="AH78" i="61"/>
  <c r="AG78" i="61"/>
  <c r="AF78" i="61"/>
  <c r="AE78" i="61"/>
  <c r="AD78" i="61"/>
  <c r="AC78" i="61"/>
  <c r="AB78" i="61"/>
  <c r="AA78" i="61"/>
  <c r="Z78" i="61"/>
  <c r="Y78" i="61"/>
  <c r="X78" i="61"/>
  <c r="W78" i="61"/>
  <c r="V78" i="61"/>
  <c r="U78" i="61"/>
  <c r="T78" i="61"/>
  <c r="S78" i="61"/>
  <c r="R78" i="61"/>
  <c r="Q78" i="61"/>
  <c r="P78" i="61"/>
  <c r="O78" i="61"/>
  <c r="N78" i="61"/>
  <c r="M78" i="61"/>
  <c r="L78" i="61"/>
  <c r="K78" i="61"/>
  <c r="J78" i="61"/>
  <c r="I78" i="61"/>
  <c r="H78" i="61"/>
  <c r="AI67" i="61"/>
  <c r="AI68" i="61" s="1"/>
  <c r="AC67" i="61"/>
  <c r="AC68" i="61" s="1"/>
  <c r="AB67" i="61"/>
  <c r="AA67" i="61"/>
  <c r="X67" i="61"/>
  <c r="W67" i="61"/>
  <c r="W68" i="61" s="1"/>
  <c r="V67" i="61"/>
  <c r="V68" i="61" s="1"/>
  <c r="U67" i="61"/>
  <c r="U68" i="61" s="1"/>
  <c r="T67" i="61"/>
  <c r="T68" i="61" s="1"/>
  <c r="R67" i="61"/>
  <c r="R68" i="61" s="1"/>
  <c r="Q67" i="61"/>
  <c r="P67" i="61"/>
  <c r="M67" i="61"/>
  <c r="L67" i="61"/>
  <c r="I67" i="61"/>
  <c r="I68" i="61" s="1"/>
  <c r="AA185" i="61"/>
  <c r="V185" i="61"/>
  <c r="V186" i="61" s="1"/>
  <c r="U185" i="61"/>
  <c r="U186" i="61" s="1"/>
  <c r="U224" i="61" s="1"/>
  <c r="U278" i="61" s="1"/>
  <c r="V70" i="62" s="1"/>
  <c r="AA174" i="61"/>
  <c r="AA175" i="61" s="1"/>
  <c r="V174" i="61"/>
  <c r="V175" i="61" s="1"/>
  <c r="U174" i="61"/>
  <c r="U175" i="61" s="1"/>
  <c r="AI163" i="61"/>
  <c r="AI164" i="61" s="1"/>
  <c r="AH163" i="61"/>
  <c r="AH164" i="61" s="1"/>
  <c r="AC163" i="61"/>
  <c r="AC164" i="61" s="1"/>
  <c r="AB163" i="61"/>
  <c r="AB164" i="61" s="1"/>
  <c r="AA163" i="61"/>
  <c r="AA164" i="61" s="1"/>
  <c r="X163" i="61"/>
  <c r="X164" i="61" s="1"/>
  <c r="W163" i="61"/>
  <c r="W164" i="61" s="1"/>
  <c r="V163" i="61"/>
  <c r="V164" i="61" s="1"/>
  <c r="U163" i="61"/>
  <c r="U164" i="61" s="1"/>
  <c r="T163" i="61"/>
  <c r="T164" i="61" s="1"/>
  <c r="S163" i="61"/>
  <c r="S164" i="61" s="1"/>
  <c r="R163" i="61"/>
  <c r="R164" i="61" s="1"/>
  <c r="Q163" i="61"/>
  <c r="Q164" i="61" s="1"/>
  <c r="P163" i="61"/>
  <c r="P164" i="61" s="1"/>
  <c r="M163" i="61"/>
  <c r="M164" i="61" s="1"/>
  <c r="L163" i="61"/>
  <c r="L164" i="61" s="1"/>
  <c r="I163" i="61"/>
  <c r="I164" i="61" s="1"/>
  <c r="AI152" i="61"/>
  <c r="AI153" i="61" s="1"/>
  <c r="AH152" i="61"/>
  <c r="AH153" i="61" s="1"/>
  <c r="AC152" i="61"/>
  <c r="AC153" i="61" s="1"/>
  <c r="AB152" i="61"/>
  <c r="AB153" i="61" s="1"/>
  <c r="AA152" i="61"/>
  <c r="AA153" i="61" s="1"/>
  <c r="X152" i="61"/>
  <c r="X153" i="61" s="1"/>
  <c r="W152" i="61"/>
  <c r="W153" i="61" s="1"/>
  <c r="V152" i="61"/>
  <c r="V153" i="61" s="1"/>
  <c r="U152" i="61"/>
  <c r="U153" i="61" s="1"/>
  <c r="T152" i="61"/>
  <c r="S152" i="61"/>
  <c r="S153" i="61" s="1"/>
  <c r="R152" i="61"/>
  <c r="R153" i="61" s="1"/>
  <c r="Q152" i="61"/>
  <c r="Q153" i="61" s="1"/>
  <c r="P152" i="61"/>
  <c r="P153" i="61" s="1"/>
  <c r="M152" i="61"/>
  <c r="M153" i="61" s="1"/>
  <c r="L152" i="61"/>
  <c r="L153" i="61" s="1"/>
  <c r="I152" i="61"/>
  <c r="I153" i="61" s="1"/>
  <c r="AA141" i="61"/>
  <c r="AA142" i="61" s="1"/>
  <c r="V141" i="61"/>
  <c r="V142" i="61" s="1"/>
  <c r="U141" i="61"/>
  <c r="U142" i="61" s="1"/>
  <c r="AI130" i="61"/>
  <c r="AI131" i="61" s="1"/>
  <c r="AH130" i="61"/>
  <c r="AH131" i="61" s="1"/>
  <c r="AC130" i="61"/>
  <c r="AC131" i="61" s="1"/>
  <c r="AB130" i="61"/>
  <c r="AB131" i="61" s="1"/>
  <c r="AA130" i="61"/>
  <c r="AA131" i="61" s="1"/>
  <c r="X130" i="61"/>
  <c r="X131" i="61" s="1"/>
  <c r="V130" i="61"/>
  <c r="V131" i="61" s="1"/>
  <c r="U130" i="61"/>
  <c r="U131" i="61" s="1"/>
  <c r="S130" i="61"/>
  <c r="S131" i="61" s="1"/>
  <c r="R130" i="61"/>
  <c r="R131" i="61" s="1"/>
  <c r="Q130" i="61"/>
  <c r="Q131" i="61" s="1"/>
  <c r="P130" i="61"/>
  <c r="P131" i="61" s="1"/>
  <c r="M130" i="61"/>
  <c r="M131" i="61" s="1"/>
  <c r="L130" i="61"/>
  <c r="L131" i="61" s="1"/>
  <c r="AI119" i="61"/>
  <c r="AI120" i="61" s="1"/>
  <c r="AH119" i="61"/>
  <c r="AH120" i="61" s="1"/>
  <c r="AC119" i="61"/>
  <c r="AC120" i="61" s="1"/>
  <c r="AB119" i="61"/>
  <c r="AB120" i="61" s="1"/>
  <c r="AA119" i="61"/>
  <c r="AA120" i="61" s="1"/>
  <c r="X119" i="61"/>
  <c r="X120" i="61" s="1"/>
  <c r="V119" i="61"/>
  <c r="V120" i="61" s="1"/>
  <c r="U119" i="61"/>
  <c r="S119" i="61"/>
  <c r="S120" i="61" s="1"/>
  <c r="R119" i="61"/>
  <c r="R120" i="61" s="1"/>
  <c r="Q119" i="61"/>
  <c r="Q120" i="61" s="1"/>
  <c r="P119" i="61"/>
  <c r="P120" i="61" s="1"/>
  <c r="M119" i="61"/>
  <c r="M120" i="61" s="1"/>
  <c r="L119" i="61"/>
  <c r="L120" i="61" s="1"/>
  <c r="AI108" i="61"/>
  <c r="AI109" i="61" s="1"/>
  <c r="AH108" i="61"/>
  <c r="AH109" i="61" s="1"/>
  <c r="AC108" i="61"/>
  <c r="AC109" i="61" s="1"/>
  <c r="AB108" i="61"/>
  <c r="AB109" i="61" s="1"/>
  <c r="AA108" i="61"/>
  <c r="AA109" i="61" s="1"/>
  <c r="X108" i="61"/>
  <c r="X109" i="61" s="1"/>
  <c r="W108" i="61"/>
  <c r="W109" i="61" s="1"/>
  <c r="V108" i="61"/>
  <c r="V109" i="61" s="1"/>
  <c r="U108" i="61"/>
  <c r="U109" i="61" s="1"/>
  <c r="T108" i="61"/>
  <c r="T109" i="61" s="1"/>
  <c r="S108" i="61"/>
  <c r="S109" i="61" s="1"/>
  <c r="R108" i="61"/>
  <c r="R109" i="61" s="1"/>
  <c r="Q108" i="61"/>
  <c r="Q109" i="61" s="1"/>
  <c r="P108" i="61"/>
  <c r="P109" i="61" s="1"/>
  <c r="M108" i="61"/>
  <c r="M109" i="61" s="1"/>
  <c r="L108" i="61"/>
  <c r="L109" i="61" s="1"/>
  <c r="I108" i="61"/>
  <c r="I109" i="61" s="1"/>
  <c r="AC97" i="61"/>
  <c r="AC98" i="61" s="1"/>
  <c r="AA97" i="61"/>
  <c r="AA98" i="61" s="1"/>
  <c r="R97" i="61"/>
  <c r="R98" i="61" s="1"/>
  <c r="M97" i="61"/>
  <c r="M98" i="61" s="1"/>
  <c r="AI86" i="61"/>
  <c r="AI87" i="61" s="1"/>
  <c r="AC86" i="61"/>
  <c r="AC87" i="61" s="1"/>
  <c r="AB86" i="61"/>
  <c r="AB87" i="61" s="1"/>
  <c r="AA86" i="61"/>
  <c r="AA87" i="61" s="1"/>
  <c r="X86" i="61"/>
  <c r="X87" i="61" s="1"/>
  <c r="W86" i="61"/>
  <c r="W87" i="61" s="1"/>
  <c r="V86" i="61"/>
  <c r="V87" i="61" s="1"/>
  <c r="U86" i="61"/>
  <c r="U87" i="61" s="1"/>
  <c r="T86" i="61"/>
  <c r="T87" i="61" s="1"/>
  <c r="R86" i="61"/>
  <c r="R87" i="61" s="1"/>
  <c r="Q86" i="61"/>
  <c r="Q87" i="61" s="1"/>
  <c r="P86" i="61"/>
  <c r="P87" i="61" s="1"/>
  <c r="M86" i="61"/>
  <c r="M87" i="61" s="1"/>
  <c r="L86" i="61"/>
  <c r="L87" i="61" s="1"/>
  <c r="I86" i="61"/>
  <c r="I87" i="61" s="1"/>
  <c r="AI75" i="61"/>
  <c r="AI76" i="61" s="1"/>
  <c r="AC75" i="61"/>
  <c r="AC76" i="61" s="1"/>
  <c r="AB75" i="61"/>
  <c r="AB76" i="61" s="1"/>
  <c r="AB214" i="61" s="1"/>
  <c r="AB279" i="61" s="1"/>
  <c r="AA75" i="61"/>
  <c r="AA76" i="61" s="1"/>
  <c r="X75" i="61"/>
  <c r="X76" i="61" s="1"/>
  <c r="W75" i="61"/>
  <c r="W76" i="61" s="1"/>
  <c r="V75" i="61"/>
  <c r="V76" i="61" s="1"/>
  <c r="U75" i="61"/>
  <c r="U76" i="61" s="1"/>
  <c r="T75" i="61"/>
  <c r="T76" i="61" s="1"/>
  <c r="R75" i="61"/>
  <c r="R76" i="61" s="1"/>
  <c r="Q75" i="61"/>
  <c r="Q76" i="61" s="1"/>
  <c r="P75" i="61"/>
  <c r="P76" i="61" s="1"/>
  <c r="M75" i="61"/>
  <c r="M76" i="61" s="1"/>
  <c r="L75" i="61"/>
  <c r="L76" i="61" s="1"/>
  <c r="L214" i="61" s="1"/>
  <c r="L279" i="61" s="1"/>
  <c r="I75" i="61"/>
  <c r="I76" i="61" s="1"/>
  <c r="AI64" i="61"/>
  <c r="AI65" i="61" s="1"/>
  <c r="AC64" i="61"/>
  <c r="AC65" i="61" s="1"/>
  <c r="AB64" i="61"/>
  <c r="AB65" i="61" s="1"/>
  <c r="AA64" i="61"/>
  <c r="AA65" i="61" s="1"/>
  <c r="X64" i="61"/>
  <c r="X65" i="61" s="1"/>
  <c r="W64" i="61"/>
  <c r="W65" i="61" s="1"/>
  <c r="W213" i="61" s="1"/>
  <c r="V64" i="61"/>
  <c r="V65" i="61" s="1"/>
  <c r="U64" i="61"/>
  <c r="U65" i="61" s="1"/>
  <c r="T64" i="61"/>
  <c r="T65" i="61" s="1"/>
  <c r="R64" i="61"/>
  <c r="R65" i="61" s="1"/>
  <c r="Q64" i="61"/>
  <c r="Q65" i="61" s="1"/>
  <c r="P64" i="61"/>
  <c r="P65" i="61" s="1"/>
  <c r="M64" i="61"/>
  <c r="M65" i="61" s="1"/>
  <c r="L64" i="61"/>
  <c r="L65" i="61" s="1"/>
  <c r="I64" i="61"/>
  <c r="I65" i="61" s="1"/>
  <c r="AA194" i="61"/>
  <c r="V194" i="61"/>
  <c r="U194" i="61"/>
  <c r="AI193" i="61"/>
  <c r="AH193" i="61"/>
  <c r="AC193" i="61"/>
  <c r="AB193" i="61"/>
  <c r="X193" i="61"/>
  <c r="W193" i="61"/>
  <c r="T193" i="61"/>
  <c r="S193" i="61"/>
  <c r="R193" i="61"/>
  <c r="Q193" i="61"/>
  <c r="P193" i="61"/>
  <c r="M193" i="61"/>
  <c r="L193" i="61"/>
  <c r="I193" i="61"/>
  <c r="AI192" i="61"/>
  <c r="AE192" i="61" s="1"/>
  <c r="AH192" i="61"/>
  <c r="AC192" i="61"/>
  <c r="AD192" i="61" s="1"/>
  <c r="AB192" i="61"/>
  <c r="X192" i="61"/>
  <c r="W192" i="61"/>
  <c r="T192" i="61"/>
  <c r="S192" i="61"/>
  <c r="R192" i="61"/>
  <c r="Q192" i="61"/>
  <c r="P192" i="61"/>
  <c r="M192" i="61"/>
  <c r="L192" i="61"/>
  <c r="I192" i="61"/>
  <c r="K192" i="61" s="1"/>
  <c r="AI191" i="61"/>
  <c r="AE191" i="61" s="1"/>
  <c r="AH191" i="61"/>
  <c r="AC191" i="61"/>
  <c r="AD191" i="61" s="1"/>
  <c r="AB191" i="61"/>
  <c r="X191" i="61"/>
  <c r="W191" i="61"/>
  <c r="T191" i="61"/>
  <c r="S191" i="61"/>
  <c r="R191" i="61"/>
  <c r="Q191" i="61"/>
  <c r="P191" i="61"/>
  <c r="M191" i="61"/>
  <c r="L191" i="61"/>
  <c r="I191" i="61"/>
  <c r="AF191" i="61" s="1"/>
  <c r="AI190" i="61"/>
  <c r="AH190" i="61"/>
  <c r="AC190" i="61"/>
  <c r="AB190" i="61"/>
  <c r="X190" i="61"/>
  <c r="W190" i="61"/>
  <c r="T190" i="61"/>
  <c r="S190" i="61"/>
  <c r="R190" i="61"/>
  <c r="Q190" i="61"/>
  <c r="P190" i="61"/>
  <c r="M190" i="61"/>
  <c r="L190" i="61"/>
  <c r="I190" i="61"/>
  <c r="V189" i="61"/>
  <c r="U189" i="61"/>
  <c r="AI187" i="61"/>
  <c r="AI188" i="61" s="1"/>
  <c r="AH187" i="61"/>
  <c r="AH188" i="61" s="1"/>
  <c r="AC187" i="61"/>
  <c r="AC188" i="61" s="1"/>
  <c r="AB187" i="61"/>
  <c r="AB188" i="61" s="1"/>
  <c r="X187" i="61"/>
  <c r="W187" i="61"/>
  <c r="W188" i="61" s="1"/>
  <c r="T187" i="61"/>
  <c r="T188" i="61" s="1"/>
  <c r="S187" i="61"/>
  <c r="S188" i="61" s="1"/>
  <c r="R187" i="61"/>
  <c r="R188" i="61" s="1"/>
  <c r="Q187" i="61"/>
  <c r="Q188" i="61" s="1"/>
  <c r="P187" i="61"/>
  <c r="P188" i="61" s="1"/>
  <c r="M187" i="61"/>
  <c r="M188" i="61" s="1"/>
  <c r="L187" i="61"/>
  <c r="L188" i="61" s="1"/>
  <c r="I187" i="61"/>
  <c r="H187" i="61" s="1"/>
  <c r="H188" i="61" s="1"/>
  <c r="AI184" i="61"/>
  <c r="AH184" i="61"/>
  <c r="AC184" i="61"/>
  <c r="AD184" i="61" s="1"/>
  <c r="AD185" i="61" s="1"/>
  <c r="AD186" i="61" s="1"/>
  <c r="AB184" i="61"/>
  <c r="X184" i="61"/>
  <c r="W184" i="61"/>
  <c r="T184" i="61"/>
  <c r="S184" i="61"/>
  <c r="S185" i="61" s="1"/>
  <c r="R184" i="61"/>
  <c r="Q184" i="61"/>
  <c r="P184" i="61"/>
  <c r="P185" i="61" s="1"/>
  <c r="P186" i="61" s="1"/>
  <c r="M184" i="61"/>
  <c r="AG184" i="61" s="1"/>
  <c r="L184" i="61"/>
  <c r="L185" i="61" s="1"/>
  <c r="L211" i="61" s="1"/>
  <c r="L268" i="61" s="1"/>
  <c r="I184" i="61"/>
  <c r="AA183" i="61"/>
  <c r="V183" i="61"/>
  <c r="U183" i="61"/>
  <c r="AI182" i="61"/>
  <c r="AH182" i="61"/>
  <c r="AC182" i="61"/>
  <c r="AB182" i="61"/>
  <c r="X182" i="61"/>
  <c r="W182" i="61"/>
  <c r="T182" i="61"/>
  <c r="S182" i="61"/>
  <c r="R182" i="61"/>
  <c r="Q182" i="61"/>
  <c r="P182" i="61"/>
  <c r="M182" i="61"/>
  <c r="L182" i="61"/>
  <c r="I182" i="61"/>
  <c r="H182" i="61" s="1"/>
  <c r="AI181" i="61"/>
  <c r="AE181" i="61" s="1"/>
  <c r="AH181" i="61"/>
  <c r="AC181" i="61"/>
  <c r="AD181" i="61" s="1"/>
  <c r="AB181" i="61"/>
  <c r="X181" i="61"/>
  <c r="W181" i="61"/>
  <c r="T181" i="61"/>
  <c r="S181" i="61"/>
  <c r="R181" i="61"/>
  <c r="Q181" i="61"/>
  <c r="P181" i="61"/>
  <c r="M181" i="61"/>
  <c r="Z181" i="61" s="1"/>
  <c r="L181" i="61"/>
  <c r="I181" i="61"/>
  <c r="AI180" i="61"/>
  <c r="AE180" i="61" s="1"/>
  <c r="AH180" i="61"/>
  <c r="AC180" i="61"/>
  <c r="AD180" i="61" s="1"/>
  <c r="AB180" i="61"/>
  <c r="X180" i="61"/>
  <c r="W180" i="61"/>
  <c r="T180" i="61"/>
  <c r="S180" i="61"/>
  <c r="R180" i="61"/>
  <c r="Q180" i="61"/>
  <c r="P180" i="61"/>
  <c r="M180" i="61"/>
  <c r="Z180" i="61" s="1"/>
  <c r="L180" i="61"/>
  <c r="I180" i="61"/>
  <c r="AI179" i="61"/>
  <c r="AH179" i="61"/>
  <c r="AC179" i="61"/>
  <c r="AB179" i="61"/>
  <c r="X179" i="61"/>
  <c r="W179" i="61"/>
  <c r="T179" i="61"/>
  <c r="S179" i="61"/>
  <c r="R179" i="61"/>
  <c r="Q179" i="61"/>
  <c r="P179" i="61"/>
  <c r="M179" i="61"/>
  <c r="L179" i="61"/>
  <c r="I179" i="61"/>
  <c r="H179" i="61" s="1"/>
  <c r="AA178" i="61"/>
  <c r="V178" i="61"/>
  <c r="U178" i="61"/>
  <c r="AI176" i="61"/>
  <c r="AI177" i="61" s="1"/>
  <c r="AH176" i="61"/>
  <c r="AH177" i="61" s="1"/>
  <c r="AC176" i="61"/>
  <c r="AD176" i="61" s="1"/>
  <c r="AD177" i="61" s="1"/>
  <c r="AB176" i="61"/>
  <c r="AB177" i="61" s="1"/>
  <c r="X176" i="61"/>
  <c r="X177" i="61" s="1"/>
  <c r="W176" i="61"/>
  <c r="T176" i="61"/>
  <c r="T177" i="61" s="1"/>
  <c r="S176" i="61"/>
  <c r="S177" i="61" s="1"/>
  <c r="R176" i="61"/>
  <c r="R177" i="61" s="1"/>
  <c r="Q176" i="61"/>
  <c r="Q177" i="61" s="1"/>
  <c r="P176" i="61"/>
  <c r="P177" i="61" s="1"/>
  <c r="M176" i="61"/>
  <c r="M177" i="61" s="1"/>
  <c r="L176" i="61"/>
  <c r="L177" i="61" s="1"/>
  <c r="I176" i="61"/>
  <c r="I177" i="61" s="1"/>
  <c r="AI173" i="61"/>
  <c r="AE173" i="61" s="1"/>
  <c r="AE174" i="61" s="1"/>
  <c r="AE175" i="61" s="1"/>
  <c r="AH173" i="61"/>
  <c r="AH174" i="61" s="1"/>
  <c r="AH175" i="61" s="1"/>
  <c r="AD173" i="61"/>
  <c r="AD174" i="61" s="1"/>
  <c r="AD175" i="61" s="1"/>
  <c r="AB173" i="61"/>
  <c r="AB174" i="61" s="1"/>
  <c r="X173" i="61"/>
  <c r="X174" i="61" s="1"/>
  <c r="X175" i="61" s="1"/>
  <c r="W173" i="61"/>
  <c r="W174" i="61" s="1"/>
  <c r="W175" i="61" s="1"/>
  <c r="T173" i="61"/>
  <c r="T174" i="61" s="1"/>
  <c r="T175" i="61" s="1"/>
  <c r="S173" i="61"/>
  <c r="S174" i="61" s="1"/>
  <c r="S175" i="61" s="1"/>
  <c r="R173" i="61"/>
  <c r="R174" i="61" s="1"/>
  <c r="R175" i="61" s="1"/>
  <c r="Q173" i="61"/>
  <c r="Q174" i="61" s="1"/>
  <c r="Q175" i="61" s="1"/>
  <c r="P173" i="61"/>
  <c r="P174" i="61" s="1"/>
  <c r="P175" i="61" s="1"/>
  <c r="M173" i="61"/>
  <c r="Z173" i="61" s="1"/>
  <c r="Z174" i="61" s="1"/>
  <c r="Z175" i="61" s="1"/>
  <c r="L173" i="61"/>
  <c r="I173" i="61"/>
  <c r="J173" i="61" s="1"/>
  <c r="J174" i="61" s="1"/>
  <c r="J175" i="61" s="1"/>
  <c r="AI172" i="61"/>
  <c r="AH172" i="61"/>
  <c r="AC172" i="61"/>
  <c r="AB172" i="61"/>
  <c r="AA172" i="61"/>
  <c r="X172" i="61"/>
  <c r="W172" i="61"/>
  <c r="V172" i="61"/>
  <c r="U172" i="61"/>
  <c r="T172" i="61"/>
  <c r="S172" i="61"/>
  <c r="R172" i="61"/>
  <c r="Q172" i="61"/>
  <c r="P172" i="61"/>
  <c r="M172" i="61"/>
  <c r="L172" i="61"/>
  <c r="I172" i="61"/>
  <c r="AG171" i="61"/>
  <c r="AF171" i="61"/>
  <c r="AE171" i="61"/>
  <c r="AD171" i="61"/>
  <c r="Z171" i="61"/>
  <c r="Y171" i="61"/>
  <c r="O171" i="61"/>
  <c r="N171" i="61"/>
  <c r="K171" i="61"/>
  <c r="K258" i="61" s="1"/>
  <c r="J171" i="61"/>
  <c r="H171" i="61"/>
  <c r="AG170" i="61"/>
  <c r="AF170" i="61"/>
  <c r="AE170" i="61"/>
  <c r="AD170" i="61"/>
  <c r="Z170" i="61"/>
  <c r="Y170" i="61"/>
  <c r="O170" i="61"/>
  <c r="N170" i="61"/>
  <c r="K170" i="61"/>
  <c r="J170" i="61"/>
  <c r="H170" i="61"/>
  <c r="AG169" i="61"/>
  <c r="AF169" i="61"/>
  <c r="AE169" i="61"/>
  <c r="AD169" i="61"/>
  <c r="Z169" i="61"/>
  <c r="Y169" i="61"/>
  <c r="O169" i="61"/>
  <c r="N169" i="61"/>
  <c r="K169" i="61"/>
  <c r="J169" i="61"/>
  <c r="H169" i="61"/>
  <c r="AG168" i="61"/>
  <c r="AF168" i="61"/>
  <c r="AE168" i="61"/>
  <c r="AD168" i="61"/>
  <c r="Z168" i="61"/>
  <c r="Y168" i="61"/>
  <c r="O168" i="61"/>
  <c r="N168" i="61"/>
  <c r="K168" i="61"/>
  <c r="J168" i="61"/>
  <c r="H168" i="61"/>
  <c r="AA167" i="61"/>
  <c r="W167" i="61"/>
  <c r="V167" i="61"/>
  <c r="U167" i="61"/>
  <c r="Q167" i="61"/>
  <c r="M167" i="61"/>
  <c r="AG165" i="61"/>
  <c r="AG166" i="61" s="1"/>
  <c r="AF165" i="61"/>
  <c r="AF166" i="61" s="1"/>
  <c r="AE165" i="61"/>
  <c r="AE166" i="61" s="1"/>
  <c r="AD165" i="61"/>
  <c r="AD166" i="61" s="1"/>
  <c r="Z165" i="61"/>
  <c r="Z166" i="61" s="1"/>
  <c r="Y165" i="61"/>
  <c r="Y166" i="61" s="1"/>
  <c r="O165" i="61"/>
  <c r="O166" i="61" s="1"/>
  <c r="N165" i="61"/>
  <c r="N166" i="61" s="1"/>
  <c r="K165" i="61"/>
  <c r="K166" i="61" s="1"/>
  <c r="J165" i="61"/>
  <c r="J166" i="61" s="1"/>
  <c r="H165" i="61"/>
  <c r="AG162" i="61"/>
  <c r="AF162" i="61"/>
  <c r="AF163" i="61" s="1"/>
  <c r="AF164" i="61" s="1"/>
  <c r="AE162" i="61"/>
  <c r="AE163" i="61" s="1"/>
  <c r="AE164" i="61" s="1"/>
  <c r="AD162" i="61"/>
  <c r="AD163" i="61" s="1"/>
  <c r="AD164" i="61" s="1"/>
  <c r="Z162" i="61"/>
  <c r="Z163" i="61" s="1"/>
  <c r="Z164" i="61" s="1"/>
  <c r="Y162" i="61"/>
  <c r="O162" i="61"/>
  <c r="O163" i="61" s="1"/>
  <c r="O164" i="61" s="1"/>
  <c r="N162" i="61"/>
  <c r="N163" i="61" s="1"/>
  <c r="N164" i="61" s="1"/>
  <c r="K162" i="61"/>
  <c r="K163" i="61" s="1"/>
  <c r="J162" i="61"/>
  <c r="J163" i="61" s="1"/>
  <c r="J164" i="61" s="1"/>
  <c r="H162" i="61"/>
  <c r="H163" i="61" s="1"/>
  <c r="H164" i="61" s="1"/>
  <c r="AI161" i="61"/>
  <c r="AH161" i="61"/>
  <c r="AC161" i="61"/>
  <c r="AB161" i="61"/>
  <c r="AA161" i="61"/>
  <c r="X161" i="61"/>
  <c r="W161" i="61"/>
  <c r="V161" i="61"/>
  <c r="U161" i="61"/>
  <c r="T161" i="61"/>
  <c r="S161" i="61"/>
  <c r="R161" i="61"/>
  <c r="Q161" i="61"/>
  <c r="P161" i="61"/>
  <c r="M161" i="61"/>
  <c r="L161" i="61"/>
  <c r="I161" i="61"/>
  <c r="AG160" i="61"/>
  <c r="AF160" i="61"/>
  <c r="AE160" i="61"/>
  <c r="AD160" i="61"/>
  <c r="Z160" i="61"/>
  <c r="Y160" i="61"/>
  <c r="O160" i="61"/>
  <c r="N160" i="61"/>
  <c r="K160" i="61"/>
  <c r="J160" i="61"/>
  <c r="H160" i="61"/>
  <c r="AG159" i="61"/>
  <c r="AF159" i="61"/>
  <c r="AE159" i="61"/>
  <c r="AD159" i="61"/>
  <c r="Z159" i="61"/>
  <c r="Y159" i="61"/>
  <c r="O159" i="61"/>
  <c r="N159" i="61"/>
  <c r="K159" i="61"/>
  <c r="J159" i="61"/>
  <c r="H159" i="61"/>
  <c r="AG158" i="61"/>
  <c r="AF158" i="61"/>
  <c r="AE158" i="61"/>
  <c r="AD158" i="61"/>
  <c r="Z158" i="61"/>
  <c r="Y158" i="61"/>
  <c r="O158" i="61"/>
  <c r="N158" i="61"/>
  <c r="K158" i="61"/>
  <c r="J158" i="61"/>
  <c r="H158" i="61"/>
  <c r="AG157" i="61"/>
  <c r="AF157" i="61"/>
  <c r="AE157" i="61"/>
  <c r="AD157" i="61"/>
  <c r="Z157" i="61"/>
  <c r="Y157" i="61"/>
  <c r="O157" i="61"/>
  <c r="N157" i="61"/>
  <c r="N240" i="61" s="1"/>
  <c r="N298" i="61" s="1"/>
  <c r="K157" i="61"/>
  <c r="J157" i="61"/>
  <c r="H157" i="61"/>
  <c r="AC156" i="61"/>
  <c r="W156" i="61"/>
  <c r="V156" i="61"/>
  <c r="M156" i="61"/>
  <c r="AG154" i="61"/>
  <c r="AG155" i="61" s="1"/>
  <c r="AF154" i="61"/>
  <c r="AF155" i="61" s="1"/>
  <c r="AE154" i="61"/>
  <c r="AD154" i="61"/>
  <c r="AD155" i="61" s="1"/>
  <c r="Z154" i="61"/>
  <c r="Z155" i="61" s="1"/>
  <c r="Y154" i="61"/>
  <c r="Y155" i="61" s="1"/>
  <c r="O154" i="61"/>
  <c r="O155" i="61" s="1"/>
  <c r="N154" i="61"/>
  <c r="N155" i="61" s="1"/>
  <c r="K154" i="61"/>
  <c r="K155" i="61" s="1"/>
  <c r="J154" i="61"/>
  <c r="J155" i="61" s="1"/>
  <c r="H154" i="61"/>
  <c r="H155" i="61" s="1"/>
  <c r="AG151" i="61"/>
  <c r="AF151" i="61"/>
  <c r="AF152" i="61" s="1"/>
  <c r="AF153" i="61" s="1"/>
  <c r="AE151" i="61"/>
  <c r="AE152" i="61" s="1"/>
  <c r="AE153" i="61" s="1"/>
  <c r="AD151" i="61"/>
  <c r="AD152" i="61" s="1"/>
  <c r="AD153" i="61" s="1"/>
  <c r="Z151" i="61"/>
  <c r="Y151" i="61"/>
  <c r="O151" i="61"/>
  <c r="O152" i="61" s="1"/>
  <c r="O153" i="61" s="1"/>
  <c r="N151" i="61"/>
  <c r="K151" i="61"/>
  <c r="J151" i="61"/>
  <c r="H151" i="61"/>
  <c r="H152" i="61" s="1"/>
  <c r="H153" i="61" s="1"/>
  <c r="AA150" i="61"/>
  <c r="V150" i="61"/>
  <c r="U150" i="61"/>
  <c r="AI149" i="61"/>
  <c r="AH149" i="61"/>
  <c r="AC149" i="61"/>
  <c r="AB149" i="61"/>
  <c r="X149" i="61"/>
  <c r="W149" i="61"/>
  <c r="T149" i="61"/>
  <c r="S149" i="61"/>
  <c r="R149" i="61"/>
  <c r="Q149" i="61"/>
  <c r="P149" i="61"/>
  <c r="M149" i="61"/>
  <c r="L149" i="61"/>
  <c r="AI148" i="61"/>
  <c r="AE148" i="61" s="1"/>
  <c r="AH148" i="61"/>
  <c r="AC148" i="61"/>
  <c r="AD148" i="61" s="1"/>
  <c r="AB148" i="61"/>
  <c r="X148" i="61"/>
  <c r="W148" i="61"/>
  <c r="T148" i="61"/>
  <c r="S148" i="61"/>
  <c r="R148" i="61"/>
  <c r="Q148" i="61"/>
  <c r="P148" i="61"/>
  <c r="M148" i="61"/>
  <c r="L148" i="61"/>
  <c r="AI147" i="61"/>
  <c r="AE147" i="61" s="1"/>
  <c r="AH147" i="61"/>
  <c r="AC147" i="61"/>
  <c r="AD147" i="61" s="1"/>
  <c r="AB147" i="61"/>
  <c r="X147" i="61"/>
  <c r="W147" i="61"/>
  <c r="T147" i="61"/>
  <c r="S147" i="61"/>
  <c r="R147" i="61"/>
  <c r="Q147" i="61"/>
  <c r="P147" i="61"/>
  <c r="M147" i="61"/>
  <c r="Z147" i="61" s="1"/>
  <c r="L147" i="61"/>
  <c r="AI146" i="61"/>
  <c r="AH146" i="61"/>
  <c r="AC146" i="61"/>
  <c r="AB146" i="61"/>
  <c r="X146" i="61"/>
  <c r="W146" i="61"/>
  <c r="T146" i="61"/>
  <c r="S146" i="61"/>
  <c r="R146" i="61"/>
  <c r="Q146" i="61"/>
  <c r="P146" i="61"/>
  <c r="M146" i="61"/>
  <c r="L146" i="61"/>
  <c r="AI143" i="61"/>
  <c r="AI144" i="61" s="1"/>
  <c r="AH143" i="61"/>
  <c r="AH144" i="61" s="1"/>
  <c r="AC143" i="61"/>
  <c r="AC144" i="61" s="1"/>
  <c r="AB143" i="61"/>
  <c r="AB144" i="61" s="1"/>
  <c r="X143" i="61"/>
  <c r="X144" i="61" s="1"/>
  <c r="W143" i="61"/>
  <c r="W144" i="61" s="1"/>
  <c r="T143" i="61"/>
  <c r="T144" i="61" s="1"/>
  <c r="S143" i="61"/>
  <c r="S144" i="61" s="1"/>
  <c r="R143" i="61"/>
  <c r="R144" i="61" s="1"/>
  <c r="Q143" i="61"/>
  <c r="Q144" i="61" s="1"/>
  <c r="P143" i="61"/>
  <c r="P144" i="61" s="1"/>
  <c r="M143" i="61"/>
  <c r="M144" i="61" s="1"/>
  <c r="L143" i="61"/>
  <c r="L144" i="61" s="1"/>
  <c r="K143" i="61"/>
  <c r="AI140" i="61"/>
  <c r="AI141" i="61" s="1"/>
  <c r="AI142" i="61" s="1"/>
  <c r="AH140" i="61"/>
  <c r="AC140" i="61"/>
  <c r="AC141" i="61" s="1"/>
  <c r="AC142" i="61" s="1"/>
  <c r="AB140" i="61"/>
  <c r="X140" i="61"/>
  <c r="W140" i="61"/>
  <c r="T140" i="61"/>
  <c r="S140" i="61"/>
  <c r="R140" i="61"/>
  <c r="Q140" i="61"/>
  <c r="P140" i="61"/>
  <c r="P141" i="61" s="1"/>
  <c r="P142" i="61" s="1"/>
  <c r="M140" i="61"/>
  <c r="M141" i="61" s="1"/>
  <c r="M142" i="61" s="1"/>
  <c r="L140" i="61"/>
  <c r="I140" i="61"/>
  <c r="I141" i="61" s="1"/>
  <c r="I142" i="61" s="1"/>
  <c r="AI139" i="61"/>
  <c r="AH139" i="61"/>
  <c r="AC139" i="61"/>
  <c r="AB139" i="61"/>
  <c r="AA139" i="61"/>
  <c r="X139" i="61"/>
  <c r="V139" i="61"/>
  <c r="U139" i="61"/>
  <c r="S139" i="61"/>
  <c r="R139" i="61"/>
  <c r="Q139" i="61"/>
  <c r="P139" i="61"/>
  <c r="M139" i="61"/>
  <c r="L139" i="61"/>
  <c r="AG138" i="61"/>
  <c r="AE138" i="61"/>
  <c r="AD138" i="61"/>
  <c r="Z138" i="61"/>
  <c r="Y138" i="61"/>
  <c r="W138" i="61"/>
  <c r="T138" i="61"/>
  <c r="O138" i="61"/>
  <c r="N138" i="61"/>
  <c r="I138" i="61"/>
  <c r="AG137" i="61"/>
  <c r="AE137" i="61"/>
  <c r="AD137" i="61"/>
  <c r="Z137" i="61"/>
  <c r="Y137" i="61"/>
  <c r="W137" i="61"/>
  <c r="T137" i="61"/>
  <c r="O137" i="61"/>
  <c r="N137" i="61"/>
  <c r="I137" i="61"/>
  <c r="H137" i="61" s="1"/>
  <c r="AG136" i="61"/>
  <c r="AE136" i="61"/>
  <c r="AD136" i="61"/>
  <c r="Z136" i="61"/>
  <c r="Y136" i="61"/>
  <c r="W136" i="61"/>
  <c r="T136" i="61"/>
  <c r="O136" i="61"/>
  <c r="N136" i="61"/>
  <c r="I136" i="61"/>
  <c r="AF136" i="61" s="1"/>
  <c r="AG135" i="61"/>
  <c r="AE135" i="61"/>
  <c r="AD135" i="61"/>
  <c r="Z135" i="61"/>
  <c r="Y135" i="61"/>
  <c r="W135" i="61"/>
  <c r="T135" i="61"/>
  <c r="O135" i="61"/>
  <c r="N135" i="61"/>
  <c r="I135" i="61"/>
  <c r="AI134" i="61"/>
  <c r="AC134" i="61"/>
  <c r="AB134" i="61"/>
  <c r="AA134" i="61"/>
  <c r="U134" i="61"/>
  <c r="S134" i="61"/>
  <c r="Q134" i="61"/>
  <c r="P134" i="61"/>
  <c r="AG132" i="61"/>
  <c r="AG133" i="61" s="1"/>
  <c r="AE132" i="61"/>
  <c r="AD132" i="61"/>
  <c r="Z132" i="61"/>
  <c r="Z133" i="61" s="1"/>
  <c r="Y132" i="61"/>
  <c r="W132" i="61"/>
  <c r="T132" i="61"/>
  <c r="T133" i="61" s="1"/>
  <c r="O132" i="61"/>
  <c r="N132" i="61"/>
  <c r="I132" i="61"/>
  <c r="AG129" i="61"/>
  <c r="AG130" i="61" s="1"/>
  <c r="AG131" i="61" s="1"/>
  <c r="AE129" i="61"/>
  <c r="AE130" i="61" s="1"/>
  <c r="AE131" i="61" s="1"/>
  <c r="AD129" i="61"/>
  <c r="AD130" i="61" s="1"/>
  <c r="AD131" i="61" s="1"/>
  <c r="Z129" i="61"/>
  <c r="Z130" i="61" s="1"/>
  <c r="Z131" i="61" s="1"/>
  <c r="Y129" i="61"/>
  <c r="Y130" i="61" s="1"/>
  <c r="Y131" i="61" s="1"/>
  <c r="W129" i="61"/>
  <c r="T129" i="61"/>
  <c r="O129" i="61"/>
  <c r="N129" i="61"/>
  <c r="N130" i="61" s="1"/>
  <c r="N131" i="61" s="1"/>
  <c r="I129" i="61"/>
  <c r="H129" i="61" s="1"/>
  <c r="H130" i="61" s="1"/>
  <c r="H131" i="61" s="1"/>
  <c r="AI128" i="61"/>
  <c r="AH128" i="61"/>
  <c r="AC128" i="61"/>
  <c r="AB128" i="61"/>
  <c r="AA128" i="61"/>
  <c r="X128" i="61"/>
  <c r="V128" i="61"/>
  <c r="U128" i="61"/>
  <c r="S128" i="61"/>
  <c r="R128" i="61"/>
  <c r="Q128" i="61"/>
  <c r="P128" i="61"/>
  <c r="M128" i="61"/>
  <c r="L128" i="61"/>
  <c r="AG127" i="61"/>
  <c r="AE127" i="61"/>
  <c r="AD127" i="61"/>
  <c r="Z127" i="61"/>
  <c r="Y127" i="61"/>
  <c r="W127" i="61"/>
  <c r="T127" i="61"/>
  <c r="O127" i="61"/>
  <c r="N127" i="61"/>
  <c r="I127" i="61"/>
  <c r="AG126" i="61"/>
  <c r="AE126" i="61"/>
  <c r="AD126" i="61"/>
  <c r="Z126" i="61"/>
  <c r="Y126" i="61"/>
  <c r="W126" i="61"/>
  <c r="T126" i="61"/>
  <c r="O126" i="61"/>
  <c r="N126" i="61"/>
  <c r="I126" i="61"/>
  <c r="K126" i="61" s="1"/>
  <c r="AG125" i="61"/>
  <c r="AE125" i="61"/>
  <c r="AD125" i="61"/>
  <c r="Z125" i="61"/>
  <c r="Y125" i="61"/>
  <c r="W125" i="61"/>
  <c r="T125" i="61"/>
  <c r="O125" i="61"/>
  <c r="N125" i="61"/>
  <c r="I125" i="61"/>
  <c r="H125" i="61" s="1"/>
  <c r="AG124" i="61"/>
  <c r="AE124" i="61"/>
  <c r="AD124" i="61"/>
  <c r="Z124" i="61"/>
  <c r="Y124" i="61"/>
  <c r="W124" i="61"/>
  <c r="T124" i="61"/>
  <c r="O124" i="61"/>
  <c r="N124" i="61"/>
  <c r="I124" i="61"/>
  <c r="AI123" i="61"/>
  <c r="AH123" i="61"/>
  <c r="AC123" i="61"/>
  <c r="AA123" i="61"/>
  <c r="S123" i="61"/>
  <c r="R123" i="61"/>
  <c r="Q123" i="61"/>
  <c r="M123" i="61"/>
  <c r="AG121" i="61"/>
  <c r="AG122" i="61" s="1"/>
  <c r="AE121" i="61"/>
  <c r="AE122" i="61" s="1"/>
  <c r="AD121" i="61"/>
  <c r="AD122" i="61" s="1"/>
  <c r="Z121" i="61"/>
  <c r="Z122" i="61" s="1"/>
  <c r="Y121" i="61"/>
  <c r="Y122" i="61" s="1"/>
  <c r="W121" i="61"/>
  <c r="W122" i="61" s="1"/>
  <c r="T121" i="61"/>
  <c r="T122" i="61" s="1"/>
  <c r="O121" i="61"/>
  <c r="O122" i="61" s="1"/>
  <c r="N121" i="61"/>
  <c r="N122" i="61" s="1"/>
  <c r="I121" i="61"/>
  <c r="AF121" i="61" s="1"/>
  <c r="AF122" i="61" s="1"/>
  <c r="AG118" i="61"/>
  <c r="AE118" i="61"/>
  <c r="AD118" i="61"/>
  <c r="Y118" i="61"/>
  <c r="W118" i="61"/>
  <c r="T118" i="61"/>
  <c r="O118" i="61"/>
  <c r="N118" i="61"/>
  <c r="I118" i="61"/>
  <c r="AI117" i="61"/>
  <c r="AH117" i="61"/>
  <c r="AC117" i="61"/>
  <c r="AB117" i="61"/>
  <c r="AA117" i="61"/>
  <c r="X117" i="61"/>
  <c r="W117" i="61"/>
  <c r="V117" i="61"/>
  <c r="U117" i="61"/>
  <c r="T117" i="61"/>
  <c r="S117" i="61"/>
  <c r="R117" i="61"/>
  <c r="Q117" i="61"/>
  <c r="P117" i="61"/>
  <c r="L117" i="61"/>
  <c r="I117" i="61"/>
  <c r="AG116" i="61"/>
  <c r="AF116" i="61"/>
  <c r="AE116" i="61"/>
  <c r="AD116" i="61"/>
  <c r="Z116" i="61"/>
  <c r="Y116" i="61"/>
  <c r="O116" i="61"/>
  <c r="N116" i="61"/>
  <c r="K116" i="61"/>
  <c r="J116" i="61"/>
  <c r="H116" i="61"/>
  <c r="AG115" i="61"/>
  <c r="AF115" i="61"/>
  <c r="AE115" i="61"/>
  <c r="AD115" i="61"/>
  <c r="Z115" i="61"/>
  <c r="Y115" i="61"/>
  <c r="O115" i="61"/>
  <c r="N115" i="61"/>
  <c r="K115" i="61"/>
  <c r="J115" i="61"/>
  <c r="H115" i="61"/>
  <c r="AG114" i="61"/>
  <c r="AF114" i="61"/>
  <c r="AE114" i="61"/>
  <c r="AD114" i="61"/>
  <c r="Z114" i="61"/>
  <c r="Y114" i="61"/>
  <c r="O114" i="61"/>
  <c r="N114" i="61"/>
  <c r="K114" i="61"/>
  <c r="J114" i="61"/>
  <c r="H114" i="61"/>
  <c r="AG113" i="61"/>
  <c r="AF113" i="61"/>
  <c r="AE113" i="61"/>
  <c r="AD113" i="61"/>
  <c r="Z113" i="61"/>
  <c r="Y113" i="61"/>
  <c r="O113" i="61"/>
  <c r="N113" i="61"/>
  <c r="K113" i="61"/>
  <c r="J113" i="61"/>
  <c r="H113" i="61"/>
  <c r="AA112" i="61"/>
  <c r="W112" i="61"/>
  <c r="V112" i="61"/>
  <c r="S112" i="61"/>
  <c r="Q112" i="61"/>
  <c r="M112" i="61"/>
  <c r="AG110" i="61"/>
  <c r="AF110" i="61"/>
  <c r="AF111" i="61" s="1"/>
  <c r="AE110" i="61"/>
  <c r="AD110" i="61"/>
  <c r="Z110" i="61"/>
  <c r="Y110" i="61"/>
  <c r="O110" i="61"/>
  <c r="N110" i="61"/>
  <c r="K110" i="61"/>
  <c r="J110" i="61"/>
  <c r="H110" i="61"/>
  <c r="AG107" i="61"/>
  <c r="AF107" i="61"/>
  <c r="AE107" i="61"/>
  <c r="AD107" i="61"/>
  <c r="Z107" i="61"/>
  <c r="Y107" i="61"/>
  <c r="O107" i="61"/>
  <c r="N107" i="61"/>
  <c r="K107" i="61"/>
  <c r="J107" i="61"/>
  <c r="H107" i="61"/>
  <c r="AC106" i="61"/>
  <c r="AA106" i="61"/>
  <c r="R106" i="61"/>
  <c r="M106" i="61"/>
  <c r="AI105" i="61"/>
  <c r="AH105" i="61"/>
  <c r="AG105" i="61"/>
  <c r="AD105" i="61"/>
  <c r="AB105" i="61"/>
  <c r="Z105" i="61"/>
  <c r="Y105" i="61"/>
  <c r="X105" i="61"/>
  <c r="W105" i="61"/>
  <c r="V105" i="61"/>
  <c r="U105" i="61"/>
  <c r="T105" i="61"/>
  <c r="S105" i="61"/>
  <c r="Q105" i="61"/>
  <c r="P105" i="61"/>
  <c r="O105" i="61"/>
  <c r="N105" i="61"/>
  <c r="L105" i="61"/>
  <c r="I105" i="61"/>
  <c r="AI104" i="61"/>
  <c r="AE104" i="61" s="1"/>
  <c r="AH104" i="61"/>
  <c r="AG104" i="61"/>
  <c r="AD104" i="61"/>
  <c r="AB104" i="61"/>
  <c r="Z104" i="61"/>
  <c r="Y104" i="61"/>
  <c r="X104" i="61"/>
  <c r="W104" i="61"/>
  <c r="V104" i="61"/>
  <c r="U104" i="61"/>
  <c r="T104" i="61"/>
  <c r="S104" i="61"/>
  <c r="Q104" i="61"/>
  <c r="P104" i="61"/>
  <c r="O104" i="61"/>
  <c r="N104" i="61"/>
  <c r="L104" i="61"/>
  <c r="I104" i="61"/>
  <c r="H104" i="61" s="1"/>
  <c r="AI103" i="61"/>
  <c r="AE103" i="61" s="1"/>
  <c r="AH103" i="61"/>
  <c r="AG103" i="61"/>
  <c r="AD103" i="61"/>
  <c r="AB103" i="61"/>
  <c r="Z103" i="61"/>
  <c r="Y103" i="61"/>
  <c r="X103" i="61"/>
  <c r="W103" i="61"/>
  <c r="V103" i="61"/>
  <c r="U103" i="61"/>
  <c r="T103" i="61"/>
  <c r="S103" i="61"/>
  <c r="Q103" i="61"/>
  <c r="P103" i="61"/>
  <c r="O103" i="61"/>
  <c r="N103" i="61"/>
  <c r="L103" i="61"/>
  <c r="I103" i="61"/>
  <c r="AF103" i="61" s="1"/>
  <c r="AI102" i="61"/>
  <c r="AH102" i="61"/>
  <c r="AG102" i="61"/>
  <c r="AD102" i="61"/>
  <c r="AB102" i="61"/>
  <c r="Z102" i="61"/>
  <c r="Y102" i="61"/>
  <c r="X102" i="61"/>
  <c r="W102" i="61"/>
  <c r="V102" i="61"/>
  <c r="U102" i="61"/>
  <c r="T102" i="61"/>
  <c r="S102" i="61"/>
  <c r="Q102" i="61"/>
  <c r="P102" i="61"/>
  <c r="O102" i="61"/>
  <c r="N102" i="61"/>
  <c r="L102" i="61"/>
  <c r="I102" i="61"/>
  <c r="R101" i="61"/>
  <c r="M101" i="61"/>
  <c r="AI99" i="61"/>
  <c r="AI100" i="61" s="1"/>
  <c r="AH99" i="61"/>
  <c r="AH100" i="61" s="1"/>
  <c r="AG99" i="61"/>
  <c r="AG100" i="61" s="1"/>
  <c r="AD99" i="61"/>
  <c r="AD100" i="61" s="1"/>
  <c r="AB99" i="61"/>
  <c r="AB100" i="61" s="1"/>
  <c r="Z99" i="61"/>
  <c r="Z100" i="61" s="1"/>
  <c r="Y99" i="61"/>
  <c r="Y100" i="61" s="1"/>
  <c r="X99" i="61"/>
  <c r="X100" i="61" s="1"/>
  <c r="W99" i="61"/>
  <c r="W100" i="61" s="1"/>
  <c r="V99" i="61"/>
  <c r="V100" i="61" s="1"/>
  <c r="U99" i="61"/>
  <c r="U100" i="61" s="1"/>
  <c r="T99" i="61"/>
  <c r="T100" i="61" s="1"/>
  <c r="S99" i="61"/>
  <c r="S100" i="61" s="1"/>
  <c r="Q99" i="61"/>
  <c r="Q100" i="61" s="1"/>
  <c r="P99" i="61"/>
  <c r="P100" i="61" s="1"/>
  <c r="O99" i="61"/>
  <c r="O100" i="61" s="1"/>
  <c r="N99" i="61"/>
  <c r="N100" i="61" s="1"/>
  <c r="L99" i="61"/>
  <c r="L100" i="61" s="1"/>
  <c r="I99" i="61"/>
  <c r="H99" i="61" s="1"/>
  <c r="H100" i="61" s="1"/>
  <c r="AI96" i="61"/>
  <c r="AH96" i="61"/>
  <c r="AG96" i="61"/>
  <c r="AD96" i="61"/>
  <c r="AB96" i="61"/>
  <c r="AB97" i="61" s="1"/>
  <c r="Z96" i="61"/>
  <c r="Y96" i="61"/>
  <c r="X96" i="61"/>
  <c r="W96" i="61"/>
  <c r="V96" i="61"/>
  <c r="U96" i="61"/>
  <c r="T96" i="61"/>
  <c r="S96" i="61"/>
  <c r="S97" i="61" s="1"/>
  <c r="Q96" i="61"/>
  <c r="P96" i="61"/>
  <c r="O96" i="61"/>
  <c r="N96" i="61"/>
  <c r="L96" i="61"/>
  <c r="I96" i="61"/>
  <c r="H96" i="61" s="1"/>
  <c r="AI95" i="61"/>
  <c r="AC95" i="61"/>
  <c r="AB95" i="61"/>
  <c r="AA95" i="61"/>
  <c r="X95" i="61"/>
  <c r="W95" i="61"/>
  <c r="V95" i="61"/>
  <c r="U95" i="61"/>
  <c r="T95" i="61"/>
  <c r="R95" i="61"/>
  <c r="Q95" i="61"/>
  <c r="P95" i="61"/>
  <c r="M95" i="61"/>
  <c r="L95" i="61"/>
  <c r="I95" i="61"/>
  <c r="AH94" i="61"/>
  <c r="AG94" i="61"/>
  <c r="AF94" i="61"/>
  <c r="AE94" i="61"/>
  <c r="AD94" i="61"/>
  <c r="Z94" i="61"/>
  <c r="Y94" i="61"/>
  <c r="S94" i="61"/>
  <c r="O94" i="61"/>
  <c r="N94" i="61"/>
  <c r="K94" i="61"/>
  <c r="J94" i="61"/>
  <c r="H94" i="61"/>
  <c r="H251" i="61" s="1"/>
  <c r="AH93" i="61"/>
  <c r="AG93" i="61"/>
  <c r="AF93" i="61"/>
  <c r="AE93" i="61"/>
  <c r="AD93" i="61"/>
  <c r="Z93" i="61"/>
  <c r="Y93" i="61"/>
  <c r="S93" i="61"/>
  <c r="O93" i="61"/>
  <c r="N93" i="61"/>
  <c r="K93" i="61"/>
  <c r="J93" i="61"/>
  <c r="H93" i="61"/>
  <c r="AH92" i="61"/>
  <c r="AG92" i="61"/>
  <c r="AF92" i="61"/>
  <c r="AE92" i="61"/>
  <c r="AD92" i="61"/>
  <c r="Z92" i="61"/>
  <c r="Y92" i="61"/>
  <c r="S92" i="61"/>
  <c r="O92" i="61"/>
  <c r="N92" i="61"/>
  <c r="K92" i="61"/>
  <c r="J92" i="61"/>
  <c r="H92" i="61"/>
  <c r="AH91" i="61"/>
  <c r="AG91" i="61"/>
  <c r="AF91" i="61"/>
  <c r="AE91" i="61"/>
  <c r="AD91" i="61"/>
  <c r="Z91" i="61"/>
  <c r="Y91" i="61"/>
  <c r="S91" i="61"/>
  <c r="O91" i="61"/>
  <c r="N91" i="61"/>
  <c r="K91" i="61"/>
  <c r="J91" i="61"/>
  <c r="H91" i="61"/>
  <c r="AC90" i="61"/>
  <c r="V90" i="61"/>
  <c r="U90" i="61"/>
  <c r="I90" i="61"/>
  <c r="AH88" i="61"/>
  <c r="AH89" i="61" s="1"/>
  <c r="AG88" i="61"/>
  <c r="AG89" i="61" s="1"/>
  <c r="AF88" i="61"/>
  <c r="AF89" i="61" s="1"/>
  <c r="AE88" i="61"/>
  <c r="AD88" i="61"/>
  <c r="AD89" i="61" s="1"/>
  <c r="Z88" i="61"/>
  <c r="Z89" i="61" s="1"/>
  <c r="Y88" i="61"/>
  <c r="Y89" i="61" s="1"/>
  <c r="S88" i="61"/>
  <c r="S89" i="61" s="1"/>
  <c r="O88" i="61"/>
  <c r="O89" i="61" s="1"/>
  <c r="N88" i="61"/>
  <c r="N89" i="61" s="1"/>
  <c r="K88" i="61"/>
  <c r="K89" i="61" s="1"/>
  <c r="J88" i="61"/>
  <c r="J89" i="61" s="1"/>
  <c r="H88" i="61"/>
  <c r="H89" i="61" s="1"/>
  <c r="AH86" i="61"/>
  <c r="AH87" i="61" s="1"/>
  <c r="O86" i="61"/>
  <c r="O87" i="61" s="1"/>
  <c r="AH83" i="61"/>
  <c r="AG83" i="61"/>
  <c r="AF83" i="61"/>
  <c r="AE83" i="61"/>
  <c r="AD83" i="61"/>
  <c r="Z83" i="61"/>
  <c r="Y83" i="61"/>
  <c r="S83" i="61"/>
  <c r="O83" i="61"/>
  <c r="N83" i="61"/>
  <c r="K83" i="61"/>
  <c r="J83" i="61"/>
  <c r="H83" i="61"/>
  <c r="AH82" i="61"/>
  <c r="AG82" i="61"/>
  <c r="AF82" i="61"/>
  <c r="AE82" i="61"/>
  <c r="AD82" i="61"/>
  <c r="Z82" i="61"/>
  <c r="Y82" i="61"/>
  <c r="S82" i="61"/>
  <c r="O82" i="61"/>
  <c r="N82" i="61"/>
  <c r="K82" i="61"/>
  <c r="J82" i="61"/>
  <c r="H82" i="61"/>
  <c r="AH81" i="61"/>
  <c r="AG81" i="61"/>
  <c r="AF81" i="61"/>
  <c r="AE81" i="61"/>
  <c r="AD81" i="61"/>
  <c r="Z81" i="61"/>
  <c r="Y81" i="61"/>
  <c r="S81" i="61"/>
  <c r="O81" i="61"/>
  <c r="N81" i="61"/>
  <c r="K81" i="61"/>
  <c r="J81" i="61"/>
  <c r="H81" i="61"/>
  <c r="AH80" i="61"/>
  <c r="AG80" i="61"/>
  <c r="AF80" i="61"/>
  <c r="AE80" i="61"/>
  <c r="AD80" i="61"/>
  <c r="Z80" i="61"/>
  <c r="Y80" i="61"/>
  <c r="S80" i="61"/>
  <c r="O80" i="61"/>
  <c r="N80" i="61"/>
  <c r="K80" i="61"/>
  <c r="J80" i="61"/>
  <c r="H80" i="61"/>
  <c r="AI84" i="61"/>
  <c r="AI73" i="61"/>
  <c r="AC73" i="61"/>
  <c r="AB73" i="61"/>
  <c r="AA73" i="61"/>
  <c r="X73" i="61"/>
  <c r="W73" i="61"/>
  <c r="V73" i="61"/>
  <c r="U73" i="61"/>
  <c r="T73" i="61"/>
  <c r="R73" i="61"/>
  <c r="Q73" i="61"/>
  <c r="P73" i="61"/>
  <c r="M73" i="61"/>
  <c r="L73" i="61"/>
  <c r="I73" i="61"/>
  <c r="AH72" i="61"/>
  <c r="AG72" i="61"/>
  <c r="AF72" i="61"/>
  <c r="AE72" i="61"/>
  <c r="AD72" i="61"/>
  <c r="Z72" i="61"/>
  <c r="Y72" i="61"/>
  <c r="S72" i="61"/>
  <c r="O72" i="61"/>
  <c r="N72" i="61"/>
  <c r="K72" i="61"/>
  <c r="J72" i="61"/>
  <c r="H72" i="61"/>
  <c r="AH71" i="61"/>
  <c r="AG71" i="61"/>
  <c r="AF71" i="61"/>
  <c r="AE71" i="61"/>
  <c r="AD71" i="61"/>
  <c r="Z71" i="61"/>
  <c r="Y71" i="61"/>
  <c r="S71" i="61"/>
  <c r="O71" i="61"/>
  <c r="N71" i="61"/>
  <c r="K71" i="61"/>
  <c r="J71" i="61"/>
  <c r="H71" i="61"/>
  <c r="AH70" i="61"/>
  <c r="AG70" i="61"/>
  <c r="AF70" i="61"/>
  <c r="AE70" i="61"/>
  <c r="AD70" i="61"/>
  <c r="Z70" i="61"/>
  <c r="Y70" i="61"/>
  <c r="S70" i="61"/>
  <c r="O70" i="61"/>
  <c r="N70" i="61"/>
  <c r="K70" i="61"/>
  <c r="J70" i="61"/>
  <c r="H70" i="61"/>
  <c r="AH69" i="61"/>
  <c r="AG69" i="61"/>
  <c r="AF69" i="61"/>
  <c r="AE69" i="61"/>
  <c r="AD69" i="61"/>
  <c r="Z69" i="61"/>
  <c r="Y69" i="61"/>
  <c r="S69" i="61"/>
  <c r="O69" i="61"/>
  <c r="N69" i="61"/>
  <c r="K69" i="61"/>
  <c r="J69" i="61"/>
  <c r="H69" i="61"/>
  <c r="AB68" i="61"/>
  <c r="AA68" i="61"/>
  <c r="X68" i="61"/>
  <c r="Q68" i="61"/>
  <c r="P68" i="61"/>
  <c r="M68" i="61"/>
  <c r="L68" i="61"/>
  <c r="AH66" i="61"/>
  <c r="AH67" i="61" s="1"/>
  <c r="AG66" i="61"/>
  <c r="AG67" i="61" s="1"/>
  <c r="AF66" i="61"/>
  <c r="AF67" i="61" s="1"/>
  <c r="AE66" i="61"/>
  <c r="AE67" i="61" s="1"/>
  <c r="AD66" i="61"/>
  <c r="Z66" i="61"/>
  <c r="Z67" i="61" s="1"/>
  <c r="Y66" i="61"/>
  <c r="Y67" i="61" s="1"/>
  <c r="S66" i="61"/>
  <c r="S67" i="61" s="1"/>
  <c r="O66" i="61"/>
  <c r="O67" i="61" s="1"/>
  <c r="N66" i="61"/>
  <c r="N67" i="61" s="1"/>
  <c r="K66" i="61"/>
  <c r="K67" i="61" s="1"/>
  <c r="J66" i="61"/>
  <c r="J67" i="61" s="1"/>
  <c r="H66" i="61"/>
  <c r="H67" i="61" s="1"/>
  <c r="AH63" i="61"/>
  <c r="AG63" i="61"/>
  <c r="AF63" i="61"/>
  <c r="AE63" i="61"/>
  <c r="AE64" i="61" s="1"/>
  <c r="AD63" i="61"/>
  <c r="Z63" i="61"/>
  <c r="Y63" i="61"/>
  <c r="S63" i="61"/>
  <c r="O63" i="61"/>
  <c r="O64" i="61" s="1"/>
  <c r="N63" i="61"/>
  <c r="K63" i="61"/>
  <c r="J63" i="61"/>
  <c r="H63" i="61"/>
  <c r="H64" i="61" s="1"/>
  <c r="H200" i="61" s="1"/>
  <c r="AI47" i="61"/>
  <c r="AH47" i="61"/>
  <c r="AG47" i="61"/>
  <c r="AF47" i="61"/>
  <c r="AE47" i="61"/>
  <c r="AD47" i="61"/>
  <c r="AC47" i="61"/>
  <c r="AB47" i="61"/>
  <c r="AA47" i="61"/>
  <c r="Z47" i="61"/>
  <c r="Y47" i="61"/>
  <c r="X47" i="61"/>
  <c r="W47" i="61"/>
  <c r="V47" i="61"/>
  <c r="U47" i="61"/>
  <c r="T47" i="61"/>
  <c r="S47" i="61"/>
  <c r="R47" i="61"/>
  <c r="Q47" i="61"/>
  <c r="P47" i="61"/>
  <c r="O47" i="61"/>
  <c r="N47" i="61"/>
  <c r="M47" i="61"/>
  <c r="L47" i="61"/>
  <c r="K47" i="61"/>
  <c r="J47" i="61"/>
  <c r="I47" i="61"/>
  <c r="H47" i="61"/>
  <c r="S211" i="61"/>
  <c r="S268" i="61" s="1"/>
  <c r="V210" i="61"/>
  <c r="V272" i="61" s="1"/>
  <c r="W65" i="62" s="1"/>
  <c r="W116" i="62" s="1"/>
  <c r="AH209" i="61"/>
  <c r="U209" i="61"/>
  <c r="T209" i="61"/>
  <c r="Q209" i="61"/>
  <c r="P209" i="61"/>
  <c r="M209" i="61"/>
  <c r="AD208" i="61"/>
  <c r="AD274" i="61" s="1"/>
  <c r="AE67" i="62" s="1"/>
  <c r="AE118" i="62" s="1"/>
  <c r="I208" i="61"/>
  <c r="I274" i="61" s="1"/>
  <c r="AA239" i="61"/>
  <c r="M207" i="61"/>
  <c r="M273" i="61" s="1"/>
  <c r="AG206" i="61"/>
  <c r="AB205" i="61"/>
  <c r="X204" i="61"/>
  <c r="X270" i="61" s="1"/>
  <c r="Q227" i="61"/>
  <c r="Q289" i="61" s="1"/>
  <c r="P204" i="61"/>
  <c r="P270" i="61" s="1"/>
  <c r="L204" i="61"/>
  <c r="L270" i="61" s="1"/>
  <c r="I204" i="61"/>
  <c r="I270" i="61" s="1"/>
  <c r="AB203" i="61"/>
  <c r="AB275" i="61" s="1"/>
  <c r="S203" i="61"/>
  <c r="S275" i="61" s="1"/>
  <c r="R203" i="61"/>
  <c r="R275" i="61" s="1"/>
  <c r="S68" i="62" s="1"/>
  <c r="S119" i="62" s="1"/>
  <c r="M203" i="61"/>
  <c r="M275" i="61" s="1"/>
  <c r="N68" i="62" s="1"/>
  <c r="Q202" i="61"/>
  <c r="AI233" i="61"/>
  <c r="AI295" i="61" s="1"/>
  <c r="AJ85" i="62" s="1"/>
  <c r="AJ135" i="62" s="1"/>
  <c r="AA250" i="61"/>
  <c r="AA305" i="61" s="1"/>
  <c r="T201" i="61"/>
  <c r="T269" i="61" s="1"/>
  <c r="U61" i="62" s="1"/>
  <c r="P201" i="61"/>
  <c r="P269" i="61" s="1"/>
  <c r="M201" i="61"/>
  <c r="M269" i="61" s="1"/>
  <c r="N61" i="62" s="1"/>
  <c r="AE200" i="61"/>
  <c r="X213" i="61"/>
  <c r="Q200" i="61"/>
  <c r="C7" i="50" l="1"/>
  <c r="D7" i="50"/>
  <c r="C9" i="50"/>
  <c r="D9" i="50"/>
  <c r="K13" i="63"/>
  <c r="Q84" i="56" s="1"/>
  <c r="K12" i="63"/>
  <c r="Q83" i="56" s="1"/>
  <c r="K11" i="63"/>
  <c r="Q82" i="56" s="1"/>
  <c r="K10" i="63"/>
  <c r="Q81" i="56" s="1"/>
  <c r="K9" i="63"/>
  <c r="Q80" i="56" s="1"/>
  <c r="L9" i="63"/>
  <c r="R80" i="56" s="1"/>
  <c r="L10" i="63"/>
  <c r="R81" i="56" s="1"/>
  <c r="L11" i="63"/>
  <c r="R82" i="56" s="1"/>
  <c r="L12" i="63"/>
  <c r="R83" i="56" s="1"/>
  <c r="L13" i="63"/>
  <c r="R84" i="56" s="1"/>
  <c r="M9" i="63"/>
  <c r="S80" i="56" s="1"/>
  <c r="M10" i="63"/>
  <c r="S81" i="56" s="1"/>
  <c r="M11" i="63"/>
  <c r="S82" i="56" s="1"/>
  <c r="M12" i="63"/>
  <c r="S83" i="56" s="1"/>
  <c r="M13" i="63"/>
  <c r="S84" i="56" s="1"/>
  <c r="N9" i="63"/>
  <c r="T80" i="56" s="1"/>
  <c r="N10" i="63"/>
  <c r="T81" i="56" s="1"/>
  <c r="N11" i="63"/>
  <c r="T82" i="56" s="1"/>
  <c r="N12" i="63"/>
  <c r="T83" i="56" s="1"/>
  <c r="N13" i="63"/>
  <c r="T84" i="56" s="1"/>
  <c r="O9" i="63"/>
  <c r="U80" i="56" s="1"/>
  <c r="O10" i="63"/>
  <c r="U81" i="56" s="1"/>
  <c r="O11" i="63"/>
  <c r="U82" i="56" s="1"/>
  <c r="O12" i="63"/>
  <c r="U83" i="56" s="1"/>
  <c r="O13" i="63"/>
  <c r="U84" i="56" s="1"/>
  <c r="P9" i="63"/>
  <c r="V80" i="56" s="1"/>
  <c r="P10" i="63"/>
  <c r="V81" i="56" s="1"/>
  <c r="P11" i="63"/>
  <c r="V82" i="56" s="1"/>
  <c r="P12" i="63"/>
  <c r="V83" i="56" s="1"/>
  <c r="P13" i="63"/>
  <c r="V84" i="56" s="1"/>
  <c r="Q9" i="63"/>
  <c r="W80" i="56" s="1"/>
  <c r="Q10" i="63"/>
  <c r="W81" i="56" s="1"/>
  <c r="Q11" i="63"/>
  <c r="W82" i="56" s="1"/>
  <c r="Q12" i="63"/>
  <c r="W83" i="56" s="1"/>
  <c r="Q13" i="63"/>
  <c r="W84" i="56" s="1"/>
  <c r="R9" i="63"/>
  <c r="X80" i="56" s="1"/>
  <c r="R10" i="63"/>
  <c r="X81" i="56" s="1"/>
  <c r="R11" i="63"/>
  <c r="X82" i="56" s="1"/>
  <c r="R12" i="63"/>
  <c r="X83" i="56" s="1"/>
  <c r="R13" i="63"/>
  <c r="X84" i="56" s="1"/>
  <c r="S9" i="63"/>
  <c r="Y80" i="56" s="1"/>
  <c r="S10" i="63"/>
  <c r="Y81" i="56" s="1"/>
  <c r="S11" i="63"/>
  <c r="Y82" i="56" s="1"/>
  <c r="S12" i="63"/>
  <c r="Y83" i="56" s="1"/>
  <c r="S13" i="63"/>
  <c r="Y84" i="56" s="1"/>
  <c r="T9" i="63"/>
  <c r="Z80" i="56" s="1"/>
  <c r="T10" i="63"/>
  <c r="Z81" i="56" s="1"/>
  <c r="T11" i="63"/>
  <c r="Z82" i="56" s="1"/>
  <c r="T12" i="63"/>
  <c r="Z83" i="56" s="1"/>
  <c r="T13" i="63"/>
  <c r="Z84" i="56" s="1"/>
  <c r="U9" i="63"/>
  <c r="AA80" i="56" s="1"/>
  <c r="U10" i="63"/>
  <c r="AA81" i="56" s="1"/>
  <c r="U11" i="63"/>
  <c r="AA82" i="56" s="1"/>
  <c r="U12" i="63"/>
  <c r="AA83" i="56" s="1"/>
  <c r="U13" i="63"/>
  <c r="AA84" i="56" s="1"/>
  <c r="V9" i="63"/>
  <c r="AB80" i="56" s="1"/>
  <c r="V10" i="63"/>
  <c r="AB81" i="56" s="1"/>
  <c r="V11" i="63"/>
  <c r="AB82" i="56" s="1"/>
  <c r="V12" i="63"/>
  <c r="AB83" i="56" s="1"/>
  <c r="V13" i="63"/>
  <c r="AB84" i="56" s="1"/>
  <c r="W9" i="63"/>
  <c r="AC80" i="56" s="1"/>
  <c r="W10" i="63"/>
  <c r="AC81" i="56" s="1"/>
  <c r="W11" i="63"/>
  <c r="AC82" i="56" s="1"/>
  <c r="W12" i="63"/>
  <c r="AC83" i="56" s="1"/>
  <c r="W13" i="63"/>
  <c r="AC84" i="56" s="1"/>
  <c r="X9" i="63"/>
  <c r="AD80" i="56" s="1"/>
  <c r="X10" i="63"/>
  <c r="AD81" i="56" s="1"/>
  <c r="X11" i="63"/>
  <c r="AD82" i="56" s="1"/>
  <c r="X12" i="63"/>
  <c r="AD83" i="56" s="1"/>
  <c r="X13" i="63"/>
  <c r="AD84" i="56" s="1"/>
  <c r="Y9" i="63"/>
  <c r="AE80" i="56" s="1"/>
  <c r="Y10" i="63"/>
  <c r="AE81" i="56" s="1"/>
  <c r="Y11" i="63"/>
  <c r="AE82" i="56" s="1"/>
  <c r="Y12" i="63"/>
  <c r="AE83" i="56" s="1"/>
  <c r="Y13" i="63"/>
  <c r="AE84" i="56" s="1"/>
  <c r="Z9" i="63"/>
  <c r="AF80" i="56" s="1"/>
  <c r="Z10" i="63"/>
  <c r="AF81" i="56" s="1"/>
  <c r="Z11" i="63"/>
  <c r="AF82" i="56" s="1"/>
  <c r="Z12" i="63"/>
  <c r="AF83" i="56" s="1"/>
  <c r="Z13" i="63"/>
  <c r="AF84" i="56" s="1"/>
  <c r="AA9" i="63"/>
  <c r="AG80" i="56" s="1"/>
  <c r="AA10" i="63"/>
  <c r="AG81" i="56" s="1"/>
  <c r="AA11" i="63"/>
  <c r="AG82" i="56" s="1"/>
  <c r="AA12" i="63"/>
  <c r="AG83" i="56" s="1"/>
  <c r="AA13" i="63"/>
  <c r="AG84" i="56" s="1"/>
  <c r="AB9" i="63"/>
  <c r="AH80" i="56" s="1"/>
  <c r="AB10" i="63"/>
  <c r="AH81" i="56" s="1"/>
  <c r="AB11" i="63"/>
  <c r="AH82" i="56" s="1"/>
  <c r="AB12" i="63"/>
  <c r="AH83" i="56" s="1"/>
  <c r="AB13" i="63"/>
  <c r="AH84" i="56" s="1"/>
  <c r="AC9" i="63"/>
  <c r="AI80" i="56" s="1"/>
  <c r="AC10" i="63"/>
  <c r="AI81" i="56" s="1"/>
  <c r="AC11" i="63"/>
  <c r="AI82" i="56" s="1"/>
  <c r="AC12" i="63"/>
  <c r="AI83" i="56" s="1"/>
  <c r="AC13" i="63"/>
  <c r="AI84" i="56" s="1"/>
  <c r="AD9" i="63"/>
  <c r="AJ80" i="56" s="1"/>
  <c r="AD10" i="63"/>
  <c r="AJ81" i="56" s="1"/>
  <c r="AD11" i="63"/>
  <c r="AJ82" i="56" s="1"/>
  <c r="AD12" i="63"/>
  <c r="AJ83" i="56" s="1"/>
  <c r="AD13" i="63"/>
  <c r="AJ84" i="56" s="1"/>
  <c r="AE9" i="63"/>
  <c r="AK80" i="56" s="1"/>
  <c r="AE10" i="63"/>
  <c r="AK81" i="56" s="1"/>
  <c r="AE11" i="63"/>
  <c r="AK82" i="56" s="1"/>
  <c r="AE12" i="63"/>
  <c r="AK83" i="56" s="1"/>
  <c r="AE13" i="63"/>
  <c r="AK84" i="56" s="1"/>
  <c r="AF9" i="63"/>
  <c r="AL80" i="56" s="1"/>
  <c r="AF10" i="63"/>
  <c r="AL81" i="56" s="1"/>
  <c r="AF11" i="63"/>
  <c r="AL82" i="56" s="1"/>
  <c r="AF12" i="63"/>
  <c r="AL83" i="56" s="1"/>
  <c r="AF13" i="63"/>
  <c r="AL84" i="56" s="1"/>
  <c r="AG9" i="63"/>
  <c r="AM80" i="56" s="1"/>
  <c r="AG10" i="63"/>
  <c r="AM81" i="56" s="1"/>
  <c r="AG11" i="63"/>
  <c r="AM82" i="56" s="1"/>
  <c r="AG12" i="63"/>
  <c r="AM83" i="56" s="1"/>
  <c r="AG13" i="63"/>
  <c r="AM84" i="56" s="1"/>
  <c r="AH9" i="63"/>
  <c r="AN80" i="56" s="1"/>
  <c r="AH10" i="63"/>
  <c r="AN81" i="56" s="1"/>
  <c r="AH11" i="63"/>
  <c r="AN82" i="56" s="1"/>
  <c r="AH12" i="63"/>
  <c r="AN83" i="56" s="1"/>
  <c r="AH13" i="63"/>
  <c r="AN84" i="56" s="1"/>
  <c r="AI9" i="63"/>
  <c r="AO80" i="56" s="1"/>
  <c r="AI10" i="63"/>
  <c r="AO81" i="56" s="1"/>
  <c r="AI11" i="63"/>
  <c r="AO82" i="56" s="1"/>
  <c r="AI12" i="63"/>
  <c r="AO83" i="56" s="1"/>
  <c r="AI13" i="63"/>
  <c r="AO84" i="56" s="1"/>
  <c r="AJ9" i="63"/>
  <c r="AP80" i="56" s="1"/>
  <c r="AJ10" i="63"/>
  <c r="AP81" i="56" s="1"/>
  <c r="AJ11" i="63"/>
  <c r="AP82" i="56" s="1"/>
  <c r="AJ12" i="63"/>
  <c r="AP83" i="56" s="1"/>
  <c r="AJ13" i="63"/>
  <c r="AP84" i="56" s="1"/>
  <c r="AK9" i="63"/>
  <c r="AQ80" i="56" s="1"/>
  <c r="AK10" i="63"/>
  <c r="AQ81" i="56" s="1"/>
  <c r="AK11" i="63"/>
  <c r="AQ82" i="56" s="1"/>
  <c r="AK12" i="63"/>
  <c r="AQ83" i="56" s="1"/>
  <c r="AK13" i="63"/>
  <c r="AQ84" i="56" s="1"/>
  <c r="AL9" i="63"/>
  <c r="AR80" i="56" s="1"/>
  <c r="AL10" i="63"/>
  <c r="AR81" i="56" s="1"/>
  <c r="AL11" i="63"/>
  <c r="AR82" i="56" s="1"/>
  <c r="AL12" i="63"/>
  <c r="AR83" i="56" s="1"/>
  <c r="AL13" i="63"/>
  <c r="AR84" i="56" s="1"/>
  <c r="O59" i="49"/>
  <c r="K26" i="63"/>
  <c r="Q97" i="56" s="1"/>
  <c r="P59" i="49"/>
  <c r="L26" i="63"/>
  <c r="R97" i="56" s="1"/>
  <c r="Q59" i="49"/>
  <c r="M26" i="63"/>
  <c r="S97" i="56" s="1"/>
  <c r="R59" i="49"/>
  <c r="N26" i="63"/>
  <c r="T97" i="56" s="1"/>
  <c r="S59" i="49"/>
  <c r="O26" i="63"/>
  <c r="U97" i="56" s="1"/>
  <c r="T59" i="49"/>
  <c r="P26" i="63"/>
  <c r="V97" i="56" s="1"/>
  <c r="U59" i="49"/>
  <c r="Q26" i="63"/>
  <c r="W97" i="56" s="1"/>
  <c r="V59" i="49"/>
  <c r="R26" i="63"/>
  <c r="X97" i="56" s="1"/>
  <c r="W59" i="49"/>
  <c r="S26" i="63"/>
  <c r="Y97" i="56" s="1"/>
  <c r="X59" i="49"/>
  <c r="T26" i="63"/>
  <c r="Z97" i="56" s="1"/>
  <c r="Y59" i="49"/>
  <c r="U26" i="63"/>
  <c r="AA97" i="56" s="1"/>
  <c r="Z59" i="49"/>
  <c r="V26" i="63"/>
  <c r="AB97" i="56" s="1"/>
  <c r="AA59" i="49"/>
  <c r="W26" i="63"/>
  <c r="AC97" i="56" s="1"/>
  <c r="AB59" i="49"/>
  <c r="X26" i="63"/>
  <c r="AD97" i="56" s="1"/>
  <c r="AC59" i="49"/>
  <c r="Y26" i="63"/>
  <c r="AE97" i="56" s="1"/>
  <c r="AD59" i="49"/>
  <c r="Z26" i="63"/>
  <c r="AF97" i="56" s="1"/>
  <c r="AE59" i="49"/>
  <c r="AA26" i="63"/>
  <c r="AG97" i="56" s="1"/>
  <c r="AF59" i="49"/>
  <c r="AB26" i="63"/>
  <c r="AH97" i="56" s="1"/>
  <c r="AG59" i="49"/>
  <c r="AC26" i="63"/>
  <c r="AI97" i="56" s="1"/>
  <c r="AH59" i="49"/>
  <c r="AD26" i="63"/>
  <c r="AJ97" i="56" s="1"/>
  <c r="AI59" i="49"/>
  <c r="AE26" i="63"/>
  <c r="AK97" i="56" s="1"/>
  <c r="AJ59" i="49"/>
  <c r="AF26" i="63"/>
  <c r="AL97" i="56" s="1"/>
  <c r="AK59" i="49"/>
  <c r="AG26" i="63"/>
  <c r="AM97" i="56" s="1"/>
  <c r="AL59" i="49"/>
  <c r="AH26" i="63"/>
  <c r="AN97" i="56" s="1"/>
  <c r="AM59" i="49"/>
  <c r="AI26" i="63"/>
  <c r="AO97" i="56" s="1"/>
  <c r="AN59" i="49"/>
  <c r="AJ26" i="63"/>
  <c r="AP97" i="56" s="1"/>
  <c r="AO59" i="49"/>
  <c r="AK26" i="63"/>
  <c r="AQ97" i="56" s="1"/>
  <c r="AP59" i="49"/>
  <c r="AL26" i="63"/>
  <c r="AR97" i="56" s="1"/>
  <c r="AI60" i="49"/>
  <c r="AE56" i="63"/>
  <c r="AK127" i="56" s="1"/>
  <c r="AE57" i="63"/>
  <c r="AK128" i="56" s="1"/>
  <c r="AE58" i="63"/>
  <c r="AK129" i="56" s="1"/>
  <c r="AE59" i="63"/>
  <c r="AK130" i="56" s="1"/>
  <c r="AE60" i="63"/>
  <c r="AK131" i="56" s="1"/>
  <c r="AE61" i="63"/>
  <c r="AK132" i="56" s="1"/>
  <c r="AE62" i="63"/>
  <c r="AK133" i="56" s="1"/>
  <c r="AE63" i="63"/>
  <c r="AK134" i="56" s="1"/>
  <c r="AE64" i="63"/>
  <c r="AK135" i="56" s="1"/>
  <c r="AE65" i="63"/>
  <c r="AK136" i="56" s="1"/>
  <c r="AE66" i="63"/>
  <c r="AK137" i="56" s="1"/>
  <c r="AE67" i="63"/>
  <c r="AK138" i="56" s="1"/>
  <c r="AE14" i="63"/>
  <c r="AK85" i="56" s="1"/>
  <c r="AE15" i="63"/>
  <c r="AK86" i="56" s="1"/>
  <c r="AE16" i="63"/>
  <c r="AK87" i="56" s="1"/>
  <c r="AE17" i="63"/>
  <c r="AK88" i="56" s="1"/>
  <c r="AE18" i="63"/>
  <c r="AK89" i="56" s="1"/>
  <c r="AE19" i="63"/>
  <c r="AK90" i="56" s="1"/>
  <c r="AE20" i="63"/>
  <c r="AK91" i="56" s="1"/>
  <c r="AE21" i="63"/>
  <c r="AK92" i="56" s="1"/>
  <c r="AE22" i="63"/>
  <c r="AK93" i="56" s="1"/>
  <c r="AE23" i="63"/>
  <c r="AK94" i="56" s="1"/>
  <c r="AE24" i="63"/>
  <c r="AK95" i="56" s="1"/>
  <c r="AE25" i="63"/>
  <c r="AK96" i="56" s="1"/>
  <c r="K80" i="63"/>
  <c r="Q151" i="56" s="1"/>
  <c r="K79" i="63"/>
  <c r="Q150" i="56" s="1"/>
  <c r="K78" i="63"/>
  <c r="Q149" i="56" s="1"/>
  <c r="K77" i="63"/>
  <c r="Q148" i="56" s="1"/>
  <c r="K76" i="63"/>
  <c r="Q147" i="56" s="1"/>
  <c r="K75" i="63"/>
  <c r="Q146" i="56" s="1"/>
  <c r="K74" i="63"/>
  <c r="Q145" i="56" s="1"/>
  <c r="K73" i="63"/>
  <c r="Q144" i="56" s="1"/>
  <c r="K72" i="63"/>
  <c r="Q143" i="56" s="1"/>
  <c r="K71" i="63"/>
  <c r="Q142" i="56" s="1"/>
  <c r="K70" i="63"/>
  <c r="Q141" i="56" s="1"/>
  <c r="K69" i="63"/>
  <c r="Q140" i="56" s="1"/>
  <c r="K38" i="63"/>
  <c r="Q109" i="56" s="1"/>
  <c r="K37" i="63"/>
  <c r="Q108" i="56" s="1"/>
  <c r="K36" i="63"/>
  <c r="Q107" i="56" s="1"/>
  <c r="K35" i="63"/>
  <c r="Q106" i="56" s="1"/>
  <c r="K34" i="63"/>
  <c r="Q105" i="56" s="1"/>
  <c r="K33" i="63"/>
  <c r="Q104" i="56" s="1"/>
  <c r="K32" i="63"/>
  <c r="Q103" i="56" s="1"/>
  <c r="K31" i="63"/>
  <c r="Q102" i="56" s="1"/>
  <c r="K30" i="63"/>
  <c r="Q101" i="56" s="1"/>
  <c r="K29" i="63"/>
  <c r="Q100" i="56" s="1"/>
  <c r="K28" i="63"/>
  <c r="Q99" i="56" s="1"/>
  <c r="K27" i="63"/>
  <c r="Q98" i="56" s="1"/>
  <c r="L69" i="63"/>
  <c r="R140" i="56" s="1"/>
  <c r="L70" i="63"/>
  <c r="R141" i="56" s="1"/>
  <c r="L71" i="63"/>
  <c r="R142" i="56" s="1"/>
  <c r="L72" i="63"/>
  <c r="R143" i="56" s="1"/>
  <c r="L73" i="63"/>
  <c r="R144" i="56" s="1"/>
  <c r="L74" i="63"/>
  <c r="R145" i="56" s="1"/>
  <c r="L75" i="63"/>
  <c r="R146" i="56" s="1"/>
  <c r="L76" i="63"/>
  <c r="R147" i="56" s="1"/>
  <c r="L77" i="63"/>
  <c r="R148" i="56" s="1"/>
  <c r="L78" i="63"/>
  <c r="R149" i="56" s="1"/>
  <c r="L79" i="63"/>
  <c r="R150" i="56" s="1"/>
  <c r="L80" i="63"/>
  <c r="R151" i="56" s="1"/>
  <c r="L27" i="63"/>
  <c r="R98" i="56" s="1"/>
  <c r="L28" i="63"/>
  <c r="R99" i="56" s="1"/>
  <c r="L29" i="63"/>
  <c r="R100" i="56" s="1"/>
  <c r="L30" i="63"/>
  <c r="R101" i="56" s="1"/>
  <c r="L31" i="63"/>
  <c r="R102" i="56" s="1"/>
  <c r="L32" i="63"/>
  <c r="R103" i="56" s="1"/>
  <c r="L33" i="63"/>
  <c r="R104" i="56" s="1"/>
  <c r="L34" i="63"/>
  <c r="R105" i="56" s="1"/>
  <c r="L35" i="63"/>
  <c r="R106" i="56" s="1"/>
  <c r="L36" i="63"/>
  <c r="R107" i="56" s="1"/>
  <c r="L37" i="63"/>
  <c r="R108" i="56" s="1"/>
  <c r="L38" i="63"/>
  <c r="R109" i="56" s="1"/>
  <c r="M69" i="63"/>
  <c r="S140" i="56" s="1"/>
  <c r="M70" i="63"/>
  <c r="S141" i="56" s="1"/>
  <c r="M71" i="63"/>
  <c r="S142" i="56" s="1"/>
  <c r="M72" i="63"/>
  <c r="S143" i="56" s="1"/>
  <c r="M73" i="63"/>
  <c r="S144" i="56" s="1"/>
  <c r="M74" i="63"/>
  <c r="S145" i="56" s="1"/>
  <c r="M75" i="63"/>
  <c r="S146" i="56" s="1"/>
  <c r="M76" i="63"/>
  <c r="S147" i="56" s="1"/>
  <c r="M77" i="63"/>
  <c r="S148" i="56" s="1"/>
  <c r="M78" i="63"/>
  <c r="S149" i="56" s="1"/>
  <c r="M79" i="63"/>
  <c r="S150" i="56" s="1"/>
  <c r="M80" i="63"/>
  <c r="S151" i="56" s="1"/>
  <c r="M27" i="63"/>
  <c r="S98" i="56" s="1"/>
  <c r="M28" i="63"/>
  <c r="S99" i="56" s="1"/>
  <c r="M29" i="63"/>
  <c r="S100" i="56" s="1"/>
  <c r="M30" i="63"/>
  <c r="S101" i="56" s="1"/>
  <c r="M31" i="63"/>
  <c r="S102" i="56" s="1"/>
  <c r="M32" i="63"/>
  <c r="S103" i="56" s="1"/>
  <c r="M33" i="63"/>
  <c r="S104" i="56" s="1"/>
  <c r="M34" i="63"/>
  <c r="S105" i="56" s="1"/>
  <c r="M35" i="63"/>
  <c r="S106" i="56" s="1"/>
  <c r="M36" i="63"/>
  <c r="S107" i="56" s="1"/>
  <c r="M37" i="63"/>
  <c r="S108" i="56" s="1"/>
  <c r="M38" i="63"/>
  <c r="S109" i="56" s="1"/>
  <c r="N69" i="63"/>
  <c r="T140" i="56" s="1"/>
  <c r="N70" i="63"/>
  <c r="T141" i="56" s="1"/>
  <c r="N71" i="63"/>
  <c r="T142" i="56" s="1"/>
  <c r="N72" i="63"/>
  <c r="T143" i="56" s="1"/>
  <c r="N73" i="63"/>
  <c r="T144" i="56" s="1"/>
  <c r="N74" i="63"/>
  <c r="T145" i="56" s="1"/>
  <c r="N75" i="63"/>
  <c r="T146" i="56" s="1"/>
  <c r="N76" i="63"/>
  <c r="T147" i="56" s="1"/>
  <c r="N77" i="63"/>
  <c r="T148" i="56" s="1"/>
  <c r="N78" i="63"/>
  <c r="T149" i="56" s="1"/>
  <c r="N79" i="63"/>
  <c r="T150" i="56" s="1"/>
  <c r="N80" i="63"/>
  <c r="T151" i="56" s="1"/>
  <c r="N27" i="63"/>
  <c r="T98" i="56" s="1"/>
  <c r="N28" i="63"/>
  <c r="T99" i="56" s="1"/>
  <c r="N29" i="63"/>
  <c r="T100" i="56" s="1"/>
  <c r="N30" i="63"/>
  <c r="T101" i="56" s="1"/>
  <c r="N31" i="63"/>
  <c r="T102" i="56" s="1"/>
  <c r="N32" i="63"/>
  <c r="T103" i="56" s="1"/>
  <c r="N33" i="63"/>
  <c r="T104" i="56" s="1"/>
  <c r="N34" i="63"/>
  <c r="T105" i="56" s="1"/>
  <c r="N35" i="63"/>
  <c r="T106" i="56" s="1"/>
  <c r="N36" i="63"/>
  <c r="T107" i="56" s="1"/>
  <c r="N37" i="63"/>
  <c r="T108" i="56" s="1"/>
  <c r="N38" i="63"/>
  <c r="T109" i="56" s="1"/>
  <c r="O69" i="63"/>
  <c r="U140" i="56" s="1"/>
  <c r="O70" i="63"/>
  <c r="U141" i="56" s="1"/>
  <c r="O71" i="63"/>
  <c r="U142" i="56" s="1"/>
  <c r="O72" i="63"/>
  <c r="U143" i="56" s="1"/>
  <c r="O73" i="63"/>
  <c r="U144" i="56" s="1"/>
  <c r="O74" i="63"/>
  <c r="U145" i="56" s="1"/>
  <c r="O75" i="63"/>
  <c r="U146" i="56" s="1"/>
  <c r="O76" i="63"/>
  <c r="U147" i="56" s="1"/>
  <c r="O77" i="63"/>
  <c r="U148" i="56" s="1"/>
  <c r="O78" i="63"/>
  <c r="U149" i="56" s="1"/>
  <c r="O79" i="63"/>
  <c r="U150" i="56" s="1"/>
  <c r="O80" i="63"/>
  <c r="U151" i="56" s="1"/>
  <c r="O27" i="63"/>
  <c r="U98" i="56" s="1"/>
  <c r="O28" i="63"/>
  <c r="U99" i="56" s="1"/>
  <c r="O29" i="63"/>
  <c r="U100" i="56" s="1"/>
  <c r="O30" i="63"/>
  <c r="U101" i="56" s="1"/>
  <c r="O31" i="63"/>
  <c r="U102" i="56" s="1"/>
  <c r="O32" i="63"/>
  <c r="U103" i="56" s="1"/>
  <c r="O33" i="63"/>
  <c r="U104" i="56" s="1"/>
  <c r="O34" i="63"/>
  <c r="U105" i="56" s="1"/>
  <c r="O35" i="63"/>
  <c r="U106" i="56" s="1"/>
  <c r="O36" i="63"/>
  <c r="U107" i="56" s="1"/>
  <c r="O37" i="63"/>
  <c r="U108" i="56" s="1"/>
  <c r="O38" i="63"/>
  <c r="U109" i="56" s="1"/>
  <c r="P69" i="63"/>
  <c r="V140" i="56" s="1"/>
  <c r="P70" i="63"/>
  <c r="V141" i="56" s="1"/>
  <c r="P71" i="63"/>
  <c r="V142" i="56" s="1"/>
  <c r="P72" i="63"/>
  <c r="V143" i="56" s="1"/>
  <c r="P73" i="63"/>
  <c r="V144" i="56" s="1"/>
  <c r="P74" i="63"/>
  <c r="V145" i="56" s="1"/>
  <c r="P75" i="63"/>
  <c r="V146" i="56" s="1"/>
  <c r="P76" i="63"/>
  <c r="V147" i="56" s="1"/>
  <c r="P77" i="63"/>
  <c r="V148" i="56" s="1"/>
  <c r="P78" i="63"/>
  <c r="V149" i="56" s="1"/>
  <c r="P79" i="63"/>
  <c r="V150" i="56" s="1"/>
  <c r="P80" i="63"/>
  <c r="V151" i="56" s="1"/>
  <c r="P27" i="63"/>
  <c r="V98" i="56" s="1"/>
  <c r="P28" i="63"/>
  <c r="V99" i="56" s="1"/>
  <c r="P29" i="63"/>
  <c r="V100" i="56" s="1"/>
  <c r="P30" i="63"/>
  <c r="V101" i="56" s="1"/>
  <c r="P31" i="63"/>
  <c r="V102" i="56" s="1"/>
  <c r="P32" i="63"/>
  <c r="V103" i="56" s="1"/>
  <c r="P33" i="63"/>
  <c r="V104" i="56" s="1"/>
  <c r="P34" i="63"/>
  <c r="V105" i="56" s="1"/>
  <c r="P35" i="63"/>
  <c r="V106" i="56" s="1"/>
  <c r="P36" i="63"/>
  <c r="V107" i="56" s="1"/>
  <c r="P37" i="63"/>
  <c r="V108" i="56" s="1"/>
  <c r="P38" i="63"/>
  <c r="V109" i="56" s="1"/>
  <c r="Q69" i="63"/>
  <c r="W140" i="56" s="1"/>
  <c r="Q70" i="63"/>
  <c r="W141" i="56" s="1"/>
  <c r="Q71" i="63"/>
  <c r="W142" i="56" s="1"/>
  <c r="Q72" i="63"/>
  <c r="W143" i="56" s="1"/>
  <c r="Q73" i="63"/>
  <c r="W144" i="56" s="1"/>
  <c r="Q74" i="63"/>
  <c r="W145" i="56" s="1"/>
  <c r="Q75" i="63"/>
  <c r="W146" i="56" s="1"/>
  <c r="Q76" i="63"/>
  <c r="W147" i="56" s="1"/>
  <c r="Q77" i="63"/>
  <c r="W148" i="56" s="1"/>
  <c r="Q78" i="63"/>
  <c r="W149" i="56" s="1"/>
  <c r="Q79" i="63"/>
  <c r="W150" i="56" s="1"/>
  <c r="Q80" i="63"/>
  <c r="W151" i="56" s="1"/>
  <c r="Q27" i="63"/>
  <c r="W98" i="56" s="1"/>
  <c r="Q28" i="63"/>
  <c r="W99" i="56" s="1"/>
  <c r="Q29" i="63"/>
  <c r="W100" i="56" s="1"/>
  <c r="Q30" i="63"/>
  <c r="W101" i="56" s="1"/>
  <c r="Q31" i="63"/>
  <c r="W102" i="56" s="1"/>
  <c r="Q32" i="63"/>
  <c r="W103" i="56" s="1"/>
  <c r="Q33" i="63"/>
  <c r="W104" i="56" s="1"/>
  <c r="Q34" i="63"/>
  <c r="W105" i="56" s="1"/>
  <c r="Q35" i="63"/>
  <c r="W106" i="56" s="1"/>
  <c r="Q36" i="63"/>
  <c r="W107" i="56" s="1"/>
  <c r="Q37" i="63"/>
  <c r="W108" i="56" s="1"/>
  <c r="Q38" i="63"/>
  <c r="W109" i="56" s="1"/>
  <c r="R69" i="63"/>
  <c r="X140" i="56" s="1"/>
  <c r="R70" i="63"/>
  <c r="X141" i="56" s="1"/>
  <c r="R71" i="63"/>
  <c r="X142" i="56" s="1"/>
  <c r="R72" i="63"/>
  <c r="X143" i="56" s="1"/>
  <c r="R73" i="63"/>
  <c r="X144" i="56" s="1"/>
  <c r="R74" i="63"/>
  <c r="X145" i="56" s="1"/>
  <c r="R75" i="63"/>
  <c r="X146" i="56" s="1"/>
  <c r="R76" i="63"/>
  <c r="X147" i="56" s="1"/>
  <c r="R77" i="63"/>
  <c r="X148" i="56" s="1"/>
  <c r="R78" i="63"/>
  <c r="X149" i="56" s="1"/>
  <c r="R79" i="63"/>
  <c r="X150" i="56" s="1"/>
  <c r="R80" i="63"/>
  <c r="X151" i="56" s="1"/>
  <c r="R27" i="63"/>
  <c r="X98" i="56" s="1"/>
  <c r="R28" i="63"/>
  <c r="X99" i="56" s="1"/>
  <c r="R29" i="63"/>
  <c r="X100" i="56" s="1"/>
  <c r="R30" i="63"/>
  <c r="X101" i="56" s="1"/>
  <c r="R31" i="63"/>
  <c r="X102" i="56" s="1"/>
  <c r="R32" i="63"/>
  <c r="X103" i="56" s="1"/>
  <c r="R33" i="63"/>
  <c r="X104" i="56" s="1"/>
  <c r="R34" i="63"/>
  <c r="X105" i="56" s="1"/>
  <c r="R35" i="63"/>
  <c r="X106" i="56" s="1"/>
  <c r="R36" i="63"/>
  <c r="X107" i="56" s="1"/>
  <c r="R37" i="63"/>
  <c r="X108" i="56" s="1"/>
  <c r="R38" i="63"/>
  <c r="X109" i="56" s="1"/>
  <c r="S69" i="63"/>
  <c r="Y140" i="56" s="1"/>
  <c r="S70" i="63"/>
  <c r="Y141" i="56" s="1"/>
  <c r="S71" i="63"/>
  <c r="Y142" i="56" s="1"/>
  <c r="S72" i="63"/>
  <c r="Y143" i="56" s="1"/>
  <c r="S73" i="63"/>
  <c r="Y144" i="56" s="1"/>
  <c r="S74" i="63"/>
  <c r="Y145" i="56" s="1"/>
  <c r="S75" i="63"/>
  <c r="Y146" i="56" s="1"/>
  <c r="S76" i="63"/>
  <c r="Y147" i="56" s="1"/>
  <c r="S77" i="63"/>
  <c r="Y148" i="56" s="1"/>
  <c r="S78" i="63"/>
  <c r="Y149" i="56" s="1"/>
  <c r="S79" i="63"/>
  <c r="Y150" i="56" s="1"/>
  <c r="S80" i="63"/>
  <c r="Y151" i="56" s="1"/>
  <c r="S27" i="63"/>
  <c r="Y98" i="56" s="1"/>
  <c r="S28" i="63"/>
  <c r="Y99" i="56" s="1"/>
  <c r="S29" i="63"/>
  <c r="Y100" i="56" s="1"/>
  <c r="S30" i="63"/>
  <c r="Y101" i="56" s="1"/>
  <c r="S31" i="63"/>
  <c r="Y102" i="56" s="1"/>
  <c r="S32" i="63"/>
  <c r="Y103" i="56" s="1"/>
  <c r="S33" i="63"/>
  <c r="Y104" i="56" s="1"/>
  <c r="S34" i="63"/>
  <c r="Y105" i="56" s="1"/>
  <c r="S35" i="63"/>
  <c r="Y106" i="56" s="1"/>
  <c r="S36" i="63"/>
  <c r="Y107" i="56" s="1"/>
  <c r="S37" i="63"/>
  <c r="Y108" i="56" s="1"/>
  <c r="S38" i="63"/>
  <c r="Y109" i="56" s="1"/>
  <c r="T69" i="63"/>
  <c r="Z140" i="56" s="1"/>
  <c r="T70" i="63"/>
  <c r="Z141" i="56" s="1"/>
  <c r="T71" i="63"/>
  <c r="Z142" i="56" s="1"/>
  <c r="T72" i="63"/>
  <c r="Z143" i="56" s="1"/>
  <c r="T73" i="63"/>
  <c r="Z144" i="56" s="1"/>
  <c r="T74" i="63"/>
  <c r="Z145" i="56" s="1"/>
  <c r="T75" i="63"/>
  <c r="Z146" i="56" s="1"/>
  <c r="T76" i="63"/>
  <c r="Z147" i="56" s="1"/>
  <c r="T77" i="63"/>
  <c r="Z148" i="56" s="1"/>
  <c r="T78" i="63"/>
  <c r="Z149" i="56" s="1"/>
  <c r="T79" i="63"/>
  <c r="Z150" i="56" s="1"/>
  <c r="T80" i="63"/>
  <c r="Z151" i="56" s="1"/>
  <c r="T27" i="63"/>
  <c r="Z98" i="56" s="1"/>
  <c r="T28" i="63"/>
  <c r="Z99" i="56" s="1"/>
  <c r="T29" i="63"/>
  <c r="Z100" i="56" s="1"/>
  <c r="T30" i="63"/>
  <c r="Z101" i="56" s="1"/>
  <c r="T31" i="63"/>
  <c r="Z102" i="56" s="1"/>
  <c r="T32" i="63"/>
  <c r="Z103" i="56" s="1"/>
  <c r="T33" i="63"/>
  <c r="Z104" i="56" s="1"/>
  <c r="T34" i="63"/>
  <c r="Z105" i="56" s="1"/>
  <c r="T35" i="63"/>
  <c r="Z106" i="56" s="1"/>
  <c r="T36" i="63"/>
  <c r="Z107" i="56" s="1"/>
  <c r="T37" i="63"/>
  <c r="Z108" i="56" s="1"/>
  <c r="T38" i="63"/>
  <c r="Z109" i="56" s="1"/>
  <c r="U69" i="63"/>
  <c r="AA140" i="56" s="1"/>
  <c r="U70" i="63"/>
  <c r="AA141" i="56" s="1"/>
  <c r="U71" i="63"/>
  <c r="AA142" i="56" s="1"/>
  <c r="U72" i="63"/>
  <c r="AA143" i="56" s="1"/>
  <c r="U73" i="63"/>
  <c r="AA144" i="56" s="1"/>
  <c r="U74" i="63"/>
  <c r="AA145" i="56" s="1"/>
  <c r="U75" i="63"/>
  <c r="AA146" i="56" s="1"/>
  <c r="U76" i="63"/>
  <c r="AA147" i="56" s="1"/>
  <c r="U77" i="63"/>
  <c r="AA148" i="56" s="1"/>
  <c r="U78" i="63"/>
  <c r="AA149" i="56" s="1"/>
  <c r="U79" i="63"/>
  <c r="AA150" i="56" s="1"/>
  <c r="U80" i="63"/>
  <c r="AA151" i="56" s="1"/>
  <c r="U27" i="63"/>
  <c r="AA98" i="56" s="1"/>
  <c r="U28" i="63"/>
  <c r="AA99" i="56" s="1"/>
  <c r="U29" i="63"/>
  <c r="AA100" i="56" s="1"/>
  <c r="U30" i="63"/>
  <c r="AA101" i="56" s="1"/>
  <c r="U31" i="63"/>
  <c r="AA102" i="56" s="1"/>
  <c r="U32" i="63"/>
  <c r="AA103" i="56" s="1"/>
  <c r="U33" i="63"/>
  <c r="AA104" i="56" s="1"/>
  <c r="U34" i="63"/>
  <c r="AA105" i="56" s="1"/>
  <c r="U35" i="63"/>
  <c r="AA106" i="56" s="1"/>
  <c r="U36" i="63"/>
  <c r="AA107" i="56" s="1"/>
  <c r="U37" i="63"/>
  <c r="AA108" i="56" s="1"/>
  <c r="U38" i="63"/>
  <c r="AA109" i="56" s="1"/>
  <c r="V69" i="63"/>
  <c r="AB140" i="56" s="1"/>
  <c r="V70" i="63"/>
  <c r="AB141" i="56" s="1"/>
  <c r="V71" i="63"/>
  <c r="AB142" i="56" s="1"/>
  <c r="V72" i="63"/>
  <c r="AB143" i="56" s="1"/>
  <c r="V73" i="63"/>
  <c r="AB144" i="56" s="1"/>
  <c r="V74" i="63"/>
  <c r="AB145" i="56" s="1"/>
  <c r="V75" i="63"/>
  <c r="AB146" i="56" s="1"/>
  <c r="V76" i="63"/>
  <c r="AB147" i="56" s="1"/>
  <c r="V77" i="63"/>
  <c r="AB148" i="56" s="1"/>
  <c r="V78" i="63"/>
  <c r="AB149" i="56" s="1"/>
  <c r="V79" i="63"/>
  <c r="AB150" i="56" s="1"/>
  <c r="V80" i="63"/>
  <c r="AB151" i="56" s="1"/>
  <c r="V27" i="63"/>
  <c r="AB98" i="56" s="1"/>
  <c r="V28" i="63"/>
  <c r="AB99" i="56" s="1"/>
  <c r="V29" i="63"/>
  <c r="AB100" i="56" s="1"/>
  <c r="V30" i="63"/>
  <c r="AB101" i="56" s="1"/>
  <c r="V31" i="63"/>
  <c r="AB102" i="56" s="1"/>
  <c r="V32" i="63"/>
  <c r="AB103" i="56" s="1"/>
  <c r="V33" i="63"/>
  <c r="AB104" i="56" s="1"/>
  <c r="V34" i="63"/>
  <c r="AB105" i="56" s="1"/>
  <c r="V35" i="63"/>
  <c r="AB106" i="56" s="1"/>
  <c r="V36" i="63"/>
  <c r="AB107" i="56" s="1"/>
  <c r="V37" i="63"/>
  <c r="AB108" i="56" s="1"/>
  <c r="V38" i="63"/>
  <c r="AB109" i="56" s="1"/>
  <c r="W69" i="63"/>
  <c r="AC140" i="56" s="1"/>
  <c r="W70" i="63"/>
  <c r="AC141" i="56" s="1"/>
  <c r="W71" i="63"/>
  <c r="AC142" i="56" s="1"/>
  <c r="W72" i="63"/>
  <c r="AC143" i="56" s="1"/>
  <c r="W73" i="63"/>
  <c r="AC144" i="56" s="1"/>
  <c r="W74" i="63"/>
  <c r="AC145" i="56" s="1"/>
  <c r="W75" i="63"/>
  <c r="AC146" i="56" s="1"/>
  <c r="W76" i="63"/>
  <c r="AC147" i="56" s="1"/>
  <c r="W77" i="63"/>
  <c r="AC148" i="56" s="1"/>
  <c r="W78" i="63"/>
  <c r="AC149" i="56" s="1"/>
  <c r="W79" i="63"/>
  <c r="AC150" i="56" s="1"/>
  <c r="W80" i="63"/>
  <c r="AC151" i="56" s="1"/>
  <c r="W27" i="63"/>
  <c r="AC98" i="56" s="1"/>
  <c r="W28" i="63"/>
  <c r="AC99" i="56" s="1"/>
  <c r="W29" i="63"/>
  <c r="AC100" i="56" s="1"/>
  <c r="W30" i="63"/>
  <c r="AC101" i="56" s="1"/>
  <c r="W31" i="63"/>
  <c r="AC102" i="56" s="1"/>
  <c r="W32" i="63"/>
  <c r="AC103" i="56" s="1"/>
  <c r="W33" i="63"/>
  <c r="AC104" i="56" s="1"/>
  <c r="W34" i="63"/>
  <c r="AC105" i="56" s="1"/>
  <c r="W35" i="63"/>
  <c r="AC106" i="56" s="1"/>
  <c r="W36" i="63"/>
  <c r="AC107" i="56" s="1"/>
  <c r="W37" i="63"/>
  <c r="AC108" i="56" s="1"/>
  <c r="W38" i="63"/>
  <c r="AC109" i="56" s="1"/>
  <c r="X69" i="63"/>
  <c r="AD140" i="56" s="1"/>
  <c r="X70" i="63"/>
  <c r="AD141" i="56" s="1"/>
  <c r="X71" i="63"/>
  <c r="AD142" i="56" s="1"/>
  <c r="X72" i="63"/>
  <c r="AD143" i="56" s="1"/>
  <c r="X73" i="63"/>
  <c r="AD144" i="56" s="1"/>
  <c r="X74" i="63"/>
  <c r="AD145" i="56" s="1"/>
  <c r="X75" i="63"/>
  <c r="AD146" i="56" s="1"/>
  <c r="X76" i="63"/>
  <c r="AD147" i="56" s="1"/>
  <c r="X77" i="63"/>
  <c r="AD148" i="56" s="1"/>
  <c r="X78" i="63"/>
  <c r="AD149" i="56" s="1"/>
  <c r="X79" i="63"/>
  <c r="AD150" i="56" s="1"/>
  <c r="X80" i="63"/>
  <c r="AD151" i="56" s="1"/>
  <c r="X27" i="63"/>
  <c r="AD98" i="56" s="1"/>
  <c r="X28" i="63"/>
  <c r="AD99" i="56" s="1"/>
  <c r="X29" i="63"/>
  <c r="AD100" i="56" s="1"/>
  <c r="X30" i="63"/>
  <c r="AD101" i="56" s="1"/>
  <c r="X31" i="63"/>
  <c r="AD102" i="56" s="1"/>
  <c r="X32" i="63"/>
  <c r="AD103" i="56" s="1"/>
  <c r="X33" i="63"/>
  <c r="AD104" i="56" s="1"/>
  <c r="X34" i="63"/>
  <c r="AD105" i="56" s="1"/>
  <c r="X35" i="63"/>
  <c r="AD106" i="56" s="1"/>
  <c r="X36" i="63"/>
  <c r="AD107" i="56" s="1"/>
  <c r="X37" i="63"/>
  <c r="AD108" i="56" s="1"/>
  <c r="X38" i="63"/>
  <c r="AD109" i="56" s="1"/>
  <c r="Y69" i="63"/>
  <c r="AE140" i="56" s="1"/>
  <c r="Y70" i="63"/>
  <c r="AE141" i="56" s="1"/>
  <c r="Y71" i="63"/>
  <c r="AE142" i="56" s="1"/>
  <c r="Y72" i="63"/>
  <c r="AE143" i="56" s="1"/>
  <c r="Y73" i="63"/>
  <c r="AE144" i="56" s="1"/>
  <c r="Y74" i="63"/>
  <c r="AE145" i="56" s="1"/>
  <c r="Y75" i="63"/>
  <c r="AE146" i="56" s="1"/>
  <c r="Y76" i="63"/>
  <c r="AE147" i="56" s="1"/>
  <c r="Y77" i="63"/>
  <c r="AE148" i="56" s="1"/>
  <c r="Y78" i="63"/>
  <c r="AE149" i="56" s="1"/>
  <c r="Y79" i="63"/>
  <c r="AE150" i="56" s="1"/>
  <c r="Y80" i="63"/>
  <c r="AE151" i="56" s="1"/>
  <c r="Y27" i="63"/>
  <c r="AE98" i="56" s="1"/>
  <c r="Y28" i="63"/>
  <c r="AE99" i="56" s="1"/>
  <c r="Y29" i="63"/>
  <c r="AE100" i="56" s="1"/>
  <c r="Y30" i="63"/>
  <c r="AE101" i="56" s="1"/>
  <c r="Y31" i="63"/>
  <c r="AE102" i="56" s="1"/>
  <c r="Y32" i="63"/>
  <c r="AE103" i="56" s="1"/>
  <c r="Y33" i="63"/>
  <c r="AE104" i="56" s="1"/>
  <c r="Y34" i="63"/>
  <c r="AE105" i="56" s="1"/>
  <c r="Y35" i="63"/>
  <c r="AE106" i="56" s="1"/>
  <c r="Y36" i="63"/>
  <c r="AE107" i="56" s="1"/>
  <c r="Y37" i="63"/>
  <c r="AE108" i="56" s="1"/>
  <c r="Y38" i="63"/>
  <c r="AE109" i="56" s="1"/>
  <c r="Z69" i="63"/>
  <c r="AF140" i="56" s="1"/>
  <c r="Z70" i="63"/>
  <c r="AF141" i="56" s="1"/>
  <c r="Z71" i="63"/>
  <c r="AF142" i="56" s="1"/>
  <c r="Z72" i="63"/>
  <c r="AF143" i="56" s="1"/>
  <c r="Z73" i="63"/>
  <c r="AF144" i="56" s="1"/>
  <c r="Z74" i="63"/>
  <c r="AF145" i="56" s="1"/>
  <c r="Z75" i="63"/>
  <c r="AF146" i="56" s="1"/>
  <c r="Z76" i="63"/>
  <c r="AF147" i="56" s="1"/>
  <c r="Z77" i="63"/>
  <c r="AF148" i="56" s="1"/>
  <c r="Z78" i="63"/>
  <c r="AF149" i="56" s="1"/>
  <c r="Z79" i="63"/>
  <c r="AF150" i="56" s="1"/>
  <c r="Z80" i="63"/>
  <c r="AF151" i="56" s="1"/>
  <c r="Z27" i="63"/>
  <c r="AF98" i="56" s="1"/>
  <c r="Z28" i="63"/>
  <c r="AF99" i="56" s="1"/>
  <c r="Z29" i="63"/>
  <c r="AF100" i="56" s="1"/>
  <c r="Z30" i="63"/>
  <c r="AF101" i="56" s="1"/>
  <c r="Z31" i="63"/>
  <c r="AF102" i="56" s="1"/>
  <c r="Z32" i="63"/>
  <c r="AF103" i="56" s="1"/>
  <c r="Z33" i="63"/>
  <c r="AF104" i="56" s="1"/>
  <c r="Z34" i="63"/>
  <c r="AF105" i="56" s="1"/>
  <c r="Z35" i="63"/>
  <c r="AF106" i="56" s="1"/>
  <c r="Z36" i="63"/>
  <c r="AF107" i="56" s="1"/>
  <c r="Z37" i="63"/>
  <c r="AF108" i="56" s="1"/>
  <c r="Z38" i="63"/>
  <c r="AF109" i="56" s="1"/>
  <c r="AA69" i="63"/>
  <c r="AG140" i="56" s="1"/>
  <c r="AA70" i="63"/>
  <c r="AG141" i="56" s="1"/>
  <c r="AA71" i="63"/>
  <c r="AG142" i="56" s="1"/>
  <c r="AA72" i="63"/>
  <c r="AG143" i="56" s="1"/>
  <c r="AA73" i="63"/>
  <c r="AG144" i="56" s="1"/>
  <c r="AA74" i="63"/>
  <c r="AG145" i="56" s="1"/>
  <c r="AA75" i="63"/>
  <c r="AG146" i="56" s="1"/>
  <c r="AA76" i="63"/>
  <c r="AG147" i="56" s="1"/>
  <c r="AA77" i="63"/>
  <c r="AG148" i="56" s="1"/>
  <c r="AA78" i="63"/>
  <c r="AG149" i="56" s="1"/>
  <c r="AA79" i="63"/>
  <c r="AG150" i="56" s="1"/>
  <c r="AA80" i="63"/>
  <c r="AG151" i="56" s="1"/>
  <c r="AA27" i="63"/>
  <c r="AG98" i="56" s="1"/>
  <c r="AA28" i="63"/>
  <c r="AG99" i="56" s="1"/>
  <c r="AA29" i="63"/>
  <c r="AG100" i="56" s="1"/>
  <c r="AA30" i="63"/>
  <c r="AG101" i="56" s="1"/>
  <c r="AA31" i="63"/>
  <c r="AG102" i="56" s="1"/>
  <c r="AA32" i="63"/>
  <c r="AG103" i="56" s="1"/>
  <c r="AA33" i="63"/>
  <c r="AG104" i="56" s="1"/>
  <c r="AA34" i="63"/>
  <c r="AG105" i="56" s="1"/>
  <c r="AA35" i="63"/>
  <c r="AG106" i="56" s="1"/>
  <c r="AA36" i="63"/>
  <c r="AG107" i="56" s="1"/>
  <c r="AA37" i="63"/>
  <c r="AG108" i="56" s="1"/>
  <c r="AA38" i="63"/>
  <c r="AG109" i="56" s="1"/>
  <c r="AB69" i="63"/>
  <c r="AH140" i="56" s="1"/>
  <c r="AB70" i="63"/>
  <c r="AH141" i="56" s="1"/>
  <c r="AB71" i="63"/>
  <c r="AH142" i="56" s="1"/>
  <c r="AB72" i="63"/>
  <c r="AH143" i="56" s="1"/>
  <c r="AB73" i="63"/>
  <c r="AH144" i="56" s="1"/>
  <c r="AB74" i="63"/>
  <c r="AH145" i="56" s="1"/>
  <c r="AB75" i="63"/>
  <c r="AH146" i="56" s="1"/>
  <c r="AB76" i="63"/>
  <c r="AH147" i="56" s="1"/>
  <c r="AB77" i="63"/>
  <c r="AH148" i="56" s="1"/>
  <c r="AB78" i="63"/>
  <c r="AH149" i="56" s="1"/>
  <c r="AB79" i="63"/>
  <c r="AH150" i="56" s="1"/>
  <c r="AB80" i="63"/>
  <c r="AH151" i="56" s="1"/>
  <c r="AB27" i="63"/>
  <c r="AH98" i="56" s="1"/>
  <c r="AB28" i="63"/>
  <c r="AH99" i="56" s="1"/>
  <c r="AB29" i="63"/>
  <c r="AH100" i="56" s="1"/>
  <c r="AB30" i="63"/>
  <c r="AH101" i="56" s="1"/>
  <c r="AB31" i="63"/>
  <c r="AH102" i="56" s="1"/>
  <c r="AB32" i="63"/>
  <c r="AH103" i="56" s="1"/>
  <c r="AB33" i="63"/>
  <c r="AH104" i="56" s="1"/>
  <c r="AB34" i="63"/>
  <c r="AH105" i="56" s="1"/>
  <c r="AB35" i="63"/>
  <c r="AH106" i="56" s="1"/>
  <c r="AB36" i="63"/>
  <c r="AH107" i="56" s="1"/>
  <c r="AB37" i="63"/>
  <c r="AH108" i="56" s="1"/>
  <c r="AB38" i="63"/>
  <c r="AH109" i="56" s="1"/>
  <c r="AC69" i="63"/>
  <c r="AI140" i="56" s="1"/>
  <c r="AC70" i="63"/>
  <c r="AI141" i="56" s="1"/>
  <c r="AC71" i="63"/>
  <c r="AI142" i="56" s="1"/>
  <c r="AC72" i="63"/>
  <c r="AI143" i="56" s="1"/>
  <c r="AC73" i="63"/>
  <c r="AI144" i="56" s="1"/>
  <c r="AC74" i="63"/>
  <c r="AI145" i="56" s="1"/>
  <c r="AC75" i="63"/>
  <c r="AI146" i="56" s="1"/>
  <c r="AC76" i="63"/>
  <c r="AI147" i="56" s="1"/>
  <c r="AC77" i="63"/>
  <c r="AI148" i="56" s="1"/>
  <c r="AC78" i="63"/>
  <c r="AI149" i="56" s="1"/>
  <c r="AC79" i="63"/>
  <c r="AI150" i="56" s="1"/>
  <c r="AC80" i="63"/>
  <c r="AI151" i="56" s="1"/>
  <c r="AC27" i="63"/>
  <c r="AI98" i="56" s="1"/>
  <c r="AC28" i="63"/>
  <c r="AI99" i="56" s="1"/>
  <c r="AC29" i="63"/>
  <c r="AI100" i="56" s="1"/>
  <c r="AC30" i="63"/>
  <c r="AI101" i="56" s="1"/>
  <c r="AC31" i="63"/>
  <c r="AI102" i="56" s="1"/>
  <c r="AC32" i="63"/>
  <c r="AI103" i="56" s="1"/>
  <c r="AC33" i="63"/>
  <c r="AI104" i="56" s="1"/>
  <c r="AC34" i="63"/>
  <c r="AI105" i="56" s="1"/>
  <c r="AC35" i="63"/>
  <c r="AI106" i="56" s="1"/>
  <c r="AC36" i="63"/>
  <c r="AI107" i="56" s="1"/>
  <c r="AC37" i="63"/>
  <c r="AI108" i="56" s="1"/>
  <c r="AC38" i="63"/>
  <c r="AI109" i="56" s="1"/>
  <c r="AD69" i="63"/>
  <c r="AJ140" i="56" s="1"/>
  <c r="AD70" i="63"/>
  <c r="AJ141" i="56" s="1"/>
  <c r="AD71" i="63"/>
  <c r="AJ142" i="56" s="1"/>
  <c r="AD72" i="63"/>
  <c r="AJ143" i="56" s="1"/>
  <c r="AD73" i="63"/>
  <c r="AJ144" i="56" s="1"/>
  <c r="AD74" i="63"/>
  <c r="AJ145" i="56" s="1"/>
  <c r="AD75" i="63"/>
  <c r="AJ146" i="56" s="1"/>
  <c r="AD76" i="63"/>
  <c r="AJ147" i="56" s="1"/>
  <c r="AD77" i="63"/>
  <c r="AJ148" i="56" s="1"/>
  <c r="AD78" i="63"/>
  <c r="AJ149" i="56" s="1"/>
  <c r="AD79" i="63"/>
  <c r="AJ150" i="56" s="1"/>
  <c r="AD80" i="63"/>
  <c r="AJ151" i="56" s="1"/>
  <c r="AD27" i="63"/>
  <c r="AJ98" i="56" s="1"/>
  <c r="AD28" i="63"/>
  <c r="AJ99" i="56" s="1"/>
  <c r="AD29" i="63"/>
  <c r="AJ100" i="56" s="1"/>
  <c r="AD30" i="63"/>
  <c r="AJ101" i="56" s="1"/>
  <c r="AD31" i="63"/>
  <c r="AJ102" i="56" s="1"/>
  <c r="AD32" i="63"/>
  <c r="AJ103" i="56" s="1"/>
  <c r="AD33" i="63"/>
  <c r="AJ104" i="56" s="1"/>
  <c r="AD34" i="63"/>
  <c r="AJ105" i="56" s="1"/>
  <c r="AD35" i="63"/>
  <c r="AJ106" i="56" s="1"/>
  <c r="AD36" i="63"/>
  <c r="AJ107" i="56" s="1"/>
  <c r="AD37" i="63"/>
  <c r="AJ108" i="56" s="1"/>
  <c r="AD38" i="63"/>
  <c r="AJ109" i="56" s="1"/>
  <c r="AE69" i="63"/>
  <c r="AK140" i="56" s="1"/>
  <c r="AE70" i="63"/>
  <c r="AK141" i="56" s="1"/>
  <c r="AE71" i="63"/>
  <c r="AK142" i="56" s="1"/>
  <c r="AE72" i="63"/>
  <c r="AK143" i="56" s="1"/>
  <c r="AE73" i="63"/>
  <c r="AK144" i="56" s="1"/>
  <c r="AE74" i="63"/>
  <c r="AK145" i="56" s="1"/>
  <c r="AE75" i="63"/>
  <c r="AK146" i="56" s="1"/>
  <c r="AE76" i="63"/>
  <c r="AK147" i="56" s="1"/>
  <c r="AE77" i="63"/>
  <c r="AK148" i="56" s="1"/>
  <c r="AE78" i="63"/>
  <c r="AK149" i="56" s="1"/>
  <c r="AE79" i="63"/>
  <c r="AK150" i="56" s="1"/>
  <c r="AE80" i="63"/>
  <c r="AK151" i="56" s="1"/>
  <c r="AE27" i="63"/>
  <c r="AK98" i="56" s="1"/>
  <c r="AE28" i="63"/>
  <c r="AK99" i="56" s="1"/>
  <c r="AE29" i="63"/>
  <c r="AK100" i="56" s="1"/>
  <c r="AE30" i="63"/>
  <c r="AK101" i="56" s="1"/>
  <c r="AE31" i="63"/>
  <c r="AK102" i="56" s="1"/>
  <c r="AE32" i="63"/>
  <c r="AK103" i="56" s="1"/>
  <c r="AE33" i="63"/>
  <c r="AK104" i="56" s="1"/>
  <c r="AE34" i="63"/>
  <c r="AK105" i="56" s="1"/>
  <c r="AE35" i="63"/>
  <c r="AK106" i="56" s="1"/>
  <c r="AE36" i="63"/>
  <c r="AK107" i="56" s="1"/>
  <c r="AE37" i="63"/>
  <c r="AK108" i="56" s="1"/>
  <c r="AE38" i="63"/>
  <c r="AK109" i="56" s="1"/>
  <c r="AF69" i="63"/>
  <c r="AL140" i="56" s="1"/>
  <c r="AF70" i="63"/>
  <c r="AL141" i="56" s="1"/>
  <c r="AF71" i="63"/>
  <c r="AL142" i="56" s="1"/>
  <c r="AF72" i="63"/>
  <c r="AL143" i="56" s="1"/>
  <c r="AF73" i="63"/>
  <c r="AL144" i="56" s="1"/>
  <c r="AF74" i="63"/>
  <c r="AL145" i="56" s="1"/>
  <c r="AF75" i="63"/>
  <c r="AL146" i="56" s="1"/>
  <c r="AF76" i="63"/>
  <c r="AL147" i="56" s="1"/>
  <c r="AF77" i="63"/>
  <c r="AL148" i="56" s="1"/>
  <c r="AF78" i="63"/>
  <c r="AL149" i="56" s="1"/>
  <c r="AF79" i="63"/>
  <c r="AL150" i="56" s="1"/>
  <c r="AF80" i="63"/>
  <c r="AL151" i="56" s="1"/>
  <c r="AF27" i="63"/>
  <c r="AL98" i="56" s="1"/>
  <c r="AF28" i="63"/>
  <c r="AL99" i="56" s="1"/>
  <c r="AF29" i="63"/>
  <c r="AL100" i="56" s="1"/>
  <c r="AF30" i="63"/>
  <c r="AL101" i="56" s="1"/>
  <c r="AF31" i="63"/>
  <c r="AL102" i="56" s="1"/>
  <c r="AF32" i="63"/>
  <c r="AL103" i="56" s="1"/>
  <c r="AF33" i="63"/>
  <c r="AL104" i="56" s="1"/>
  <c r="AF34" i="63"/>
  <c r="AL105" i="56" s="1"/>
  <c r="AF35" i="63"/>
  <c r="AL106" i="56" s="1"/>
  <c r="AF36" i="63"/>
  <c r="AL107" i="56" s="1"/>
  <c r="AF37" i="63"/>
  <c r="AL108" i="56" s="1"/>
  <c r="AF38" i="63"/>
  <c r="AL109" i="56" s="1"/>
  <c r="AG69" i="63"/>
  <c r="AM140" i="56" s="1"/>
  <c r="AG70" i="63"/>
  <c r="AM141" i="56" s="1"/>
  <c r="AG71" i="63"/>
  <c r="AM142" i="56" s="1"/>
  <c r="AG72" i="63"/>
  <c r="AM143" i="56" s="1"/>
  <c r="AG73" i="63"/>
  <c r="AM144" i="56" s="1"/>
  <c r="AG74" i="63"/>
  <c r="AM145" i="56" s="1"/>
  <c r="AG75" i="63"/>
  <c r="AM146" i="56" s="1"/>
  <c r="AG76" i="63"/>
  <c r="AM147" i="56" s="1"/>
  <c r="AG77" i="63"/>
  <c r="AM148" i="56" s="1"/>
  <c r="AG78" i="63"/>
  <c r="AM149" i="56" s="1"/>
  <c r="AG79" i="63"/>
  <c r="AM150" i="56" s="1"/>
  <c r="AG80" i="63"/>
  <c r="AM151" i="56" s="1"/>
  <c r="AG27" i="63"/>
  <c r="AM98" i="56" s="1"/>
  <c r="AG28" i="63"/>
  <c r="AM99" i="56" s="1"/>
  <c r="AG29" i="63"/>
  <c r="AM100" i="56" s="1"/>
  <c r="AG30" i="63"/>
  <c r="AM101" i="56" s="1"/>
  <c r="AG31" i="63"/>
  <c r="AM102" i="56" s="1"/>
  <c r="AG32" i="63"/>
  <c r="AM103" i="56" s="1"/>
  <c r="AG33" i="63"/>
  <c r="AM104" i="56" s="1"/>
  <c r="AG34" i="63"/>
  <c r="AM105" i="56" s="1"/>
  <c r="AG35" i="63"/>
  <c r="AM106" i="56" s="1"/>
  <c r="AG36" i="63"/>
  <c r="AM107" i="56" s="1"/>
  <c r="AG37" i="63"/>
  <c r="AM108" i="56" s="1"/>
  <c r="AG38" i="63"/>
  <c r="AM109" i="56" s="1"/>
  <c r="AH69" i="63"/>
  <c r="AN140" i="56" s="1"/>
  <c r="AH70" i="63"/>
  <c r="AN141" i="56" s="1"/>
  <c r="AH71" i="63"/>
  <c r="AN142" i="56" s="1"/>
  <c r="AH72" i="63"/>
  <c r="AN143" i="56" s="1"/>
  <c r="AH73" i="63"/>
  <c r="AN144" i="56" s="1"/>
  <c r="AH74" i="63"/>
  <c r="AN145" i="56" s="1"/>
  <c r="AH75" i="63"/>
  <c r="AN146" i="56" s="1"/>
  <c r="AH76" i="63"/>
  <c r="AN147" i="56" s="1"/>
  <c r="AH77" i="63"/>
  <c r="AN148" i="56" s="1"/>
  <c r="AH78" i="63"/>
  <c r="AN149" i="56" s="1"/>
  <c r="AH79" i="63"/>
  <c r="AN150" i="56" s="1"/>
  <c r="AH80" i="63"/>
  <c r="AN151" i="56" s="1"/>
  <c r="AH27" i="63"/>
  <c r="AN98" i="56" s="1"/>
  <c r="AH28" i="63"/>
  <c r="AN99" i="56" s="1"/>
  <c r="AH29" i="63"/>
  <c r="AN100" i="56" s="1"/>
  <c r="AH30" i="63"/>
  <c r="AN101" i="56" s="1"/>
  <c r="AH31" i="63"/>
  <c r="AN102" i="56" s="1"/>
  <c r="AH32" i="63"/>
  <c r="AN103" i="56" s="1"/>
  <c r="AH33" i="63"/>
  <c r="AN104" i="56" s="1"/>
  <c r="AH34" i="63"/>
  <c r="AN105" i="56" s="1"/>
  <c r="AH35" i="63"/>
  <c r="AN106" i="56" s="1"/>
  <c r="AH36" i="63"/>
  <c r="AN107" i="56" s="1"/>
  <c r="AH37" i="63"/>
  <c r="AN108" i="56" s="1"/>
  <c r="AH38" i="63"/>
  <c r="AN109" i="56" s="1"/>
  <c r="AI69" i="63"/>
  <c r="AO140" i="56" s="1"/>
  <c r="AI70" i="63"/>
  <c r="AO141" i="56" s="1"/>
  <c r="AI71" i="63"/>
  <c r="AO142" i="56" s="1"/>
  <c r="AI72" i="63"/>
  <c r="AO143" i="56" s="1"/>
  <c r="AI73" i="63"/>
  <c r="AO144" i="56" s="1"/>
  <c r="AI74" i="63"/>
  <c r="AO145" i="56" s="1"/>
  <c r="AI75" i="63"/>
  <c r="AO146" i="56" s="1"/>
  <c r="AI76" i="63"/>
  <c r="AO147" i="56" s="1"/>
  <c r="AI77" i="63"/>
  <c r="AO148" i="56" s="1"/>
  <c r="AI78" i="63"/>
  <c r="AO149" i="56" s="1"/>
  <c r="AI79" i="63"/>
  <c r="AO150" i="56" s="1"/>
  <c r="AI80" i="63"/>
  <c r="AO151" i="56" s="1"/>
  <c r="AI27" i="63"/>
  <c r="AO98" i="56" s="1"/>
  <c r="AI28" i="63"/>
  <c r="AO99" i="56" s="1"/>
  <c r="AI29" i="63"/>
  <c r="AO100" i="56" s="1"/>
  <c r="AI30" i="63"/>
  <c r="AO101" i="56" s="1"/>
  <c r="AI31" i="63"/>
  <c r="AO102" i="56" s="1"/>
  <c r="AI32" i="63"/>
  <c r="AO103" i="56" s="1"/>
  <c r="AI33" i="63"/>
  <c r="AO104" i="56" s="1"/>
  <c r="AI34" i="63"/>
  <c r="AO105" i="56" s="1"/>
  <c r="AI35" i="63"/>
  <c r="AO106" i="56" s="1"/>
  <c r="AI36" i="63"/>
  <c r="AO107" i="56" s="1"/>
  <c r="AI37" i="63"/>
  <c r="AO108" i="56" s="1"/>
  <c r="AI38" i="63"/>
  <c r="AO109" i="56" s="1"/>
  <c r="AJ69" i="63"/>
  <c r="AP140" i="56" s="1"/>
  <c r="AJ70" i="63"/>
  <c r="AP141" i="56" s="1"/>
  <c r="AJ71" i="63"/>
  <c r="AP142" i="56" s="1"/>
  <c r="AJ72" i="63"/>
  <c r="AP143" i="56" s="1"/>
  <c r="AJ73" i="63"/>
  <c r="AP144" i="56" s="1"/>
  <c r="AJ74" i="63"/>
  <c r="AP145" i="56" s="1"/>
  <c r="AJ75" i="63"/>
  <c r="AP146" i="56" s="1"/>
  <c r="AJ76" i="63"/>
  <c r="AP147" i="56" s="1"/>
  <c r="AJ77" i="63"/>
  <c r="AP148" i="56" s="1"/>
  <c r="AJ78" i="63"/>
  <c r="AP149" i="56" s="1"/>
  <c r="AJ79" i="63"/>
  <c r="AP150" i="56" s="1"/>
  <c r="AJ80" i="63"/>
  <c r="AP151" i="56" s="1"/>
  <c r="AJ27" i="63"/>
  <c r="AP98" i="56" s="1"/>
  <c r="AJ28" i="63"/>
  <c r="AP99" i="56" s="1"/>
  <c r="AJ29" i="63"/>
  <c r="AP100" i="56" s="1"/>
  <c r="AJ30" i="63"/>
  <c r="AP101" i="56" s="1"/>
  <c r="AJ31" i="63"/>
  <c r="AP102" i="56" s="1"/>
  <c r="AJ32" i="63"/>
  <c r="AP103" i="56" s="1"/>
  <c r="AJ33" i="63"/>
  <c r="AP104" i="56" s="1"/>
  <c r="AJ34" i="63"/>
  <c r="AP105" i="56" s="1"/>
  <c r="AJ35" i="63"/>
  <c r="AP106" i="56" s="1"/>
  <c r="AJ36" i="63"/>
  <c r="AP107" i="56" s="1"/>
  <c r="AJ37" i="63"/>
  <c r="AP108" i="56" s="1"/>
  <c r="AJ38" i="63"/>
  <c r="AP109" i="56" s="1"/>
  <c r="AK69" i="63"/>
  <c r="AQ140" i="56" s="1"/>
  <c r="AK70" i="63"/>
  <c r="AQ141" i="56" s="1"/>
  <c r="AK71" i="63"/>
  <c r="AQ142" i="56" s="1"/>
  <c r="AK72" i="63"/>
  <c r="AQ143" i="56" s="1"/>
  <c r="AK73" i="63"/>
  <c r="AQ144" i="56" s="1"/>
  <c r="AK74" i="63"/>
  <c r="AQ145" i="56" s="1"/>
  <c r="AK75" i="63"/>
  <c r="AQ146" i="56" s="1"/>
  <c r="AK76" i="63"/>
  <c r="AQ147" i="56" s="1"/>
  <c r="AK77" i="63"/>
  <c r="AQ148" i="56" s="1"/>
  <c r="AK78" i="63"/>
  <c r="AQ149" i="56" s="1"/>
  <c r="AK79" i="63"/>
  <c r="AQ150" i="56" s="1"/>
  <c r="AK80" i="63"/>
  <c r="AQ151" i="56" s="1"/>
  <c r="AK27" i="63"/>
  <c r="AQ98" i="56" s="1"/>
  <c r="AK28" i="63"/>
  <c r="AQ99" i="56" s="1"/>
  <c r="AK29" i="63"/>
  <c r="AQ100" i="56" s="1"/>
  <c r="AK30" i="63"/>
  <c r="AQ101" i="56" s="1"/>
  <c r="AK31" i="63"/>
  <c r="AQ102" i="56" s="1"/>
  <c r="AK32" i="63"/>
  <c r="AQ103" i="56" s="1"/>
  <c r="AK33" i="63"/>
  <c r="AQ104" i="56" s="1"/>
  <c r="AK34" i="63"/>
  <c r="AQ105" i="56" s="1"/>
  <c r="AK35" i="63"/>
  <c r="AQ106" i="56" s="1"/>
  <c r="AK36" i="63"/>
  <c r="AQ107" i="56" s="1"/>
  <c r="AK37" i="63"/>
  <c r="AQ108" i="56" s="1"/>
  <c r="AK38" i="63"/>
  <c r="AQ109" i="56" s="1"/>
  <c r="AL69" i="63"/>
  <c r="AR140" i="56" s="1"/>
  <c r="AL70" i="63"/>
  <c r="AR141" i="56" s="1"/>
  <c r="AL71" i="63"/>
  <c r="AR142" i="56" s="1"/>
  <c r="AL72" i="63"/>
  <c r="AR143" i="56" s="1"/>
  <c r="AL73" i="63"/>
  <c r="AR144" i="56" s="1"/>
  <c r="AL74" i="63"/>
  <c r="AR145" i="56" s="1"/>
  <c r="AL75" i="63"/>
  <c r="AR146" i="56" s="1"/>
  <c r="AL76" i="63"/>
  <c r="AR147" i="56" s="1"/>
  <c r="AL77" i="63"/>
  <c r="AR148" i="56" s="1"/>
  <c r="AL78" i="63"/>
  <c r="AR149" i="56" s="1"/>
  <c r="AL79" i="63"/>
  <c r="AR150" i="56" s="1"/>
  <c r="AL80" i="63"/>
  <c r="AR151" i="56" s="1"/>
  <c r="AL27" i="63"/>
  <c r="AR98" i="56" s="1"/>
  <c r="AL28" i="63"/>
  <c r="AR99" i="56" s="1"/>
  <c r="AL29" i="63"/>
  <c r="AR100" i="56" s="1"/>
  <c r="AL30" i="63"/>
  <c r="AR101" i="56" s="1"/>
  <c r="AL31" i="63"/>
  <c r="AR102" i="56" s="1"/>
  <c r="AL32" i="63"/>
  <c r="AR103" i="56" s="1"/>
  <c r="AL33" i="63"/>
  <c r="AR104" i="56" s="1"/>
  <c r="AL34" i="63"/>
  <c r="AR105" i="56" s="1"/>
  <c r="AL35" i="63"/>
  <c r="AR106" i="56" s="1"/>
  <c r="AL36" i="63"/>
  <c r="AR107" i="56" s="1"/>
  <c r="AL37" i="63"/>
  <c r="AR108" i="56" s="1"/>
  <c r="AL38" i="63"/>
  <c r="AR109" i="56" s="1"/>
  <c r="K44" i="63"/>
  <c r="Q115" i="56" s="1"/>
  <c r="K43" i="63"/>
  <c r="Q114" i="56" s="1"/>
  <c r="K42" i="63"/>
  <c r="Q113" i="56" s="1"/>
  <c r="K41" i="63"/>
  <c r="Q112" i="56" s="1"/>
  <c r="K40" i="63"/>
  <c r="Q111" i="56" s="1"/>
  <c r="K39" i="63"/>
  <c r="Q110" i="56" s="1"/>
  <c r="L39" i="63"/>
  <c r="R110" i="56" s="1"/>
  <c r="L40" i="63"/>
  <c r="R111" i="56" s="1"/>
  <c r="L41" i="63"/>
  <c r="R112" i="56" s="1"/>
  <c r="L42" i="63"/>
  <c r="R113" i="56" s="1"/>
  <c r="L43" i="63"/>
  <c r="R114" i="56" s="1"/>
  <c r="L44" i="63"/>
  <c r="R115" i="56" s="1"/>
  <c r="M39" i="63"/>
  <c r="S110" i="56" s="1"/>
  <c r="M40" i="63"/>
  <c r="S111" i="56" s="1"/>
  <c r="M41" i="63"/>
  <c r="S112" i="56" s="1"/>
  <c r="M42" i="63"/>
  <c r="S113" i="56" s="1"/>
  <c r="M43" i="63"/>
  <c r="S114" i="56" s="1"/>
  <c r="M44" i="63"/>
  <c r="S115" i="56" s="1"/>
  <c r="N39" i="63"/>
  <c r="T110" i="56" s="1"/>
  <c r="N40" i="63"/>
  <c r="T111" i="56" s="1"/>
  <c r="N41" i="63"/>
  <c r="T112" i="56" s="1"/>
  <c r="N42" i="63"/>
  <c r="T113" i="56" s="1"/>
  <c r="N43" i="63"/>
  <c r="T114" i="56" s="1"/>
  <c r="N44" i="63"/>
  <c r="T115" i="56" s="1"/>
  <c r="O39" i="63"/>
  <c r="U110" i="56" s="1"/>
  <c r="O40" i="63"/>
  <c r="U111" i="56" s="1"/>
  <c r="O41" i="63"/>
  <c r="U112" i="56" s="1"/>
  <c r="O42" i="63"/>
  <c r="U113" i="56" s="1"/>
  <c r="O43" i="63"/>
  <c r="U114" i="56" s="1"/>
  <c r="O44" i="63"/>
  <c r="U115" i="56" s="1"/>
  <c r="P39" i="63"/>
  <c r="V110" i="56" s="1"/>
  <c r="P40" i="63"/>
  <c r="V111" i="56" s="1"/>
  <c r="P41" i="63"/>
  <c r="V112" i="56" s="1"/>
  <c r="P42" i="63"/>
  <c r="V113" i="56" s="1"/>
  <c r="P43" i="63"/>
  <c r="V114" i="56" s="1"/>
  <c r="P44" i="63"/>
  <c r="V115" i="56" s="1"/>
  <c r="Q39" i="63"/>
  <c r="W110" i="56" s="1"/>
  <c r="Q40" i="63"/>
  <c r="W111" i="56" s="1"/>
  <c r="Q41" i="63"/>
  <c r="W112" i="56" s="1"/>
  <c r="Q42" i="63"/>
  <c r="W113" i="56" s="1"/>
  <c r="Q43" i="63"/>
  <c r="W114" i="56" s="1"/>
  <c r="Q44" i="63"/>
  <c r="W115" i="56" s="1"/>
  <c r="R39" i="63"/>
  <c r="X110" i="56" s="1"/>
  <c r="R40" i="63"/>
  <c r="X111" i="56" s="1"/>
  <c r="R41" i="63"/>
  <c r="X112" i="56" s="1"/>
  <c r="R42" i="63"/>
  <c r="X113" i="56" s="1"/>
  <c r="R43" i="63"/>
  <c r="X114" i="56" s="1"/>
  <c r="R44" i="63"/>
  <c r="X115" i="56" s="1"/>
  <c r="S39" i="63"/>
  <c r="Y110" i="56" s="1"/>
  <c r="S40" i="63"/>
  <c r="Y111" i="56" s="1"/>
  <c r="S41" i="63"/>
  <c r="Y112" i="56" s="1"/>
  <c r="S42" i="63"/>
  <c r="Y113" i="56" s="1"/>
  <c r="S43" i="63"/>
  <c r="Y114" i="56" s="1"/>
  <c r="S44" i="63"/>
  <c r="Y115" i="56" s="1"/>
  <c r="T39" i="63"/>
  <c r="Z110" i="56" s="1"/>
  <c r="T40" i="63"/>
  <c r="Z111" i="56" s="1"/>
  <c r="T41" i="63"/>
  <c r="Z112" i="56" s="1"/>
  <c r="T42" i="63"/>
  <c r="Z113" i="56" s="1"/>
  <c r="T43" i="63"/>
  <c r="Z114" i="56" s="1"/>
  <c r="T44" i="63"/>
  <c r="Z115" i="56" s="1"/>
  <c r="U39" i="63"/>
  <c r="AA110" i="56" s="1"/>
  <c r="U40" i="63"/>
  <c r="AA111" i="56" s="1"/>
  <c r="U41" i="63"/>
  <c r="AA112" i="56" s="1"/>
  <c r="U42" i="63"/>
  <c r="AA113" i="56" s="1"/>
  <c r="U43" i="63"/>
  <c r="AA114" i="56" s="1"/>
  <c r="U44" i="63"/>
  <c r="AA115" i="56" s="1"/>
  <c r="V39" i="63"/>
  <c r="AB110" i="56" s="1"/>
  <c r="V40" i="63"/>
  <c r="AB111" i="56" s="1"/>
  <c r="V41" i="63"/>
  <c r="AB112" i="56" s="1"/>
  <c r="V42" i="63"/>
  <c r="AB113" i="56" s="1"/>
  <c r="V43" i="63"/>
  <c r="AB114" i="56" s="1"/>
  <c r="V44" i="63"/>
  <c r="AB115" i="56" s="1"/>
  <c r="W39" i="63"/>
  <c r="AC110" i="56" s="1"/>
  <c r="W40" i="63"/>
  <c r="AC111" i="56" s="1"/>
  <c r="W41" i="63"/>
  <c r="AC112" i="56" s="1"/>
  <c r="W42" i="63"/>
  <c r="AC113" i="56" s="1"/>
  <c r="W43" i="63"/>
  <c r="AC114" i="56" s="1"/>
  <c r="W44" i="63"/>
  <c r="AC115" i="56" s="1"/>
  <c r="X39" i="63"/>
  <c r="AD110" i="56" s="1"/>
  <c r="X40" i="63"/>
  <c r="AD111" i="56" s="1"/>
  <c r="X41" i="63"/>
  <c r="AD112" i="56" s="1"/>
  <c r="X42" i="63"/>
  <c r="AD113" i="56" s="1"/>
  <c r="X43" i="63"/>
  <c r="AD114" i="56" s="1"/>
  <c r="X44" i="63"/>
  <c r="AD115" i="56" s="1"/>
  <c r="Y39" i="63"/>
  <c r="AE110" i="56" s="1"/>
  <c r="Y40" i="63"/>
  <c r="AE111" i="56" s="1"/>
  <c r="Y41" i="63"/>
  <c r="AE112" i="56" s="1"/>
  <c r="Y42" i="63"/>
  <c r="AE113" i="56" s="1"/>
  <c r="Y43" i="63"/>
  <c r="AE114" i="56" s="1"/>
  <c r="Y44" i="63"/>
  <c r="AE115" i="56" s="1"/>
  <c r="Z39" i="63"/>
  <c r="AF110" i="56" s="1"/>
  <c r="Z40" i="63"/>
  <c r="AF111" i="56" s="1"/>
  <c r="Z41" i="63"/>
  <c r="AF112" i="56" s="1"/>
  <c r="Z42" i="63"/>
  <c r="AF113" i="56" s="1"/>
  <c r="Z43" i="63"/>
  <c r="AF114" i="56" s="1"/>
  <c r="Z44" i="63"/>
  <c r="AF115" i="56" s="1"/>
  <c r="AA39" i="63"/>
  <c r="AG110" i="56" s="1"/>
  <c r="AA40" i="63"/>
  <c r="AG111" i="56" s="1"/>
  <c r="AA41" i="63"/>
  <c r="AG112" i="56" s="1"/>
  <c r="AA42" i="63"/>
  <c r="AG113" i="56" s="1"/>
  <c r="AA43" i="63"/>
  <c r="AG114" i="56" s="1"/>
  <c r="AA44" i="63"/>
  <c r="AG115" i="56" s="1"/>
  <c r="AB39" i="63"/>
  <c r="AH110" i="56" s="1"/>
  <c r="AB40" i="63"/>
  <c r="AH111" i="56" s="1"/>
  <c r="AB41" i="63"/>
  <c r="AH112" i="56" s="1"/>
  <c r="AB42" i="63"/>
  <c r="AH113" i="56" s="1"/>
  <c r="AB43" i="63"/>
  <c r="AH114" i="56" s="1"/>
  <c r="AB44" i="63"/>
  <c r="AH115" i="56" s="1"/>
  <c r="AC39" i="63"/>
  <c r="AI110" i="56" s="1"/>
  <c r="AC40" i="63"/>
  <c r="AI111" i="56" s="1"/>
  <c r="AC41" i="63"/>
  <c r="AI112" i="56" s="1"/>
  <c r="AC42" i="63"/>
  <c r="AI113" i="56" s="1"/>
  <c r="AC43" i="63"/>
  <c r="AI114" i="56" s="1"/>
  <c r="AC44" i="63"/>
  <c r="AI115" i="56" s="1"/>
  <c r="AD39" i="63"/>
  <c r="AJ110" i="56" s="1"/>
  <c r="AD40" i="63"/>
  <c r="AJ111" i="56" s="1"/>
  <c r="AD41" i="63"/>
  <c r="AJ112" i="56" s="1"/>
  <c r="AD42" i="63"/>
  <c r="AJ113" i="56" s="1"/>
  <c r="AD43" i="63"/>
  <c r="AJ114" i="56" s="1"/>
  <c r="AD44" i="63"/>
  <c r="AJ115" i="56" s="1"/>
  <c r="AE39" i="63"/>
  <c r="AK110" i="56" s="1"/>
  <c r="AE40" i="63"/>
  <c r="AK111" i="56" s="1"/>
  <c r="AE41" i="63"/>
  <c r="AK112" i="56" s="1"/>
  <c r="AE42" i="63"/>
  <c r="AK113" i="56" s="1"/>
  <c r="AE43" i="63"/>
  <c r="AK114" i="56" s="1"/>
  <c r="AE44" i="63"/>
  <c r="AK115" i="56" s="1"/>
  <c r="AF39" i="63"/>
  <c r="AL110" i="56" s="1"/>
  <c r="AF40" i="63"/>
  <c r="AL111" i="56" s="1"/>
  <c r="AF41" i="63"/>
  <c r="AL112" i="56" s="1"/>
  <c r="AF42" i="63"/>
  <c r="AL113" i="56" s="1"/>
  <c r="AF43" i="63"/>
  <c r="AL114" i="56" s="1"/>
  <c r="AF44" i="63"/>
  <c r="AL115" i="56" s="1"/>
  <c r="AG39" i="63"/>
  <c r="AM110" i="56" s="1"/>
  <c r="AG40" i="63"/>
  <c r="AM111" i="56" s="1"/>
  <c r="AG41" i="63"/>
  <c r="AM112" i="56" s="1"/>
  <c r="AG42" i="63"/>
  <c r="AM113" i="56" s="1"/>
  <c r="AG43" i="63"/>
  <c r="AM114" i="56" s="1"/>
  <c r="AG44" i="63"/>
  <c r="AM115" i="56" s="1"/>
  <c r="AH39" i="63"/>
  <c r="AN110" i="56" s="1"/>
  <c r="AH40" i="63"/>
  <c r="AN111" i="56" s="1"/>
  <c r="AH41" i="63"/>
  <c r="AN112" i="56" s="1"/>
  <c r="AH42" i="63"/>
  <c r="AN113" i="56" s="1"/>
  <c r="AH43" i="63"/>
  <c r="AN114" i="56" s="1"/>
  <c r="AH44" i="63"/>
  <c r="AN115" i="56" s="1"/>
  <c r="AI39" i="63"/>
  <c r="AO110" i="56" s="1"/>
  <c r="AI40" i="63"/>
  <c r="AO111" i="56" s="1"/>
  <c r="AI41" i="63"/>
  <c r="AO112" i="56" s="1"/>
  <c r="AI42" i="63"/>
  <c r="AO113" i="56" s="1"/>
  <c r="AI43" i="63"/>
  <c r="AO114" i="56" s="1"/>
  <c r="AI44" i="63"/>
  <c r="AO115" i="56" s="1"/>
  <c r="AJ39" i="63"/>
  <c r="AP110" i="56" s="1"/>
  <c r="AJ40" i="63"/>
  <c r="AP111" i="56" s="1"/>
  <c r="AJ41" i="63"/>
  <c r="AP112" i="56" s="1"/>
  <c r="AJ42" i="63"/>
  <c r="AP113" i="56" s="1"/>
  <c r="AJ43" i="63"/>
  <c r="AP114" i="56" s="1"/>
  <c r="AJ44" i="63"/>
  <c r="AP115" i="56" s="1"/>
  <c r="AK39" i="63"/>
  <c r="AQ110" i="56" s="1"/>
  <c r="AK40" i="63"/>
  <c r="AQ111" i="56" s="1"/>
  <c r="AK41" i="63"/>
  <c r="AQ112" i="56" s="1"/>
  <c r="AK42" i="63"/>
  <c r="AQ113" i="56" s="1"/>
  <c r="AK43" i="63"/>
  <c r="AQ114" i="56" s="1"/>
  <c r="AK44" i="63"/>
  <c r="AQ115" i="56" s="1"/>
  <c r="AL39" i="63"/>
  <c r="AR110" i="56" s="1"/>
  <c r="AL40" i="63"/>
  <c r="AR111" i="56" s="1"/>
  <c r="AL41" i="63"/>
  <c r="AR112" i="56" s="1"/>
  <c r="AL42" i="63"/>
  <c r="AR113" i="56" s="1"/>
  <c r="AL43" i="63"/>
  <c r="AR114" i="56" s="1"/>
  <c r="AL44" i="63"/>
  <c r="AR115" i="56" s="1"/>
  <c r="K48" i="63"/>
  <c r="Q119" i="56" s="1"/>
  <c r="K47" i="63"/>
  <c r="Q118" i="56" s="1"/>
  <c r="K46" i="63"/>
  <c r="Q117" i="56" s="1"/>
  <c r="K45" i="63"/>
  <c r="L45" i="63"/>
  <c r="L46" i="63"/>
  <c r="R117" i="56" s="1"/>
  <c r="L47" i="63"/>
  <c r="R118" i="56" s="1"/>
  <c r="L48" i="63"/>
  <c r="R119" i="56" s="1"/>
  <c r="M45" i="63"/>
  <c r="M46" i="63"/>
  <c r="S117" i="56" s="1"/>
  <c r="M47" i="63"/>
  <c r="S118" i="56" s="1"/>
  <c r="M48" i="63"/>
  <c r="S119" i="56" s="1"/>
  <c r="N45" i="63"/>
  <c r="N46" i="63"/>
  <c r="T117" i="56" s="1"/>
  <c r="N47" i="63"/>
  <c r="T118" i="56" s="1"/>
  <c r="N48" i="63"/>
  <c r="T119" i="56" s="1"/>
  <c r="O45" i="63"/>
  <c r="O46" i="63"/>
  <c r="U117" i="56" s="1"/>
  <c r="O47" i="63"/>
  <c r="U118" i="56" s="1"/>
  <c r="O48" i="63"/>
  <c r="U119" i="56" s="1"/>
  <c r="P45" i="63"/>
  <c r="P46" i="63"/>
  <c r="V117" i="56" s="1"/>
  <c r="P47" i="63"/>
  <c r="V118" i="56" s="1"/>
  <c r="P48" i="63"/>
  <c r="V119" i="56" s="1"/>
  <c r="Q45" i="63"/>
  <c r="Q46" i="63"/>
  <c r="W117" i="56" s="1"/>
  <c r="Q47" i="63"/>
  <c r="W118" i="56" s="1"/>
  <c r="Q48" i="63"/>
  <c r="W119" i="56" s="1"/>
  <c r="R45" i="63"/>
  <c r="R46" i="63"/>
  <c r="X117" i="56" s="1"/>
  <c r="R47" i="63"/>
  <c r="X118" i="56" s="1"/>
  <c r="R48" i="63"/>
  <c r="X119" i="56" s="1"/>
  <c r="S45" i="63"/>
  <c r="S46" i="63"/>
  <c r="Y117" i="56" s="1"/>
  <c r="S47" i="63"/>
  <c r="Y118" i="56" s="1"/>
  <c r="S48" i="63"/>
  <c r="Y119" i="56" s="1"/>
  <c r="T45" i="63"/>
  <c r="T46" i="63"/>
  <c r="Z117" i="56" s="1"/>
  <c r="T47" i="63"/>
  <c r="Z118" i="56" s="1"/>
  <c r="T48" i="63"/>
  <c r="Z119" i="56" s="1"/>
  <c r="U45" i="63"/>
  <c r="U46" i="63"/>
  <c r="AA117" i="56" s="1"/>
  <c r="U47" i="63"/>
  <c r="AA118" i="56" s="1"/>
  <c r="U48" i="63"/>
  <c r="AA119" i="56" s="1"/>
  <c r="V45" i="63"/>
  <c r="V46" i="63"/>
  <c r="AB117" i="56" s="1"/>
  <c r="V47" i="63"/>
  <c r="AB118" i="56" s="1"/>
  <c r="V48" i="63"/>
  <c r="AB119" i="56" s="1"/>
  <c r="W45" i="63"/>
  <c r="W46" i="63"/>
  <c r="AC117" i="56" s="1"/>
  <c r="W47" i="63"/>
  <c r="AC118" i="56" s="1"/>
  <c r="W48" i="63"/>
  <c r="AC119" i="56" s="1"/>
  <c r="X45" i="63"/>
  <c r="X46" i="63"/>
  <c r="AD117" i="56" s="1"/>
  <c r="X47" i="63"/>
  <c r="AD118" i="56" s="1"/>
  <c r="X48" i="63"/>
  <c r="AD119" i="56" s="1"/>
  <c r="Y45" i="63"/>
  <c r="Y46" i="63"/>
  <c r="AE117" i="56" s="1"/>
  <c r="Y47" i="63"/>
  <c r="AE118" i="56" s="1"/>
  <c r="Y48" i="63"/>
  <c r="AE119" i="56" s="1"/>
  <c r="Z45" i="63"/>
  <c r="Z46" i="63"/>
  <c r="AF117" i="56" s="1"/>
  <c r="Z47" i="63"/>
  <c r="AF118" i="56" s="1"/>
  <c r="Z48" i="63"/>
  <c r="AF119" i="56" s="1"/>
  <c r="AA45" i="63"/>
  <c r="AA46" i="63"/>
  <c r="AG117" i="56" s="1"/>
  <c r="AA47" i="63"/>
  <c r="AG118" i="56" s="1"/>
  <c r="AA48" i="63"/>
  <c r="AG119" i="56" s="1"/>
  <c r="AB45" i="63"/>
  <c r="AB46" i="63"/>
  <c r="AH117" i="56" s="1"/>
  <c r="AB47" i="63"/>
  <c r="AH118" i="56" s="1"/>
  <c r="AB48" i="63"/>
  <c r="AH119" i="56" s="1"/>
  <c r="AC45" i="63"/>
  <c r="AC46" i="63"/>
  <c r="AI117" i="56" s="1"/>
  <c r="AC47" i="63"/>
  <c r="AI118" i="56" s="1"/>
  <c r="AC48" i="63"/>
  <c r="AI119" i="56" s="1"/>
  <c r="AD45" i="63"/>
  <c r="AD46" i="63"/>
  <c r="AJ117" i="56" s="1"/>
  <c r="AD47" i="63"/>
  <c r="AJ118" i="56" s="1"/>
  <c r="AD48" i="63"/>
  <c r="AJ119" i="56" s="1"/>
  <c r="AE45" i="63"/>
  <c r="AE46" i="63"/>
  <c r="AK117" i="56" s="1"/>
  <c r="AE47" i="63"/>
  <c r="AK118" i="56" s="1"/>
  <c r="AE48" i="63"/>
  <c r="AK119" i="56" s="1"/>
  <c r="AF45" i="63"/>
  <c r="AF46" i="63"/>
  <c r="AL117" i="56" s="1"/>
  <c r="AF47" i="63"/>
  <c r="AL118" i="56" s="1"/>
  <c r="AF48" i="63"/>
  <c r="AL119" i="56" s="1"/>
  <c r="AG45" i="63"/>
  <c r="AG46" i="63"/>
  <c r="AM117" i="56" s="1"/>
  <c r="AG47" i="63"/>
  <c r="AM118" i="56" s="1"/>
  <c r="AG48" i="63"/>
  <c r="AM119" i="56" s="1"/>
  <c r="AH45" i="63"/>
  <c r="AH46" i="63"/>
  <c r="AN117" i="56" s="1"/>
  <c r="AH47" i="63"/>
  <c r="AN118" i="56" s="1"/>
  <c r="AH48" i="63"/>
  <c r="AN119" i="56" s="1"/>
  <c r="AI45" i="63"/>
  <c r="AI46" i="63"/>
  <c r="AO117" i="56" s="1"/>
  <c r="AI47" i="63"/>
  <c r="AO118" i="56" s="1"/>
  <c r="AI48" i="63"/>
  <c r="AO119" i="56" s="1"/>
  <c r="AJ45" i="63"/>
  <c r="AJ46" i="63"/>
  <c r="AP117" i="56" s="1"/>
  <c r="AJ47" i="63"/>
  <c r="AP118" i="56" s="1"/>
  <c r="AJ48" i="63"/>
  <c r="AP119" i="56" s="1"/>
  <c r="AK45" i="63"/>
  <c r="AK46" i="63"/>
  <c r="AQ117" i="56" s="1"/>
  <c r="AK47" i="63"/>
  <c r="AQ118" i="56" s="1"/>
  <c r="AK48" i="63"/>
  <c r="AQ119" i="56" s="1"/>
  <c r="AL45" i="63"/>
  <c r="AL46" i="63"/>
  <c r="AR117" i="56" s="1"/>
  <c r="AL47" i="63"/>
  <c r="AR118" i="56" s="1"/>
  <c r="AL48" i="63"/>
  <c r="AR119" i="56" s="1"/>
  <c r="K55" i="63"/>
  <c r="Q126" i="56" s="1"/>
  <c r="K54" i="63"/>
  <c r="Q125" i="56" s="1"/>
  <c r="K53" i="63"/>
  <c r="Q124" i="56" s="1"/>
  <c r="K52" i="63"/>
  <c r="Q123" i="56" s="1"/>
  <c r="K51" i="63"/>
  <c r="Q122" i="56" s="1"/>
  <c r="L51" i="63"/>
  <c r="R122" i="56" s="1"/>
  <c r="L52" i="63"/>
  <c r="R123" i="56" s="1"/>
  <c r="L53" i="63"/>
  <c r="R124" i="56" s="1"/>
  <c r="L54" i="63"/>
  <c r="R125" i="56" s="1"/>
  <c r="L55" i="63"/>
  <c r="R126" i="56" s="1"/>
  <c r="M51" i="63"/>
  <c r="S122" i="56" s="1"/>
  <c r="M52" i="63"/>
  <c r="S123" i="56" s="1"/>
  <c r="M53" i="63"/>
  <c r="S124" i="56" s="1"/>
  <c r="M54" i="63"/>
  <c r="S125" i="56" s="1"/>
  <c r="M55" i="63"/>
  <c r="S126" i="56" s="1"/>
  <c r="N51" i="63"/>
  <c r="T122" i="56" s="1"/>
  <c r="N52" i="63"/>
  <c r="T123" i="56" s="1"/>
  <c r="N53" i="63"/>
  <c r="T124" i="56" s="1"/>
  <c r="N54" i="63"/>
  <c r="T125" i="56" s="1"/>
  <c r="N55" i="63"/>
  <c r="T126" i="56" s="1"/>
  <c r="O51" i="63"/>
  <c r="U122" i="56" s="1"/>
  <c r="O52" i="63"/>
  <c r="U123" i="56" s="1"/>
  <c r="O53" i="63"/>
  <c r="U124" i="56" s="1"/>
  <c r="O54" i="63"/>
  <c r="U125" i="56" s="1"/>
  <c r="O55" i="63"/>
  <c r="U126" i="56" s="1"/>
  <c r="P51" i="63"/>
  <c r="V122" i="56" s="1"/>
  <c r="P52" i="63"/>
  <c r="V123" i="56" s="1"/>
  <c r="P53" i="63"/>
  <c r="V124" i="56" s="1"/>
  <c r="P54" i="63"/>
  <c r="V125" i="56" s="1"/>
  <c r="P55" i="63"/>
  <c r="V126" i="56" s="1"/>
  <c r="Q51" i="63"/>
  <c r="W122" i="56" s="1"/>
  <c r="Q52" i="63"/>
  <c r="W123" i="56" s="1"/>
  <c r="Q53" i="63"/>
  <c r="W124" i="56" s="1"/>
  <c r="Q54" i="63"/>
  <c r="W125" i="56" s="1"/>
  <c r="Q55" i="63"/>
  <c r="W126" i="56" s="1"/>
  <c r="R51" i="63"/>
  <c r="X122" i="56" s="1"/>
  <c r="R52" i="63"/>
  <c r="X123" i="56" s="1"/>
  <c r="R53" i="63"/>
  <c r="X124" i="56" s="1"/>
  <c r="R54" i="63"/>
  <c r="X125" i="56" s="1"/>
  <c r="R55" i="63"/>
  <c r="X126" i="56" s="1"/>
  <c r="S51" i="63"/>
  <c r="Y122" i="56" s="1"/>
  <c r="S52" i="63"/>
  <c r="Y123" i="56" s="1"/>
  <c r="S53" i="63"/>
  <c r="Y124" i="56" s="1"/>
  <c r="S54" i="63"/>
  <c r="Y125" i="56" s="1"/>
  <c r="S55" i="63"/>
  <c r="Y126" i="56" s="1"/>
  <c r="T51" i="63"/>
  <c r="Z122" i="56" s="1"/>
  <c r="T52" i="63"/>
  <c r="Z123" i="56" s="1"/>
  <c r="T53" i="63"/>
  <c r="Z124" i="56" s="1"/>
  <c r="T54" i="63"/>
  <c r="Z125" i="56" s="1"/>
  <c r="T55" i="63"/>
  <c r="Z126" i="56" s="1"/>
  <c r="U51" i="63"/>
  <c r="AA122" i="56" s="1"/>
  <c r="U52" i="63"/>
  <c r="AA123" i="56" s="1"/>
  <c r="U53" i="63"/>
  <c r="AA124" i="56" s="1"/>
  <c r="U54" i="63"/>
  <c r="AA125" i="56" s="1"/>
  <c r="U55" i="63"/>
  <c r="AA126" i="56" s="1"/>
  <c r="V51" i="63"/>
  <c r="AB122" i="56" s="1"/>
  <c r="V52" i="63"/>
  <c r="AB123" i="56" s="1"/>
  <c r="V53" i="63"/>
  <c r="AB124" i="56" s="1"/>
  <c r="V54" i="63"/>
  <c r="AB125" i="56" s="1"/>
  <c r="V55" i="63"/>
  <c r="AB126" i="56" s="1"/>
  <c r="W51" i="63"/>
  <c r="AC122" i="56" s="1"/>
  <c r="W52" i="63"/>
  <c r="AC123" i="56" s="1"/>
  <c r="W53" i="63"/>
  <c r="AC124" i="56" s="1"/>
  <c r="W54" i="63"/>
  <c r="AC125" i="56" s="1"/>
  <c r="W55" i="63"/>
  <c r="AC126" i="56" s="1"/>
  <c r="X51" i="63"/>
  <c r="AD122" i="56" s="1"/>
  <c r="X52" i="63"/>
  <c r="AD123" i="56" s="1"/>
  <c r="X53" i="63"/>
  <c r="AD124" i="56" s="1"/>
  <c r="X54" i="63"/>
  <c r="AD125" i="56" s="1"/>
  <c r="X55" i="63"/>
  <c r="AD126" i="56" s="1"/>
  <c r="Y51" i="63"/>
  <c r="AE122" i="56" s="1"/>
  <c r="Y52" i="63"/>
  <c r="AE123" i="56" s="1"/>
  <c r="Y53" i="63"/>
  <c r="AE124" i="56" s="1"/>
  <c r="Y54" i="63"/>
  <c r="AE125" i="56" s="1"/>
  <c r="Y55" i="63"/>
  <c r="AE126" i="56" s="1"/>
  <c r="Z51" i="63"/>
  <c r="AF122" i="56" s="1"/>
  <c r="Z52" i="63"/>
  <c r="AF123" i="56" s="1"/>
  <c r="Z53" i="63"/>
  <c r="AF124" i="56" s="1"/>
  <c r="Z54" i="63"/>
  <c r="AF125" i="56" s="1"/>
  <c r="Z55" i="63"/>
  <c r="AF126" i="56" s="1"/>
  <c r="AA51" i="63"/>
  <c r="AG122" i="56" s="1"/>
  <c r="AA52" i="63"/>
  <c r="AG123" i="56" s="1"/>
  <c r="AA53" i="63"/>
  <c r="AG124" i="56" s="1"/>
  <c r="AA54" i="63"/>
  <c r="AG125" i="56" s="1"/>
  <c r="AA55" i="63"/>
  <c r="AG126" i="56" s="1"/>
  <c r="AB51" i="63"/>
  <c r="AH122" i="56" s="1"/>
  <c r="AB52" i="63"/>
  <c r="AH123" i="56" s="1"/>
  <c r="AB53" i="63"/>
  <c r="AH124" i="56" s="1"/>
  <c r="AB54" i="63"/>
  <c r="AH125" i="56" s="1"/>
  <c r="AB55" i="63"/>
  <c r="AH126" i="56" s="1"/>
  <c r="AC51" i="63"/>
  <c r="AI122" i="56" s="1"/>
  <c r="AC52" i="63"/>
  <c r="AI123" i="56" s="1"/>
  <c r="AC53" i="63"/>
  <c r="AI124" i="56" s="1"/>
  <c r="AC54" i="63"/>
  <c r="AI125" i="56" s="1"/>
  <c r="AC55" i="63"/>
  <c r="AI126" i="56" s="1"/>
  <c r="AD51" i="63"/>
  <c r="AJ122" i="56" s="1"/>
  <c r="AD52" i="63"/>
  <c r="AJ123" i="56" s="1"/>
  <c r="AD53" i="63"/>
  <c r="AJ124" i="56" s="1"/>
  <c r="AD54" i="63"/>
  <c r="AJ125" i="56" s="1"/>
  <c r="AD55" i="63"/>
  <c r="AJ126" i="56" s="1"/>
  <c r="AE51" i="63"/>
  <c r="AK122" i="56" s="1"/>
  <c r="AE52" i="63"/>
  <c r="AK123" i="56" s="1"/>
  <c r="AE53" i="63"/>
  <c r="AK124" i="56" s="1"/>
  <c r="AE54" i="63"/>
  <c r="AK125" i="56" s="1"/>
  <c r="AE55" i="63"/>
  <c r="AK126" i="56" s="1"/>
  <c r="AF51" i="63"/>
  <c r="AL122" i="56" s="1"/>
  <c r="AF52" i="63"/>
  <c r="AL123" i="56" s="1"/>
  <c r="AF53" i="63"/>
  <c r="AL124" i="56" s="1"/>
  <c r="AF54" i="63"/>
  <c r="AL125" i="56" s="1"/>
  <c r="AF55" i="63"/>
  <c r="AL126" i="56" s="1"/>
  <c r="AG51" i="63"/>
  <c r="AM122" i="56" s="1"/>
  <c r="AG52" i="63"/>
  <c r="AM123" i="56" s="1"/>
  <c r="AG53" i="63"/>
  <c r="AM124" i="56" s="1"/>
  <c r="AG54" i="63"/>
  <c r="AM125" i="56" s="1"/>
  <c r="AG55" i="63"/>
  <c r="AM126" i="56" s="1"/>
  <c r="AH51" i="63"/>
  <c r="AN122" i="56" s="1"/>
  <c r="AH52" i="63"/>
  <c r="AN123" i="56" s="1"/>
  <c r="AH53" i="63"/>
  <c r="AN124" i="56" s="1"/>
  <c r="AH54" i="63"/>
  <c r="AN125" i="56" s="1"/>
  <c r="AH55" i="63"/>
  <c r="AN126" i="56" s="1"/>
  <c r="AI51" i="63"/>
  <c r="AO122" i="56" s="1"/>
  <c r="AI52" i="63"/>
  <c r="AO123" i="56" s="1"/>
  <c r="AI53" i="63"/>
  <c r="AO124" i="56" s="1"/>
  <c r="AI54" i="63"/>
  <c r="AO125" i="56" s="1"/>
  <c r="AI55" i="63"/>
  <c r="AO126" i="56" s="1"/>
  <c r="AJ51" i="63"/>
  <c r="AP122" i="56" s="1"/>
  <c r="AJ52" i="63"/>
  <c r="AP123" i="56" s="1"/>
  <c r="AJ53" i="63"/>
  <c r="AP124" i="56" s="1"/>
  <c r="AJ54" i="63"/>
  <c r="AP125" i="56" s="1"/>
  <c r="AJ55" i="63"/>
  <c r="AP126" i="56" s="1"/>
  <c r="AK51" i="63"/>
  <c r="AQ122" i="56" s="1"/>
  <c r="AK52" i="63"/>
  <c r="AQ123" i="56" s="1"/>
  <c r="AK53" i="63"/>
  <c r="AQ124" i="56" s="1"/>
  <c r="AK54" i="63"/>
  <c r="AQ125" i="56" s="1"/>
  <c r="AK55" i="63"/>
  <c r="AQ126" i="56" s="1"/>
  <c r="AL51" i="63"/>
  <c r="AR122" i="56" s="1"/>
  <c r="AL52" i="63"/>
  <c r="AR123" i="56" s="1"/>
  <c r="AL53" i="63"/>
  <c r="AR124" i="56" s="1"/>
  <c r="AL54" i="63"/>
  <c r="AR125" i="56" s="1"/>
  <c r="AL55" i="63"/>
  <c r="AR126" i="56" s="1"/>
  <c r="O69" i="49"/>
  <c r="L68" i="63"/>
  <c r="R139" i="56" s="1"/>
  <c r="P69" i="49"/>
  <c r="M68" i="63"/>
  <c r="S139" i="56" s="1"/>
  <c r="Q69" i="49"/>
  <c r="N68" i="63"/>
  <c r="T139" i="56" s="1"/>
  <c r="R69" i="49"/>
  <c r="O68" i="63"/>
  <c r="U139" i="56" s="1"/>
  <c r="S69" i="49"/>
  <c r="P68" i="63"/>
  <c r="V139" i="56" s="1"/>
  <c r="T69" i="49"/>
  <c r="Q68" i="63"/>
  <c r="W139" i="56" s="1"/>
  <c r="U69" i="49"/>
  <c r="R68" i="63"/>
  <c r="X139" i="56" s="1"/>
  <c r="V69" i="49"/>
  <c r="S68" i="63"/>
  <c r="Y139" i="56" s="1"/>
  <c r="W69" i="49"/>
  <c r="T68" i="63"/>
  <c r="Z139" i="56" s="1"/>
  <c r="X69" i="49"/>
  <c r="U68" i="63"/>
  <c r="AA139" i="56" s="1"/>
  <c r="Y69" i="49"/>
  <c r="V68" i="63"/>
  <c r="AB139" i="56" s="1"/>
  <c r="Z69" i="49"/>
  <c r="W68" i="63"/>
  <c r="AC139" i="56" s="1"/>
  <c r="AA69" i="49"/>
  <c r="X68" i="63"/>
  <c r="AD139" i="56" s="1"/>
  <c r="AB69" i="49"/>
  <c r="Y68" i="63"/>
  <c r="AE139" i="56" s="1"/>
  <c r="AC69" i="49"/>
  <c r="Z68" i="63"/>
  <c r="AF139" i="56" s="1"/>
  <c r="AD69" i="49"/>
  <c r="AA68" i="63"/>
  <c r="AG139" i="56" s="1"/>
  <c r="AE69" i="49"/>
  <c r="AB68" i="63"/>
  <c r="AH139" i="56" s="1"/>
  <c r="AF69" i="49"/>
  <c r="AC68" i="63"/>
  <c r="AI139" i="56" s="1"/>
  <c r="AG69" i="49"/>
  <c r="AD68" i="63"/>
  <c r="AJ139" i="56" s="1"/>
  <c r="AH69" i="49"/>
  <c r="AE68" i="63"/>
  <c r="AK139" i="56" s="1"/>
  <c r="AI69" i="49"/>
  <c r="AF68" i="63"/>
  <c r="AL139" i="56" s="1"/>
  <c r="AJ69" i="49"/>
  <c r="AG68" i="63"/>
  <c r="AM139" i="56" s="1"/>
  <c r="AK69" i="49"/>
  <c r="AH68" i="63"/>
  <c r="AN139" i="56" s="1"/>
  <c r="AL69" i="49"/>
  <c r="AI68" i="63"/>
  <c r="AO139" i="56" s="1"/>
  <c r="AM69" i="49"/>
  <c r="AJ68" i="63"/>
  <c r="AP139" i="56" s="1"/>
  <c r="AN69" i="49"/>
  <c r="AK68" i="63"/>
  <c r="AQ139" i="56" s="1"/>
  <c r="AO69" i="49"/>
  <c r="AL68" i="63"/>
  <c r="AR139" i="56" s="1"/>
  <c r="K86" i="63"/>
  <c r="Q157" i="56" s="1"/>
  <c r="K85" i="63"/>
  <c r="Q156" i="56" s="1"/>
  <c r="K84" i="63"/>
  <c r="Q155" i="56" s="1"/>
  <c r="K83" i="63"/>
  <c r="Q154" i="56" s="1"/>
  <c r="K82" i="63"/>
  <c r="Q153" i="56" s="1"/>
  <c r="K81" i="63"/>
  <c r="Q152" i="56" s="1"/>
  <c r="L81" i="63"/>
  <c r="R152" i="56" s="1"/>
  <c r="L82" i="63"/>
  <c r="R153" i="56" s="1"/>
  <c r="L83" i="63"/>
  <c r="R154" i="56" s="1"/>
  <c r="L84" i="63"/>
  <c r="R155" i="56" s="1"/>
  <c r="L85" i="63"/>
  <c r="R156" i="56" s="1"/>
  <c r="L86" i="63"/>
  <c r="R157" i="56" s="1"/>
  <c r="M81" i="63"/>
  <c r="S152" i="56" s="1"/>
  <c r="M82" i="63"/>
  <c r="S153" i="56" s="1"/>
  <c r="M83" i="63"/>
  <c r="S154" i="56" s="1"/>
  <c r="M84" i="63"/>
  <c r="S155" i="56" s="1"/>
  <c r="M85" i="63"/>
  <c r="S156" i="56" s="1"/>
  <c r="M86" i="63"/>
  <c r="S157" i="56" s="1"/>
  <c r="N81" i="63"/>
  <c r="T152" i="56" s="1"/>
  <c r="N82" i="63"/>
  <c r="T153" i="56" s="1"/>
  <c r="N83" i="63"/>
  <c r="T154" i="56" s="1"/>
  <c r="N84" i="63"/>
  <c r="T155" i="56" s="1"/>
  <c r="N85" i="63"/>
  <c r="T156" i="56" s="1"/>
  <c r="N86" i="63"/>
  <c r="T157" i="56" s="1"/>
  <c r="O81" i="63"/>
  <c r="U152" i="56" s="1"/>
  <c r="O82" i="63"/>
  <c r="U153" i="56" s="1"/>
  <c r="O83" i="63"/>
  <c r="U154" i="56" s="1"/>
  <c r="O84" i="63"/>
  <c r="U155" i="56" s="1"/>
  <c r="O85" i="63"/>
  <c r="U156" i="56" s="1"/>
  <c r="O86" i="63"/>
  <c r="U157" i="56" s="1"/>
  <c r="P81" i="63"/>
  <c r="V152" i="56" s="1"/>
  <c r="P82" i="63"/>
  <c r="V153" i="56" s="1"/>
  <c r="P83" i="63"/>
  <c r="V154" i="56" s="1"/>
  <c r="P84" i="63"/>
  <c r="V155" i="56" s="1"/>
  <c r="P85" i="63"/>
  <c r="V156" i="56" s="1"/>
  <c r="P86" i="63"/>
  <c r="V157" i="56" s="1"/>
  <c r="Q81" i="63"/>
  <c r="W152" i="56" s="1"/>
  <c r="Q82" i="63"/>
  <c r="W153" i="56" s="1"/>
  <c r="Q83" i="63"/>
  <c r="W154" i="56" s="1"/>
  <c r="Q84" i="63"/>
  <c r="W155" i="56" s="1"/>
  <c r="Q85" i="63"/>
  <c r="W156" i="56" s="1"/>
  <c r="Q86" i="63"/>
  <c r="W157" i="56" s="1"/>
  <c r="R81" i="63"/>
  <c r="X152" i="56" s="1"/>
  <c r="R82" i="63"/>
  <c r="X153" i="56" s="1"/>
  <c r="R83" i="63"/>
  <c r="X154" i="56" s="1"/>
  <c r="R84" i="63"/>
  <c r="X155" i="56" s="1"/>
  <c r="R85" i="63"/>
  <c r="X156" i="56" s="1"/>
  <c r="R86" i="63"/>
  <c r="X157" i="56" s="1"/>
  <c r="S81" i="63"/>
  <c r="Y152" i="56" s="1"/>
  <c r="S82" i="63"/>
  <c r="Y153" i="56" s="1"/>
  <c r="S83" i="63"/>
  <c r="Y154" i="56" s="1"/>
  <c r="S84" i="63"/>
  <c r="Y155" i="56" s="1"/>
  <c r="S85" i="63"/>
  <c r="Y156" i="56" s="1"/>
  <c r="S86" i="63"/>
  <c r="Y157" i="56" s="1"/>
  <c r="T81" i="63"/>
  <c r="Z152" i="56" s="1"/>
  <c r="T82" i="63"/>
  <c r="Z153" i="56" s="1"/>
  <c r="T83" i="63"/>
  <c r="Z154" i="56" s="1"/>
  <c r="T84" i="63"/>
  <c r="Z155" i="56" s="1"/>
  <c r="T85" i="63"/>
  <c r="Z156" i="56" s="1"/>
  <c r="T86" i="63"/>
  <c r="Z157" i="56" s="1"/>
  <c r="U81" i="63"/>
  <c r="AA152" i="56" s="1"/>
  <c r="U82" i="63"/>
  <c r="AA153" i="56" s="1"/>
  <c r="U83" i="63"/>
  <c r="AA154" i="56" s="1"/>
  <c r="U84" i="63"/>
  <c r="AA155" i="56" s="1"/>
  <c r="U85" i="63"/>
  <c r="AA156" i="56" s="1"/>
  <c r="U86" i="63"/>
  <c r="AA157" i="56" s="1"/>
  <c r="V81" i="63"/>
  <c r="AB152" i="56" s="1"/>
  <c r="V82" i="63"/>
  <c r="AB153" i="56" s="1"/>
  <c r="V83" i="63"/>
  <c r="AB154" i="56" s="1"/>
  <c r="V84" i="63"/>
  <c r="AB155" i="56" s="1"/>
  <c r="V85" i="63"/>
  <c r="AB156" i="56" s="1"/>
  <c r="V86" i="63"/>
  <c r="AB157" i="56" s="1"/>
  <c r="W81" i="63"/>
  <c r="AC152" i="56" s="1"/>
  <c r="W82" i="63"/>
  <c r="AC153" i="56" s="1"/>
  <c r="W83" i="63"/>
  <c r="AC154" i="56" s="1"/>
  <c r="W84" i="63"/>
  <c r="AC155" i="56" s="1"/>
  <c r="W85" i="63"/>
  <c r="AC156" i="56" s="1"/>
  <c r="W86" i="63"/>
  <c r="AC157" i="56" s="1"/>
  <c r="X81" i="63"/>
  <c r="AD152" i="56" s="1"/>
  <c r="X82" i="63"/>
  <c r="AD153" i="56" s="1"/>
  <c r="X83" i="63"/>
  <c r="AD154" i="56" s="1"/>
  <c r="X84" i="63"/>
  <c r="AD155" i="56" s="1"/>
  <c r="X85" i="63"/>
  <c r="AD156" i="56" s="1"/>
  <c r="X86" i="63"/>
  <c r="AD157" i="56" s="1"/>
  <c r="Y81" i="63"/>
  <c r="AE152" i="56" s="1"/>
  <c r="Y82" i="63"/>
  <c r="AE153" i="56" s="1"/>
  <c r="Y83" i="63"/>
  <c r="AE154" i="56" s="1"/>
  <c r="Y84" i="63"/>
  <c r="AE155" i="56" s="1"/>
  <c r="Y85" i="63"/>
  <c r="AE156" i="56" s="1"/>
  <c r="Y86" i="63"/>
  <c r="AE157" i="56" s="1"/>
  <c r="Z81" i="63"/>
  <c r="AF152" i="56" s="1"/>
  <c r="Z82" i="63"/>
  <c r="AF153" i="56" s="1"/>
  <c r="Z83" i="63"/>
  <c r="AF154" i="56" s="1"/>
  <c r="Z84" i="63"/>
  <c r="AF155" i="56" s="1"/>
  <c r="Z85" i="63"/>
  <c r="AF156" i="56" s="1"/>
  <c r="Z86" i="63"/>
  <c r="AF157" i="56" s="1"/>
  <c r="AA81" i="63"/>
  <c r="AG152" i="56" s="1"/>
  <c r="AA82" i="63"/>
  <c r="AG153" i="56" s="1"/>
  <c r="AA83" i="63"/>
  <c r="AG154" i="56" s="1"/>
  <c r="AA84" i="63"/>
  <c r="AG155" i="56" s="1"/>
  <c r="AA85" i="63"/>
  <c r="AG156" i="56" s="1"/>
  <c r="AA86" i="63"/>
  <c r="AG157" i="56" s="1"/>
  <c r="AB81" i="63"/>
  <c r="AH152" i="56" s="1"/>
  <c r="AB82" i="63"/>
  <c r="AH153" i="56" s="1"/>
  <c r="AB83" i="63"/>
  <c r="AH154" i="56" s="1"/>
  <c r="AB84" i="63"/>
  <c r="AH155" i="56" s="1"/>
  <c r="AB85" i="63"/>
  <c r="AH156" i="56" s="1"/>
  <c r="AB86" i="63"/>
  <c r="AH157" i="56" s="1"/>
  <c r="AC81" i="63"/>
  <c r="AI152" i="56" s="1"/>
  <c r="AC82" i="63"/>
  <c r="AI153" i="56" s="1"/>
  <c r="AC83" i="63"/>
  <c r="AI154" i="56" s="1"/>
  <c r="AC84" i="63"/>
  <c r="AI155" i="56" s="1"/>
  <c r="AC85" i="63"/>
  <c r="AI156" i="56" s="1"/>
  <c r="AC86" i="63"/>
  <c r="AI157" i="56" s="1"/>
  <c r="AD81" i="63"/>
  <c r="AJ152" i="56" s="1"/>
  <c r="AD82" i="63"/>
  <c r="AJ153" i="56" s="1"/>
  <c r="AD83" i="63"/>
  <c r="AJ154" i="56" s="1"/>
  <c r="AD84" i="63"/>
  <c r="AJ155" i="56" s="1"/>
  <c r="AD85" i="63"/>
  <c r="AJ156" i="56" s="1"/>
  <c r="AD86" i="63"/>
  <c r="AJ157" i="56" s="1"/>
  <c r="AE81" i="63"/>
  <c r="AK152" i="56" s="1"/>
  <c r="AE82" i="63"/>
  <c r="AK153" i="56" s="1"/>
  <c r="AE83" i="63"/>
  <c r="AK154" i="56" s="1"/>
  <c r="AE84" i="63"/>
  <c r="AK155" i="56" s="1"/>
  <c r="AE85" i="63"/>
  <c r="AK156" i="56" s="1"/>
  <c r="AE86" i="63"/>
  <c r="AK157" i="56" s="1"/>
  <c r="AF81" i="63"/>
  <c r="AL152" i="56" s="1"/>
  <c r="AF82" i="63"/>
  <c r="AL153" i="56" s="1"/>
  <c r="AF83" i="63"/>
  <c r="AL154" i="56" s="1"/>
  <c r="AF84" i="63"/>
  <c r="AL155" i="56" s="1"/>
  <c r="AF85" i="63"/>
  <c r="AL156" i="56" s="1"/>
  <c r="AF86" i="63"/>
  <c r="AL157" i="56" s="1"/>
  <c r="AG81" i="63"/>
  <c r="AM152" i="56" s="1"/>
  <c r="AG82" i="63"/>
  <c r="AM153" i="56" s="1"/>
  <c r="AG83" i="63"/>
  <c r="AM154" i="56" s="1"/>
  <c r="AG84" i="63"/>
  <c r="AM155" i="56" s="1"/>
  <c r="AG85" i="63"/>
  <c r="AM156" i="56" s="1"/>
  <c r="AG86" i="63"/>
  <c r="AM157" i="56" s="1"/>
  <c r="AH81" i="63"/>
  <c r="AN152" i="56" s="1"/>
  <c r="AH82" i="63"/>
  <c r="AN153" i="56" s="1"/>
  <c r="AH83" i="63"/>
  <c r="AN154" i="56" s="1"/>
  <c r="AH84" i="63"/>
  <c r="AN155" i="56" s="1"/>
  <c r="AH85" i="63"/>
  <c r="AN156" i="56" s="1"/>
  <c r="AH86" i="63"/>
  <c r="AN157" i="56" s="1"/>
  <c r="AI81" i="63"/>
  <c r="AO152" i="56" s="1"/>
  <c r="AI82" i="63"/>
  <c r="AO153" i="56" s="1"/>
  <c r="AI83" i="63"/>
  <c r="AO154" i="56" s="1"/>
  <c r="AI84" i="63"/>
  <c r="AO155" i="56" s="1"/>
  <c r="AI85" i="63"/>
  <c r="AO156" i="56" s="1"/>
  <c r="AI86" i="63"/>
  <c r="AO157" i="56" s="1"/>
  <c r="AJ81" i="63"/>
  <c r="AP152" i="56" s="1"/>
  <c r="AJ82" i="63"/>
  <c r="AP153" i="56" s="1"/>
  <c r="AJ83" i="63"/>
  <c r="AP154" i="56" s="1"/>
  <c r="AJ84" i="63"/>
  <c r="AP155" i="56" s="1"/>
  <c r="AJ85" i="63"/>
  <c r="AP156" i="56" s="1"/>
  <c r="AJ86" i="63"/>
  <c r="AP157" i="56" s="1"/>
  <c r="AK81" i="63"/>
  <c r="AQ152" i="56" s="1"/>
  <c r="AK82" i="63"/>
  <c r="AQ153" i="56" s="1"/>
  <c r="AK83" i="63"/>
  <c r="AQ154" i="56" s="1"/>
  <c r="AK84" i="63"/>
  <c r="AQ155" i="56" s="1"/>
  <c r="AK85" i="63"/>
  <c r="AQ156" i="56" s="1"/>
  <c r="AK86" i="63"/>
  <c r="AQ157" i="56" s="1"/>
  <c r="AL81" i="63"/>
  <c r="AR152" i="56" s="1"/>
  <c r="AL82" i="63"/>
  <c r="AR153" i="56" s="1"/>
  <c r="AL83" i="63"/>
  <c r="AR154" i="56" s="1"/>
  <c r="AL84" i="63"/>
  <c r="AR155" i="56" s="1"/>
  <c r="AL85" i="63"/>
  <c r="AR156" i="56" s="1"/>
  <c r="AL86" i="63"/>
  <c r="AR157" i="56" s="1"/>
  <c r="K90" i="63"/>
  <c r="Q161" i="56" s="1"/>
  <c r="K89" i="63"/>
  <c r="Q160" i="56" s="1"/>
  <c r="K88" i="63"/>
  <c r="Q159" i="56" s="1"/>
  <c r="K87" i="63"/>
  <c r="Q158" i="56" s="1"/>
  <c r="L87" i="63"/>
  <c r="R158" i="56" s="1"/>
  <c r="L88" i="63"/>
  <c r="R159" i="56" s="1"/>
  <c r="L89" i="63"/>
  <c r="R160" i="56" s="1"/>
  <c r="L90" i="63"/>
  <c r="R161" i="56" s="1"/>
  <c r="M87" i="63"/>
  <c r="S158" i="56" s="1"/>
  <c r="M88" i="63"/>
  <c r="S159" i="56" s="1"/>
  <c r="M89" i="63"/>
  <c r="S160" i="56" s="1"/>
  <c r="M90" i="63"/>
  <c r="S161" i="56" s="1"/>
  <c r="N87" i="63"/>
  <c r="T158" i="56" s="1"/>
  <c r="N88" i="63"/>
  <c r="T159" i="56" s="1"/>
  <c r="N89" i="63"/>
  <c r="T160" i="56" s="1"/>
  <c r="N90" i="63"/>
  <c r="T161" i="56" s="1"/>
  <c r="O87" i="63"/>
  <c r="U158" i="56" s="1"/>
  <c r="O88" i="63"/>
  <c r="U159" i="56" s="1"/>
  <c r="O89" i="63"/>
  <c r="U160" i="56" s="1"/>
  <c r="O90" i="63"/>
  <c r="U161" i="56" s="1"/>
  <c r="P87" i="63"/>
  <c r="V158" i="56" s="1"/>
  <c r="P88" i="63"/>
  <c r="V159" i="56" s="1"/>
  <c r="P89" i="63"/>
  <c r="V160" i="56" s="1"/>
  <c r="P90" i="63"/>
  <c r="V161" i="56" s="1"/>
  <c r="Q87" i="63"/>
  <c r="W158" i="56" s="1"/>
  <c r="Q88" i="63"/>
  <c r="W159" i="56" s="1"/>
  <c r="Q89" i="63"/>
  <c r="W160" i="56" s="1"/>
  <c r="Q90" i="63"/>
  <c r="W161" i="56" s="1"/>
  <c r="R87" i="63"/>
  <c r="X158" i="56" s="1"/>
  <c r="R88" i="63"/>
  <c r="X159" i="56" s="1"/>
  <c r="R89" i="63"/>
  <c r="X160" i="56" s="1"/>
  <c r="R90" i="63"/>
  <c r="X161" i="56" s="1"/>
  <c r="S87" i="63"/>
  <c r="Y158" i="56" s="1"/>
  <c r="S88" i="63"/>
  <c r="Y159" i="56" s="1"/>
  <c r="S89" i="63"/>
  <c r="Y160" i="56" s="1"/>
  <c r="S90" i="63"/>
  <c r="Y161" i="56" s="1"/>
  <c r="T87" i="63"/>
  <c r="Z158" i="56" s="1"/>
  <c r="T88" i="63"/>
  <c r="Z159" i="56" s="1"/>
  <c r="T89" i="63"/>
  <c r="Z160" i="56" s="1"/>
  <c r="T90" i="63"/>
  <c r="Z161" i="56" s="1"/>
  <c r="U87" i="63"/>
  <c r="AA158" i="56" s="1"/>
  <c r="U88" i="63"/>
  <c r="AA159" i="56" s="1"/>
  <c r="U89" i="63"/>
  <c r="AA160" i="56" s="1"/>
  <c r="U90" i="63"/>
  <c r="AA161" i="56" s="1"/>
  <c r="V87" i="63"/>
  <c r="AB158" i="56" s="1"/>
  <c r="V88" i="63"/>
  <c r="AB159" i="56" s="1"/>
  <c r="V89" i="63"/>
  <c r="AB160" i="56" s="1"/>
  <c r="V90" i="63"/>
  <c r="AB161" i="56" s="1"/>
  <c r="W87" i="63"/>
  <c r="AC158" i="56" s="1"/>
  <c r="W88" i="63"/>
  <c r="AC159" i="56" s="1"/>
  <c r="W89" i="63"/>
  <c r="AC160" i="56" s="1"/>
  <c r="W90" i="63"/>
  <c r="AC161" i="56" s="1"/>
  <c r="X87" i="63"/>
  <c r="AD158" i="56" s="1"/>
  <c r="X88" i="63"/>
  <c r="AD159" i="56" s="1"/>
  <c r="X89" i="63"/>
  <c r="AD160" i="56" s="1"/>
  <c r="X90" i="63"/>
  <c r="AD161" i="56" s="1"/>
  <c r="Y87" i="63"/>
  <c r="AE158" i="56" s="1"/>
  <c r="Y88" i="63"/>
  <c r="AE159" i="56" s="1"/>
  <c r="Y89" i="63"/>
  <c r="AE160" i="56" s="1"/>
  <c r="Y90" i="63"/>
  <c r="AE161" i="56" s="1"/>
  <c r="Z87" i="63"/>
  <c r="AF158" i="56" s="1"/>
  <c r="Z88" i="63"/>
  <c r="AF159" i="56" s="1"/>
  <c r="Z89" i="63"/>
  <c r="AF160" i="56" s="1"/>
  <c r="Z90" i="63"/>
  <c r="AF161" i="56" s="1"/>
  <c r="AA87" i="63"/>
  <c r="AG158" i="56" s="1"/>
  <c r="AA88" i="63"/>
  <c r="AG159" i="56" s="1"/>
  <c r="AA89" i="63"/>
  <c r="AG160" i="56" s="1"/>
  <c r="AA90" i="63"/>
  <c r="AG161" i="56" s="1"/>
  <c r="AB87" i="63"/>
  <c r="AH158" i="56" s="1"/>
  <c r="AB88" i="63"/>
  <c r="AH159" i="56" s="1"/>
  <c r="AB89" i="63"/>
  <c r="AH160" i="56" s="1"/>
  <c r="AB90" i="63"/>
  <c r="AH161" i="56" s="1"/>
  <c r="AC87" i="63"/>
  <c r="AI158" i="56" s="1"/>
  <c r="AC88" i="63"/>
  <c r="AI159" i="56" s="1"/>
  <c r="AC89" i="63"/>
  <c r="AI160" i="56" s="1"/>
  <c r="AC90" i="63"/>
  <c r="AI161" i="56" s="1"/>
  <c r="AD87" i="63"/>
  <c r="AJ158" i="56" s="1"/>
  <c r="AD88" i="63"/>
  <c r="AJ159" i="56" s="1"/>
  <c r="AD89" i="63"/>
  <c r="AJ160" i="56" s="1"/>
  <c r="AD90" i="63"/>
  <c r="AJ161" i="56" s="1"/>
  <c r="AE87" i="63"/>
  <c r="AK158" i="56" s="1"/>
  <c r="AE88" i="63"/>
  <c r="AK159" i="56" s="1"/>
  <c r="AE89" i="63"/>
  <c r="AK160" i="56" s="1"/>
  <c r="AE90" i="63"/>
  <c r="AK161" i="56" s="1"/>
  <c r="AF87" i="63"/>
  <c r="AL158" i="56" s="1"/>
  <c r="AF88" i="63"/>
  <c r="AL159" i="56" s="1"/>
  <c r="AF89" i="63"/>
  <c r="AL160" i="56" s="1"/>
  <c r="AF90" i="63"/>
  <c r="AL161" i="56" s="1"/>
  <c r="AG87" i="63"/>
  <c r="AM158" i="56" s="1"/>
  <c r="AG88" i="63"/>
  <c r="AM159" i="56" s="1"/>
  <c r="AG89" i="63"/>
  <c r="AM160" i="56" s="1"/>
  <c r="AG90" i="63"/>
  <c r="AM161" i="56" s="1"/>
  <c r="AH87" i="63"/>
  <c r="AN158" i="56" s="1"/>
  <c r="AH88" i="63"/>
  <c r="AN159" i="56" s="1"/>
  <c r="AH89" i="63"/>
  <c r="AN160" i="56" s="1"/>
  <c r="AH90" i="63"/>
  <c r="AN161" i="56" s="1"/>
  <c r="AI87" i="63"/>
  <c r="AO158" i="56" s="1"/>
  <c r="AI88" i="63"/>
  <c r="AO159" i="56" s="1"/>
  <c r="AI89" i="63"/>
  <c r="AO160" i="56" s="1"/>
  <c r="AI90" i="63"/>
  <c r="AO161" i="56" s="1"/>
  <c r="AJ87" i="63"/>
  <c r="AP158" i="56" s="1"/>
  <c r="AJ88" i="63"/>
  <c r="AP159" i="56" s="1"/>
  <c r="AJ89" i="63"/>
  <c r="AP160" i="56" s="1"/>
  <c r="AJ90" i="63"/>
  <c r="AP161" i="56" s="1"/>
  <c r="AK87" i="63"/>
  <c r="AQ158" i="56" s="1"/>
  <c r="AK88" i="63"/>
  <c r="AQ159" i="56" s="1"/>
  <c r="AK89" i="63"/>
  <c r="AQ160" i="56" s="1"/>
  <c r="AK90" i="63"/>
  <c r="AQ161" i="56" s="1"/>
  <c r="AL87" i="63"/>
  <c r="AR158" i="56" s="1"/>
  <c r="AL88" i="63"/>
  <c r="AR159" i="56" s="1"/>
  <c r="AL89" i="63"/>
  <c r="AR160" i="56" s="1"/>
  <c r="AL90" i="63"/>
  <c r="AR161" i="56" s="1"/>
  <c r="K94" i="63"/>
  <c r="Q165" i="56" s="1"/>
  <c r="K93" i="63"/>
  <c r="Q164" i="56" s="1"/>
  <c r="K92" i="63"/>
  <c r="Q163" i="56" s="1"/>
  <c r="K91" i="63"/>
  <c r="L91" i="63"/>
  <c r="L92" i="63"/>
  <c r="R163" i="56" s="1"/>
  <c r="L93" i="63"/>
  <c r="R164" i="56" s="1"/>
  <c r="L94" i="63"/>
  <c r="R165" i="56" s="1"/>
  <c r="M91" i="63"/>
  <c r="M92" i="63"/>
  <c r="S163" i="56" s="1"/>
  <c r="M93" i="63"/>
  <c r="S164" i="56" s="1"/>
  <c r="M94" i="63"/>
  <c r="S165" i="56" s="1"/>
  <c r="N91" i="63"/>
  <c r="N92" i="63"/>
  <c r="T163" i="56" s="1"/>
  <c r="N93" i="63"/>
  <c r="T164" i="56" s="1"/>
  <c r="N94" i="63"/>
  <c r="T165" i="56" s="1"/>
  <c r="O91" i="63"/>
  <c r="O92" i="63"/>
  <c r="U163" i="56" s="1"/>
  <c r="O93" i="63"/>
  <c r="U164" i="56" s="1"/>
  <c r="O94" i="63"/>
  <c r="U165" i="56" s="1"/>
  <c r="P91" i="63"/>
  <c r="P92" i="63"/>
  <c r="V163" i="56" s="1"/>
  <c r="P93" i="63"/>
  <c r="V164" i="56" s="1"/>
  <c r="P94" i="63"/>
  <c r="V165" i="56" s="1"/>
  <c r="Q91" i="63"/>
  <c r="Q92" i="63"/>
  <c r="W163" i="56" s="1"/>
  <c r="Q93" i="63"/>
  <c r="W164" i="56" s="1"/>
  <c r="Q94" i="63"/>
  <c r="W165" i="56" s="1"/>
  <c r="R91" i="63"/>
  <c r="R92" i="63"/>
  <c r="X163" i="56" s="1"/>
  <c r="R93" i="63"/>
  <c r="X164" i="56" s="1"/>
  <c r="R94" i="63"/>
  <c r="X165" i="56" s="1"/>
  <c r="S91" i="63"/>
  <c r="S92" i="63"/>
  <c r="Y163" i="56" s="1"/>
  <c r="S93" i="63"/>
  <c r="Y164" i="56" s="1"/>
  <c r="S94" i="63"/>
  <c r="Y165" i="56" s="1"/>
  <c r="T91" i="63"/>
  <c r="T92" i="63"/>
  <c r="Z163" i="56" s="1"/>
  <c r="T93" i="63"/>
  <c r="Z164" i="56" s="1"/>
  <c r="T94" i="63"/>
  <c r="Z165" i="56" s="1"/>
  <c r="U91" i="63"/>
  <c r="U92" i="63"/>
  <c r="AA163" i="56" s="1"/>
  <c r="U93" i="63"/>
  <c r="AA164" i="56" s="1"/>
  <c r="U94" i="63"/>
  <c r="AA165" i="56" s="1"/>
  <c r="V91" i="63"/>
  <c r="V92" i="63"/>
  <c r="AB163" i="56" s="1"/>
  <c r="V93" i="63"/>
  <c r="AB164" i="56" s="1"/>
  <c r="V94" i="63"/>
  <c r="AB165" i="56" s="1"/>
  <c r="W91" i="63"/>
  <c r="W92" i="63"/>
  <c r="AC163" i="56" s="1"/>
  <c r="W93" i="63"/>
  <c r="AC164" i="56" s="1"/>
  <c r="W94" i="63"/>
  <c r="AC165" i="56" s="1"/>
  <c r="X91" i="63"/>
  <c r="X92" i="63"/>
  <c r="AD163" i="56" s="1"/>
  <c r="X93" i="63"/>
  <c r="AD164" i="56" s="1"/>
  <c r="X94" i="63"/>
  <c r="AD165" i="56" s="1"/>
  <c r="Y91" i="63"/>
  <c r="Y92" i="63"/>
  <c r="AE163" i="56" s="1"/>
  <c r="Y93" i="63"/>
  <c r="AE164" i="56" s="1"/>
  <c r="Y94" i="63"/>
  <c r="AE165" i="56" s="1"/>
  <c r="Z91" i="63"/>
  <c r="Z92" i="63"/>
  <c r="AF163" i="56" s="1"/>
  <c r="Z93" i="63"/>
  <c r="AF164" i="56" s="1"/>
  <c r="Z94" i="63"/>
  <c r="AF165" i="56" s="1"/>
  <c r="AA91" i="63"/>
  <c r="AA92" i="63"/>
  <c r="AG163" i="56" s="1"/>
  <c r="AA93" i="63"/>
  <c r="AG164" i="56" s="1"/>
  <c r="AA94" i="63"/>
  <c r="AG165" i="56" s="1"/>
  <c r="AB91" i="63"/>
  <c r="AB92" i="63"/>
  <c r="AH163" i="56" s="1"/>
  <c r="AB93" i="63"/>
  <c r="AH164" i="56" s="1"/>
  <c r="AB94" i="63"/>
  <c r="AH165" i="56" s="1"/>
  <c r="AC91" i="63"/>
  <c r="AC92" i="63"/>
  <c r="AI163" i="56" s="1"/>
  <c r="AC93" i="63"/>
  <c r="AI164" i="56" s="1"/>
  <c r="AC94" i="63"/>
  <c r="AI165" i="56" s="1"/>
  <c r="AD91" i="63"/>
  <c r="AD92" i="63"/>
  <c r="AJ163" i="56" s="1"/>
  <c r="AD93" i="63"/>
  <c r="AJ164" i="56" s="1"/>
  <c r="AD94" i="63"/>
  <c r="AJ165" i="56" s="1"/>
  <c r="AE91" i="63"/>
  <c r="AE92" i="63"/>
  <c r="AK163" i="56" s="1"/>
  <c r="AE93" i="63"/>
  <c r="AK164" i="56" s="1"/>
  <c r="AE94" i="63"/>
  <c r="AK165" i="56" s="1"/>
  <c r="AF91" i="63"/>
  <c r="AF92" i="63"/>
  <c r="AL163" i="56" s="1"/>
  <c r="AF93" i="63"/>
  <c r="AL164" i="56" s="1"/>
  <c r="AF94" i="63"/>
  <c r="AL165" i="56" s="1"/>
  <c r="AG91" i="63"/>
  <c r="AG92" i="63"/>
  <c r="AM163" i="56" s="1"/>
  <c r="AG93" i="63"/>
  <c r="AM164" i="56" s="1"/>
  <c r="AG94" i="63"/>
  <c r="AM165" i="56" s="1"/>
  <c r="AH91" i="63"/>
  <c r="AH92" i="63"/>
  <c r="AN163" i="56" s="1"/>
  <c r="AH93" i="63"/>
  <c r="AN164" i="56" s="1"/>
  <c r="AH94" i="63"/>
  <c r="AN165" i="56" s="1"/>
  <c r="AI91" i="63"/>
  <c r="AI92" i="63"/>
  <c r="AO163" i="56" s="1"/>
  <c r="AI93" i="63"/>
  <c r="AO164" i="56" s="1"/>
  <c r="AI94" i="63"/>
  <c r="AO165" i="56" s="1"/>
  <c r="AJ91" i="63"/>
  <c r="AJ92" i="63"/>
  <c r="AP163" i="56" s="1"/>
  <c r="AJ93" i="63"/>
  <c r="AP164" i="56" s="1"/>
  <c r="AJ94" i="63"/>
  <c r="AP165" i="56" s="1"/>
  <c r="AK91" i="63"/>
  <c r="AK92" i="63"/>
  <c r="AQ163" i="56" s="1"/>
  <c r="AK93" i="63"/>
  <c r="AQ164" i="56" s="1"/>
  <c r="AK94" i="63"/>
  <c r="AQ165" i="56" s="1"/>
  <c r="AL91" i="63"/>
  <c r="AL92" i="63"/>
  <c r="AR163" i="56" s="1"/>
  <c r="AL93" i="63"/>
  <c r="AR164" i="56" s="1"/>
  <c r="AL94" i="63"/>
  <c r="AR165" i="56" s="1"/>
  <c r="K98" i="63"/>
  <c r="Q169" i="56" s="1"/>
  <c r="K99" i="63"/>
  <c r="Q170" i="56" s="1"/>
  <c r="K100" i="63"/>
  <c r="Q171" i="56" s="1"/>
  <c r="K101" i="63"/>
  <c r="Q172" i="56" s="1"/>
  <c r="K102" i="63"/>
  <c r="Q173" i="56" s="1"/>
  <c r="K97" i="63"/>
  <c r="Q168" i="56" s="1"/>
  <c r="L97" i="63"/>
  <c r="R168" i="56" s="1"/>
  <c r="L98" i="63"/>
  <c r="R169" i="56" s="1"/>
  <c r="L99" i="63"/>
  <c r="R170" i="56" s="1"/>
  <c r="L100" i="63"/>
  <c r="R171" i="56" s="1"/>
  <c r="L101" i="63"/>
  <c r="R172" i="56" s="1"/>
  <c r="L102" i="63"/>
  <c r="R173" i="56" s="1"/>
  <c r="M97" i="63"/>
  <c r="S168" i="56" s="1"/>
  <c r="M98" i="63"/>
  <c r="S169" i="56" s="1"/>
  <c r="M99" i="63"/>
  <c r="S170" i="56" s="1"/>
  <c r="M100" i="63"/>
  <c r="S171" i="56" s="1"/>
  <c r="M101" i="63"/>
  <c r="S172" i="56" s="1"/>
  <c r="M102" i="63"/>
  <c r="S173" i="56" s="1"/>
  <c r="N97" i="63"/>
  <c r="T168" i="56" s="1"/>
  <c r="N98" i="63"/>
  <c r="T169" i="56" s="1"/>
  <c r="N99" i="63"/>
  <c r="T170" i="56" s="1"/>
  <c r="N100" i="63"/>
  <c r="T171" i="56" s="1"/>
  <c r="N101" i="63"/>
  <c r="T172" i="56" s="1"/>
  <c r="N102" i="63"/>
  <c r="T173" i="56" s="1"/>
  <c r="O97" i="63"/>
  <c r="U168" i="56" s="1"/>
  <c r="O98" i="63"/>
  <c r="U169" i="56" s="1"/>
  <c r="O99" i="63"/>
  <c r="U170" i="56" s="1"/>
  <c r="O100" i="63"/>
  <c r="U171" i="56" s="1"/>
  <c r="O101" i="63"/>
  <c r="U172" i="56" s="1"/>
  <c r="O102" i="63"/>
  <c r="U173" i="56" s="1"/>
  <c r="P97" i="63"/>
  <c r="V168" i="56" s="1"/>
  <c r="P98" i="63"/>
  <c r="V169" i="56" s="1"/>
  <c r="P99" i="63"/>
  <c r="V170" i="56" s="1"/>
  <c r="P100" i="63"/>
  <c r="V171" i="56" s="1"/>
  <c r="P101" i="63"/>
  <c r="V172" i="56" s="1"/>
  <c r="P102" i="63"/>
  <c r="V173" i="56" s="1"/>
  <c r="Q97" i="63"/>
  <c r="W168" i="56" s="1"/>
  <c r="Q98" i="63"/>
  <c r="W169" i="56" s="1"/>
  <c r="Q99" i="63"/>
  <c r="W170" i="56" s="1"/>
  <c r="Q100" i="63"/>
  <c r="W171" i="56" s="1"/>
  <c r="Q101" i="63"/>
  <c r="W172" i="56" s="1"/>
  <c r="Q102" i="63"/>
  <c r="W173" i="56" s="1"/>
  <c r="R97" i="63"/>
  <c r="X168" i="56" s="1"/>
  <c r="R98" i="63"/>
  <c r="X169" i="56" s="1"/>
  <c r="R99" i="63"/>
  <c r="X170" i="56" s="1"/>
  <c r="R100" i="63"/>
  <c r="X171" i="56" s="1"/>
  <c r="R101" i="63"/>
  <c r="X172" i="56" s="1"/>
  <c r="R102" i="63"/>
  <c r="X173" i="56" s="1"/>
  <c r="S97" i="63"/>
  <c r="Y168" i="56" s="1"/>
  <c r="S98" i="63"/>
  <c r="Y169" i="56" s="1"/>
  <c r="S99" i="63"/>
  <c r="Y170" i="56" s="1"/>
  <c r="S100" i="63"/>
  <c r="Y171" i="56" s="1"/>
  <c r="S101" i="63"/>
  <c r="Y172" i="56" s="1"/>
  <c r="S102" i="63"/>
  <c r="Y173" i="56" s="1"/>
  <c r="T97" i="63"/>
  <c r="Z168" i="56" s="1"/>
  <c r="T98" i="63"/>
  <c r="Z169" i="56" s="1"/>
  <c r="T99" i="63"/>
  <c r="Z170" i="56" s="1"/>
  <c r="T100" i="63"/>
  <c r="Z171" i="56" s="1"/>
  <c r="T101" i="63"/>
  <c r="Z172" i="56" s="1"/>
  <c r="T102" i="63"/>
  <c r="Z173" i="56" s="1"/>
  <c r="U97" i="63"/>
  <c r="AA168" i="56" s="1"/>
  <c r="U98" i="63"/>
  <c r="AA169" i="56" s="1"/>
  <c r="U99" i="63"/>
  <c r="AA170" i="56" s="1"/>
  <c r="U100" i="63"/>
  <c r="AA171" i="56" s="1"/>
  <c r="U101" i="63"/>
  <c r="AA172" i="56" s="1"/>
  <c r="U102" i="63"/>
  <c r="AA173" i="56" s="1"/>
  <c r="V97" i="63"/>
  <c r="AB168" i="56" s="1"/>
  <c r="V98" i="63"/>
  <c r="AB169" i="56" s="1"/>
  <c r="V99" i="63"/>
  <c r="AB170" i="56" s="1"/>
  <c r="V100" i="63"/>
  <c r="AB171" i="56" s="1"/>
  <c r="V101" i="63"/>
  <c r="AB172" i="56" s="1"/>
  <c r="V102" i="63"/>
  <c r="AB173" i="56" s="1"/>
  <c r="W97" i="63"/>
  <c r="AC168" i="56" s="1"/>
  <c r="W98" i="63"/>
  <c r="AC169" i="56" s="1"/>
  <c r="W99" i="63"/>
  <c r="AC170" i="56" s="1"/>
  <c r="W100" i="63"/>
  <c r="AC171" i="56" s="1"/>
  <c r="W101" i="63"/>
  <c r="AC172" i="56" s="1"/>
  <c r="W102" i="63"/>
  <c r="AC173" i="56" s="1"/>
  <c r="X97" i="63"/>
  <c r="AD168" i="56" s="1"/>
  <c r="X98" i="63"/>
  <c r="AD169" i="56" s="1"/>
  <c r="X99" i="63"/>
  <c r="AD170" i="56" s="1"/>
  <c r="X100" i="63"/>
  <c r="AD171" i="56" s="1"/>
  <c r="X101" i="63"/>
  <c r="AD172" i="56" s="1"/>
  <c r="X102" i="63"/>
  <c r="AD173" i="56" s="1"/>
  <c r="Y97" i="63"/>
  <c r="AE168" i="56" s="1"/>
  <c r="Y98" i="63"/>
  <c r="AE169" i="56" s="1"/>
  <c r="Y99" i="63"/>
  <c r="AE170" i="56" s="1"/>
  <c r="Y100" i="63"/>
  <c r="AE171" i="56" s="1"/>
  <c r="Y101" i="63"/>
  <c r="AE172" i="56" s="1"/>
  <c r="Y102" i="63"/>
  <c r="AE173" i="56" s="1"/>
  <c r="Z97" i="63"/>
  <c r="AF168" i="56" s="1"/>
  <c r="Z98" i="63"/>
  <c r="AF169" i="56" s="1"/>
  <c r="Z99" i="63"/>
  <c r="AF170" i="56" s="1"/>
  <c r="Z100" i="63"/>
  <c r="AF171" i="56" s="1"/>
  <c r="Z101" i="63"/>
  <c r="AF172" i="56" s="1"/>
  <c r="Z102" i="63"/>
  <c r="AF173" i="56" s="1"/>
  <c r="AA97" i="63"/>
  <c r="AG168" i="56" s="1"/>
  <c r="AA98" i="63"/>
  <c r="AG169" i="56" s="1"/>
  <c r="AA99" i="63"/>
  <c r="AG170" i="56" s="1"/>
  <c r="AA100" i="63"/>
  <c r="AG171" i="56" s="1"/>
  <c r="AA101" i="63"/>
  <c r="AG172" i="56" s="1"/>
  <c r="AA102" i="63"/>
  <c r="AG173" i="56" s="1"/>
  <c r="AB97" i="63"/>
  <c r="AH168" i="56" s="1"/>
  <c r="AB98" i="63"/>
  <c r="AH169" i="56" s="1"/>
  <c r="AB99" i="63"/>
  <c r="AH170" i="56" s="1"/>
  <c r="AB100" i="63"/>
  <c r="AH171" i="56" s="1"/>
  <c r="AB101" i="63"/>
  <c r="AH172" i="56" s="1"/>
  <c r="AB102" i="63"/>
  <c r="AH173" i="56" s="1"/>
  <c r="AC97" i="63"/>
  <c r="AI168" i="56" s="1"/>
  <c r="AC98" i="63"/>
  <c r="AI169" i="56" s="1"/>
  <c r="AC99" i="63"/>
  <c r="AI170" i="56" s="1"/>
  <c r="AC100" i="63"/>
  <c r="AI171" i="56" s="1"/>
  <c r="AC101" i="63"/>
  <c r="AI172" i="56" s="1"/>
  <c r="AC102" i="63"/>
  <c r="AI173" i="56" s="1"/>
  <c r="AD97" i="63"/>
  <c r="AJ168" i="56" s="1"/>
  <c r="AD98" i="63"/>
  <c r="AJ169" i="56" s="1"/>
  <c r="AD99" i="63"/>
  <c r="AJ170" i="56" s="1"/>
  <c r="AD100" i="63"/>
  <c r="AJ171" i="56" s="1"/>
  <c r="AD101" i="63"/>
  <c r="AJ172" i="56" s="1"/>
  <c r="AD102" i="63"/>
  <c r="AJ173" i="56" s="1"/>
  <c r="AE97" i="63"/>
  <c r="AK168" i="56" s="1"/>
  <c r="AE98" i="63"/>
  <c r="AK169" i="56" s="1"/>
  <c r="AE99" i="63"/>
  <c r="AK170" i="56" s="1"/>
  <c r="AE100" i="63"/>
  <c r="AK171" i="56" s="1"/>
  <c r="AE101" i="63"/>
  <c r="AK172" i="56" s="1"/>
  <c r="AE102" i="63"/>
  <c r="AK173" i="56" s="1"/>
  <c r="AF97" i="63"/>
  <c r="AL168" i="56" s="1"/>
  <c r="AF98" i="63"/>
  <c r="AL169" i="56" s="1"/>
  <c r="AF99" i="63"/>
  <c r="AL170" i="56" s="1"/>
  <c r="AF100" i="63"/>
  <c r="AL171" i="56" s="1"/>
  <c r="AF101" i="63"/>
  <c r="AL172" i="56" s="1"/>
  <c r="AF102" i="63"/>
  <c r="AL173" i="56" s="1"/>
  <c r="AG97" i="63"/>
  <c r="AM168" i="56" s="1"/>
  <c r="AG98" i="63"/>
  <c r="AM169" i="56" s="1"/>
  <c r="AG99" i="63"/>
  <c r="AM170" i="56" s="1"/>
  <c r="AG100" i="63"/>
  <c r="AM171" i="56" s="1"/>
  <c r="AG101" i="63"/>
  <c r="AM172" i="56" s="1"/>
  <c r="AG102" i="63"/>
  <c r="AM173" i="56" s="1"/>
  <c r="AH97" i="63"/>
  <c r="AN168" i="56" s="1"/>
  <c r="AH98" i="63"/>
  <c r="AN169" i="56" s="1"/>
  <c r="AH99" i="63"/>
  <c r="AN170" i="56" s="1"/>
  <c r="AH100" i="63"/>
  <c r="AN171" i="56" s="1"/>
  <c r="AH101" i="63"/>
  <c r="AN172" i="56" s="1"/>
  <c r="AH102" i="63"/>
  <c r="AN173" i="56" s="1"/>
  <c r="AI97" i="63"/>
  <c r="AO168" i="56" s="1"/>
  <c r="AI98" i="63"/>
  <c r="AO169" i="56" s="1"/>
  <c r="AI99" i="63"/>
  <c r="AO170" i="56" s="1"/>
  <c r="AI100" i="63"/>
  <c r="AO171" i="56" s="1"/>
  <c r="AI101" i="63"/>
  <c r="AO172" i="56" s="1"/>
  <c r="AI102" i="63"/>
  <c r="AO173" i="56" s="1"/>
  <c r="AJ97" i="63"/>
  <c r="AP168" i="56" s="1"/>
  <c r="AJ98" i="63"/>
  <c r="AP169" i="56" s="1"/>
  <c r="AJ99" i="63"/>
  <c r="AP170" i="56" s="1"/>
  <c r="AJ100" i="63"/>
  <c r="AP171" i="56" s="1"/>
  <c r="AJ101" i="63"/>
  <c r="AP172" i="56" s="1"/>
  <c r="AJ102" i="63"/>
  <c r="AP173" i="56" s="1"/>
  <c r="AK97" i="63"/>
  <c r="AQ168" i="56" s="1"/>
  <c r="AK98" i="63"/>
  <c r="AQ169" i="56" s="1"/>
  <c r="AK99" i="63"/>
  <c r="AQ170" i="56" s="1"/>
  <c r="AK100" i="63"/>
  <c r="AQ171" i="56" s="1"/>
  <c r="AK101" i="63"/>
  <c r="AQ172" i="56" s="1"/>
  <c r="AK102" i="63"/>
  <c r="AQ173" i="56" s="1"/>
  <c r="AL97" i="63"/>
  <c r="AR168" i="56" s="1"/>
  <c r="AL98" i="63"/>
  <c r="AR169" i="56" s="1"/>
  <c r="AL99" i="63"/>
  <c r="AR170" i="56" s="1"/>
  <c r="AL100" i="63"/>
  <c r="AR171" i="56" s="1"/>
  <c r="AL101" i="63"/>
  <c r="AR172" i="56" s="1"/>
  <c r="AL102" i="63"/>
  <c r="AR173" i="56" s="1"/>
  <c r="K104" i="63"/>
  <c r="K105" i="63"/>
  <c r="K106" i="63"/>
  <c r="K107" i="63"/>
  <c r="K108" i="63"/>
  <c r="K103" i="63"/>
  <c r="L103" i="63"/>
  <c r="L104" i="63"/>
  <c r="L105" i="63"/>
  <c r="L106" i="63"/>
  <c r="L107" i="63"/>
  <c r="L108" i="63"/>
  <c r="M103" i="63"/>
  <c r="M104" i="63"/>
  <c r="M105" i="63"/>
  <c r="M106" i="63"/>
  <c r="M107" i="63"/>
  <c r="M108" i="63"/>
  <c r="N103" i="63"/>
  <c r="N104" i="63"/>
  <c r="N105" i="63"/>
  <c r="N106" i="63"/>
  <c r="N107" i="63"/>
  <c r="N108" i="63"/>
  <c r="O103" i="63"/>
  <c r="O104" i="63"/>
  <c r="O105" i="63"/>
  <c r="O106" i="63"/>
  <c r="O107" i="63"/>
  <c r="O108" i="63"/>
  <c r="P103" i="63"/>
  <c r="P104" i="63"/>
  <c r="P105" i="63"/>
  <c r="P106" i="63"/>
  <c r="P107" i="63"/>
  <c r="P108" i="63"/>
  <c r="Q103" i="63"/>
  <c r="Q104" i="63"/>
  <c r="Q105" i="63"/>
  <c r="Q106" i="63"/>
  <c r="Q107" i="63"/>
  <c r="Q108" i="63"/>
  <c r="R103" i="63"/>
  <c r="R104" i="63"/>
  <c r="R105" i="63"/>
  <c r="R106" i="63"/>
  <c r="R107" i="63"/>
  <c r="R108" i="63"/>
  <c r="S103" i="63"/>
  <c r="S104" i="63"/>
  <c r="S105" i="63"/>
  <c r="S106" i="63"/>
  <c r="S107" i="63"/>
  <c r="S108" i="63"/>
  <c r="T103" i="63"/>
  <c r="T104" i="63"/>
  <c r="T105" i="63"/>
  <c r="T106" i="63"/>
  <c r="T107" i="63"/>
  <c r="T108" i="63"/>
  <c r="U103" i="63"/>
  <c r="U104" i="63"/>
  <c r="U105" i="63"/>
  <c r="U106" i="63"/>
  <c r="U107" i="63"/>
  <c r="U108" i="63"/>
  <c r="V103" i="63"/>
  <c r="V104" i="63"/>
  <c r="V105" i="63"/>
  <c r="V106" i="63"/>
  <c r="V107" i="63"/>
  <c r="V108" i="63"/>
  <c r="W103" i="63"/>
  <c r="W104" i="63"/>
  <c r="W105" i="63"/>
  <c r="W106" i="63"/>
  <c r="W107" i="63"/>
  <c r="W108" i="63"/>
  <c r="X103" i="63"/>
  <c r="X104" i="63"/>
  <c r="X105" i="63"/>
  <c r="X106" i="63"/>
  <c r="X107" i="63"/>
  <c r="X108" i="63"/>
  <c r="Y103" i="63"/>
  <c r="Y104" i="63"/>
  <c r="Y105" i="63"/>
  <c r="Y106" i="63"/>
  <c r="Y107" i="63"/>
  <c r="Y108" i="63"/>
  <c r="Z103" i="63"/>
  <c r="Z104" i="63"/>
  <c r="Z105" i="63"/>
  <c r="Z106" i="63"/>
  <c r="Z107" i="63"/>
  <c r="Z108" i="63"/>
  <c r="AA103" i="63"/>
  <c r="AA104" i="63"/>
  <c r="AA105" i="63"/>
  <c r="AA106" i="63"/>
  <c r="AA107" i="63"/>
  <c r="AA108" i="63"/>
  <c r="AB103" i="63"/>
  <c r="AB104" i="63"/>
  <c r="AB105" i="63"/>
  <c r="AB106" i="63"/>
  <c r="AB107" i="63"/>
  <c r="AB108" i="63"/>
  <c r="AC103" i="63"/>
  <c r="AC104" i="63"/>
  <c r="AC105" i="63"/>
  <c r="AC106" i="63"/>
  <c r="AC107" i="63"/>
  <c r="AC108" i="63"/>
  <c r="AD103" i="63"/>
  <c r="AD104" i="63"/>
  <c r="AD105" i="63"/>
  <c r="AD106" i="63"/>
  <c r="AD107" i="63"/>
  <c r="AD108" i="63"/>
  <c r="AE103" i="63"/>
  <c r="AE104" i="63"/>
  <c r="AE105" i="63"/>
  <c r="AE106" i="63"/>
  <c r="AE107" i="63"/>
  <c r="AE108" i="63"/>
  <c r="AF103" i="63"/>
  <c r="AF104" i="63"/>
  <c r="AF105" i="63"/>
  <c r="AF106" i="63"/>
  <c r="AF107" i="63"/>
  <c r="AF108" i="63"/>
  <c r="AG103" i="63"/>
  <c r="AG104" i="63"/>
  <c r="AG105" i="63"/>
  <c r="AG106" i="63"/>
  <c r="AG107" i="63"/>
  <c r="AG108" i="63"/>
  <c r="AH103" i="63"/>
  <c r="AH104" i="63"/>
  <c r="AH105" i="63"/>
  <c r="AH106" i="63"/>
  <c r="AH107" i="63"/>
  <c r="AH108" i="63"/>
  <c r="AI103" i="63"/>
  <c r="AI104" i="63"/>
  <c r="AI105" i="63"/>
  <c r="AI106" i="63"/>
  <c r="AI107" i="63"/>
  <c r="AI108" i="63"/>
  <c r="AJ103" i="63"/>
  <c r="AJ104" i="63"/>
  <c r="AJ105" i="63"/>
  <c r="AJ106" i="63"/>
  <c r="AJ107" i="63"/>
  <c r="AJ108" i="63"/>
  <c r="AK103" i="63"/>
  <c r="AK104" i="63"/>
  <c r="AK105" i="63"/>
  <c r="AK106" i="63"/>
  <c r="AK107" i="63"/>
  <c r="AK108" i="63"/>
  <c r="AL103" i="63"/>
  <c r="AL104" i="63"/>
  <c r="AL105" i="63"/>
  <c r="AL106" i="63"/>
  <c r="AL107" i="63"/>
  <c r="AL108" i="63"/>
  <c r="O88" i="62"/>
  <c r="O139" i="62" s="1"/>
  <c r="T68" i="62"/>
  <c r="AC208" i="61"/>
  <c r="AC274" i="61" s="1"/>
  <c r="AD67" i="62" s="1"/>
  <c r="AD118" i="62" s="1"/>
  <c r="L208" i="61"/>
  <c r="L274" i="61" s="1"/>
  <c r="M67" i="62" s="1"/>
  <c r="M118" i="62" s="1"/>
  <c r="Q208" i="61"/>
  <c r="Q274" i="61" s="1"/>
  <c r="R67" i="62" s="1"/>
  <c r="R118" i="62" s="1"/>
  <c r="P208" i="61"/>
  <c r="P274" i="61" s="1"/>
  <c r="Q67" i="62" s="1"/>
  <c r="Q118" i="62" s="1"/>
  <c r="U207" i="61"/>
  <c r="U273" i="61" s="1"/>
  <c r="V66" i="62" s="1"/>
  <c r="V117" i="62" s="1"/>
  <c r="AC207" i="61"/>
  <c r="AC273" i="61" s="1"/>
  <c r="P206" i="61"/>
  <c r="R205" i="61"/>
  <c r="L205" i="61"/>
  <c r="V204" i="61"/>
  <c r="V270" i="61" s="1"/>
  <c r="U202" i="61"/>
  <c r="U276" i="61" s="1"/>
  <c r="V69" i="62" s="1"/>
  <c r="V120" i="62" s="1"/>
  <c r="V202" i="61"/>
  <c r="I202" i="61"/>
  <c r="U201" i="61"/>
  <c r="U269" i="61" s="1"/>
  <c r="V61" i="62" s="1"/>
  <c r="V112" i="62" s="1"/>
  <c r="T200" i="61"/>
  <c r="L200" i="61"/>
  <c r="AE90" i="49"/>
  <c r="U74" i="49"/>
  <c r="W90" i="49"/>
  <c r="M62" i="62"/>
  <c r="M113" i="62" s="1"/>
  <c r="S129" i="49" s="1"/>
  <c r="O21" i="62"/>
  <c r="U70" i="49" s="1"/>
  <c r="AE21" i="62"/>
  <c r="AK70" i="49" s="1"/>
  <c r="Q61" i="62"/>
  <c r="Q112" i="62" s="1"/>
  <c r="R81" i="62"/>
  <c r="R132" i="62" s="1"/>
  <c r="N66" i="62"/>
  <c r="N117" i="62" s="1"/>
  <c r="W21" i="62"/>
  <c r="AC70" i="49" s="1"/>
  <c r="Y73" i="49"/>
  <c r="AO90" i="49"/>
  <c r="AG90" i="49"/>
  <c r="Y90" i="49"/>
  <c r="Q90" i="49"/>
  <c r="AI80" i="49"/>
  <c r="AN90" i="49"/>
  <c r="AF90" i="49"/>
  <c r="X90" i="49"/>
  <c r="P90" i="49"/>
  <c r="AL90" i="49"/>
  <c r="AD90" i="49"/>
  <c r="V90" i="49"/>
  <c r="J67" i="62"/>
  <c r="J118" i="62" s="1"/>
  <c r="M60" i="62"/>
  <c r="AB94" i="62"/>
  <c r="AO75" i="49"/>
  <c r="AK90" i="49"/>
  <c r="AC90" i="49"/>
  <c r="U90" i="49"/>
  <c r="AC68" i="62"/>
  <c r="AC119" i="62" s="1"/>
  <c r="W67" i="49"/>
  <c r="AJ90" i="49"/>
  <c r="AB90" i="49"/>
  <c r="T90" i="49"/>
  <c r="AA72" i="49"/>
  <c r="AM76" i="49"/>
  <c r="AI90" i="49"/>
  <c r="AA90" i="49"/>
  <c r="S90" i="49"/>
  <c r="AA68" i="49"/>
  <c r="Q75" i="49"/>
  <c r="AG67" i="49"/>
  <c r="Q68" i="49"/>
  <c r="AM68" i="49"/>
  <c r="AM75" i="49"/>
  <c r="AK67" i="49"/>
  <c r="Y68" i="49"/>
  <c r="AM72" i="49"/>
  <c r="W76" i="49"/>
  <c r="AI73" i="49"/>
  <c r="AE76" i="49"/>
  <c r="S74" i="49"/>
  <c r="AG76" i="49"/>
  <c r="O67" i="49"/>
  <c r="O72" i="49"/>
  <c r="AA74" i="49"/>
  <c r="AO79" i="49"/>
  <c r="Y72" i="49"/>
  <c r="Y67" i="49"/>
  <c r="Q72" i="49"/>
  <c r="AC74" i="49"/>
  <c r="AC80" i="49"/>
  <c r="AI72" i="49"/>
  <c r="AC67" i="49"/>
  <c r="W72" i="49"/>
  <c r="AM74" i="49"/>
  <c r="AG71" i="49"/>
  <c r="U75" i="49"/>
  <c r="E68" i="49"/>
  <c r="AN68" i="49"/>
  <c r="AF68" i="49"/>
  <c r="X68" i="49"/>
  <c r="P68" i="49"/>
  <c r="AL68" i="49"/>
  <c r="AD68" i="49"/>
  <c r="V68" i="49"/>
  <c r="AK68" i="49"/>
  <c r="AC68" i="49"/>
  <c r="U68" i="49"/>
  <c r="AJ68" i="49"/>
  <c r="AB68" i="49"/>
  <c r="T68" i="49"/>
  <c r="AP68" i="49"/>
  <c r="AH68" i="49"/>
  <c r="Z68" i="49"/>
  <c r="R68" i="49"/>
  <c r="E71" i="49"/>
  <c r="E75" i="49"/>
  <c r="AL75" i="49"/>
  <c r="AD75" i="49"/>
  <c r="V75" i="49"/>
  <c r="AJ75" i="49"/>
  <c r="AB75" i="49"/>
  <c r="T75" i="49"/>
  <c r="AI75" i="49"/>
  <c r="AA75" i="49"/>
  <c r="S75" i="49"/>
  <c r="AP75" i="49"/>
  <c r="AH75" i="49"/>
  <c r="Z75" i="49"/>
  <c r="R75" i="49"/>
  <c r="AN75" i="49"/>
  <c r="AF75" i="49"/>
  <c r="X75" i="49"/>
  <c r="P75" i="49"/>
  <c r="Q73" i="49"/>
  <c r="Q67" i="49"/>
  <c r="AM67" i="49"/>
  <c r="AE68" i="49"/>
  <c r="O71" i="49"/>
  <c r="AK71" i="49"/>
  <c r="S73" i="49"/>
  <c r="AO73" i="49"/>
  <c r="AE74" i="49"/>
  <c r="W75" i="49"/>
  <c r="O76" i="49"/>
  <c r="Q79" i="49"/>
  <c r="S80" i="49"/>
  <c r="AK73" i="49"/>
  <c r="E72" i="49"/>
  <c r="AN72" i="49"/>
  <c r="AF72" i="49"/>
  <c r="X72" i="49"/>
  <c r="P72" i="49"/>
  <c r="AL72" i="49"/>
  <c r="AD72" i="49"/>
  <c r="V72" i="49"/>
  <c r="AK72" i="49"/>
  <c r="AC72" i="49"/>
  <c r="U72" i="49"/>
  <c r="AJ72" i="49"/>
  <c r="AB72" i="49"/>
  <c r="T72" i="49"/>
  <c r="AP72" i="49"/>
  <c r="AH72" i="49"/>
  <c r="Z72" i="49"/>
  <c r="R72" i="49"/>
  <c r="E76" i="49"/>
  <c r="AN76" i="49"/>
  <c r="AF76" i="49"/>
  <c r="X76" i="49"/>
  <c r="P76" i="49"/>
  <c r="AL76" i="49"/>
  <c r="AD76" i="49"/>
  <c r="V76" i="49"/>
  <c r="AK76" i="49"/>
  <c r="AC76" i="49"/>
  <c r="U76" i="49"/>
  <c r="AJ76" i="49"/>
  <c r="AB76" i="49"/>
  <c r="T76" i="49"/>
  <c r="AI76" i="49"/>
  <c r="AP76" i="49"/>
  <c r="AH76" i="49"/>
  <c r="Z76" i="49"/>
  <c r="R76" i="49"/>
  <c r="U67" i="49"/>
  <c r="AO67" i="49"/>
  <c r="AG68" i="49"/>
  <c r="Q71" i="49"/>
  <c r="AM71" i="49"/>
  <c r="AE72" i="49"/>
  <c r="U73" i="49"/>
  <c r="AI74" i="49"/>
  <c r="Y75" i="49"/>
  <c r="Q76" i="49"/>
  <c r="AO76" i="49"/>
  <c r="S79" i="49"/>
  <c r="U80" i="49"/>
  <c r="AE71" i="49"/>
  <c r="O68" i="49"/>
  <c r="AI68" i="49"/>
  <c r="U71" i="49"/>
  <c r="AG72" i="49"/>
  <c r="O74" i="49"/>
  <c r="AK74" i="49"/>
  <c r="AC75" i="49"/>
  <c r="S76" i="49"/>
  <c r="AA80" i="49"/>
  <c r="AL71" i="49"/>
  <c r="AD71" i="49"/>
  <c r="V71" i="49"/>
  <c r="AJ71" i="49"/>
  <c r="AB71" i="49"/>
  <c r="T71" i="49"/>
  <c r="AI71" i="49"/>
  <c r="AA71" i="49"/>
  <c r="S71" i="49"/>
  <c r="AP71" i="49"/>
  <c r="AH71" i="49"/>
  <c r="Z71" i="49"/>
  <c r="R71" i="49"/>
  <c r="AN71" i="49"/>
  <c r="AF71" i="49"/>
  <c r="X71" i="49"/>
  <c r="P71" i="49"/>
  <c r="E73" i="49"/>
  <c r="AP73" i="49"/>
  <c r="AH73" i="49"/>
  <c r="Z73" i="49"/>
  <c r="R73" i="49"/>
  <c r="AN73" i="49"/>
  <c r="AF73" i="49"/>
  <c r="X73" i="49"/>
  <c r="P73" i="49"/>
  <c r="AM73" i="49"/>
  <c r="AE73" i="49"/>
  <c r="W73" i="49"/>
  <c r="O73" i="49"/>
  <c r="AL73" i="49"/>
  <c r="AD73" i="49"/>
  <c r="V73" i="49"/>
  <c r="AJ73" i="49"/>
  <c r="AB73" i="49"/>
  <c r="T73" i="49"/>
  <c r="E79" i="49"/>
  <c r="AP79" i="49"/>
  <c r="AH79" i="49"/>
  <c r="Z79" i="49"/>
  <c r="R79" i="49"/>
  <c r="AN79" i="49"/>
  <c r="AF79" i="49"/>
  <c r="X79" i="49"/>
  <c r="P79" i="49"/>
  <c r="AM79" i="49"/>
  <c r="AE79" i="49"/>
  <c r="W79" i="49"/>
  <c r="O79" i="49"/>
  <c r="AL79" i="49"/>
  <c r="AD79" i="49"/>
  <c r="V79" i="49"/>
  <c r="AK79" i="49"/>
  <c r="AC79" i="49"/>
  <c r="U79" i="49"/>
  <c r="AJ79" i="49"/>
  <c r="AB79" i="49"/>
  <c r="T79" i="49"/>
  <c r="W71" i="49"/>
  <c r="AA73" i="49"/>
  <c r="AE75" i="49"/>
  <c r="AA79" i="49"/>
  <c r="S68" i="49"/>
  <c r="AO68" i="49"/>
  <c r="Y71" i="49"/>
  <c r="AC73" i="49"/>
  <c r="AG75" i="49"/>
  <c r="Y76" i="49"/>
  <c r="AG79" i="49"/>
  <c r="E67" i="49"/>
  <c r="AL67" i="49"/>
  <c r="AD67" i="49"/>
  <c r="V67" i="49"/>
  <c r="AJ67" i="49"/>
  <c r="AB67" i="49"/>
  <c r="T67" i="49"/>
  <c r="AI67" i="49"/>
  <c r="AA67" i="49"/>
  <c r="S67" i="49"/>
  <c r="AP67" i="49"/>
  <c r="AH67" i="49"/>
  <c r="Z67" i="49"/>
  <c r="R67" i="49"/>
  <c r="AN67" i="49"/>
  <c r="AF67" i="49"/>
  <c r="X67" i="49"/>
  <c r="P67" i="49"/>
  <c r="E74" i="49"/>
  <c r="AJ74" i="49"/>
  <c r="AB74" i="49"/>
  <c r="T74" i="49"/>
  <c r="AP74" i="49"/>
  <c r="AH74" i="49"/>
  <c r="Z74" i="49"/>
  <c r="R74" i="49"/>
  <c r="AO74" i="49"/>
  <c r="AG74" i="49"/>
  <c r="Y74" i="49"/>
  <c r="Q74" i="49"/>
  <c r="AN74" i="49"/>
  <c r="AF74" i="49"/>
  <c r="X74" i="49"/>
  <c r="P74" i="49"/>
  <c r="AL74" i="49"/>
  <c r="AD74" i="49"/>
  <c r="V74" i="49"/>
  <c r="E80" i="49"/>
  <c r="AJ80" i="49"/>
  <c r="AB80" i="49"/>
  <c r="T80" i="49"/>
  <c r="AP80" i="49"/>
  <c r="AH80" i="49"/>
  <c r="Z80" i="49"/>
  <c r="R80" i="49"/>
  <c r="AO80" i="49"/>
  <c r="AG80" i="49"/>
  <c r="Y80" i="49"/>
  <c r="Q80" i="49"/>
  <c r="AN80" i="49"/>
  <c r="AF80" i="49"/>
  <c r="X80" i="49"/>
  <c r="P80" i="49"/>
  <c r="AM80" i="49"/>
  <c r="AE80" i="49"/>
  <c r="W80" i="49"/>
  <c r="O80" i="49"/>
  <c r="AL80" i="49"/>
  <c r="AD80" i="49"/>
  <c r="V80" i="49"/>
  <c r="AE67" i="49"/>
  <c r="W68" i="49"/>
  <c r="AC71" i="49"/>
  <c r="S72" i="49"/>
  <c r="AO72" i="49"/>
  <c r="AG73" i="49"/>
  <c r="W74" i="49"/>
  <c r="O75" i="49"/>
  <c r="AK75" i="49"/>
  <c r="AA76" i="49"/>
  <c r="AI79" i="49"/>
  <c r="AK80" i="49"/>
  <c r="T60" i="62"/>
  <c r="AD66" i="62"/>
  <c r="AD117" i="62" s="1"/>
  <c r="M71" i="62"/>
  <c r="M122" i="62" s="1"/>
  <c r="S137" i="49" s="1"/>
  <c r="AC71" i="62"/>
  <c r="AC122" i="62" s="1"/>
  <c r="AI137" i="49" s="1"/>
  <c r="E16" i="49"/>
  <c r="I16" i="49" s="1"/>
  <c r="I17" i="49"/>
  <c r="I28" i="49"/>
  <c r="J20" i="49"/>
  <c r="I25" i="49"/>
  <c r="I22" i="49"/>
  <c r="I21" i="49"/>
  <c r="J16" i="49"/>
  <c r="J19" i="49"/>
  <c r="K23" i="49"/>
  <c r="J28" i="49"/>
  <c r="J170" i="49" s="1"/>
  <c r="K28" i="49"/>
  <c r="E29" i="49"/>
  <c r="I29" i="49" s="1"/>
  <c r="J29" i="49"/>
  <c r="J171" i="49" s="1"/>
  <c r="K19" i="49"/>
  <c r="M16" i="49"/>
  <c r="K22" i="49"/>
  <c r="J24" i="49"/>
  <c r="J167" i="49" s="1"/>
  <c r="M19" i="49"/>
  <c r="J23" i="49"/>
  <c r="I18" i="49"/>
  <c r="M20" i="49"/>
  <c r="J18" i="49"/>
  <c r="J22" i="49"/>
  <c r="J17" i="49"/>
  <c r="J21" i="49"/>
  <c r="J25" i="49"/>
  <c r="K17" i="49"/>
  <c r="I20" i="49"/>
  <c r="K21" i="49"/>
  <c r="I24" i="49"/>
  <c r="I167" i="49" s="1"/>
  <c r="K25" i="49"/>
  <c r="I19" i="49"/>
  <c r="K20" i="49"/>
  <c r="I23" i="49"/>
  <c r="K24" i="49"/>
  <c r="K167" i="49" s="1"/>
  <c r="K18" i="49"/>
  <c r="T119" i="62"/>
  <c r="P200" i="61"/>
  <c r="AA205" i="61"/>
  <c r="U210" i="61"/>
  <c r="U272" i="61" s="1"/>
  <c r="V65" i="62" s="1"/>
  <c r="V116" i="62" s="1"/>
  <c r="Q201" i="61"/>
  <c r="Q269" i="61" s="1"/>
  <c r="R61" i="62" s="1"/>
  <c r="R112" i="62" s="1"/>
  <c r="L209" i="61"/>
  <c r="M205" i="61"/>
  <c r="W204" i="61"/>
  <c r="W270" i="61" s="1"/>
  <c r="AC206" i="61"/>
  <c r="Q206" i="61"/>
  <c r="Q62" i="62"/>
  <c r="Q113" i="62" s="1"/>
  <c r="W129" i="49" s="1"/>
  <c r="Y62" i="62"/>
  <c r="Y113" i="62" s="1"/>
  <c r="AE129" i="49" s="1"/>
  <c r="AA203" i="61"/>
  <c r="AA275" i="61" s="1"/>
  <c r="AB68" i="62" s="1"/>
  <c r="AB119" i="62" s="1"/>
  <c r="H208" i="61"/>
  <c r="H274" i="61" s="1"/>
  <c r="I67" i="62" s="1"/>
  <c r="I118" i="62" s="1"/>
  <c r="Q210" i="61"/>
  <c r="Q272" i="61" s="1"/>
  <c r="R65" i="62" s="1"/>
  <c r="R116" i="62" s="1"/>
  <c r="Z209" i="61"/>
  <c r="AC204" i="61"/>
  <c r="AC270" i="61" s="1"/>
  <c r="J62" i="62"/>
  <c r="J113" i="62" s="1"/>
  <c r="P129" i="49" s="1"/>
  <c r="AD206" i="61"/>
  <c r="L202" i="61"/>
  <c r="AD210" i="61"/>
  <c r="AD272" i="61" s="1"/>
  <c r="AE65" i="62" s="1"/>
  <c r="AE116" i="62" s="1"/>
  <c r="S205" i="61"/>
  <c r="Q276" i="61"/>
  <c r="R69" i="62" s="1"/>
  <c r="R120" i="62" s="1"/>
  <c r="N119" i="62"/>
  <c r="N11" i="62"/>
  <c r="V11" i="62"/>
  <c r="AD11" i="62"/>
  <c r="M21" i="62"/>
  <c r="S70" i="49" s="1"/>
  <c r="U21" i="62"/>
  <c r="AA70" i="49" s="1"/>
  <c r="AC21" i="62"/>
  <c r="AI70" i="49" s="1"/>
  <c r="U112" i="62"/>
  <c r="X11" i="62"/>
  <c r="O11" i="62"/>
  <c r="W11" i="62"/>
  <c r="AE11" i="62"/>
  <c r="N21" i="62"/>
  <c r="T70" i="49" s="1"/>
  <c r="V21" i="62"/>
  <c r="AB70" i="49" s="1"/>
  <c r="AD21" i="62"/>
  <c r="AJ70" i="49" s="1"/>
  <c r="N112" i="62"/>
  <c r="AF11" i="62"/>
  <c r="Q11" i="62"/>
  <c r="Y11" i="62"/>
  <c r="AG11" i="62"/>
  <c r="P21" i="62"/>
  <c r="V70" i="49" s="1"/>
  <c r="X21" i="62"/>
  <c r="AD70" i="49" s="1"/>
  <c r="AF21" i="62"/>
  <c r="AL70" i="49" s="1"/>
  <c r="J11" i="62"/>
  <c r="R11" i="62"/>
  <c r="Z11" i="62"/>
  <c r="AH11" i="62"/>
  <c r="O70" i="49"/>
  <c r="Q21" i="62"/>
  <c r="W70" i="49" s="1"/>
  <c r="Y21" i="62"/>
  <c r="AE70" i="49" s="1"/>
  <c r="AG21" i="62"/>
  <c r="AM70" i="49" s="1"/>
  <c r="P11" i="62"/>
  <c r="K11" i="62"/>
  <c r="S11" i="62"/>
  <c r="AA11" i="62"/>
  <c r="AI11" i="62"/>
  <c r="J21" i="62"/>
  <c r="P70" i="49" s="1"/>
  <c r="R21" i="62"/>
  <c r="X70" i="49" s="1"/>
  <c r="Z21" i="62"/>
  <c r="AF70" i="49" s="1"/>
  <c r="AH21" i="62"/>
  <c r="AN70" i="49" s="1"/>
  <c r="V121" i="62"/>
  <c r="AB146" i="49" s="1"/>
  <c r="L11" i="62"/>
  <c r="T11" i="62"/>
  <c r="AB11" i="62"/>
  <c r="AJ11" i="62"/>
  <c r="K21" i="62"/>
  <c r="Q70" i="49" s="1"/>
  <c r="S21" i="62"/>
  <c r="Y70" i="49" s="1"/>
  <c r="AA21" i="62"/>
  <c r="AG70" i="49" s="1"/>
  <c r="AI21" i="62"/>
  <c r="AO70" i="49" s="1"/>
  <c r="M11" i="62"/>
  <c r="U11" i="62"/>
  <c r="L21" i="62"/>
  <c r="R70" i="49" s="1"/>
  <c r="T21" i="62"/>
  <c r="Z70" i="49" s="1"/>
  <c r="AB21" i="62"/>
  <c r="AH70" i="49" s="1"/>
  <c r="M202" i="61"/>
  <c r="M276" i="61" s="1"/>
  <c r="N69" i="62" s="1"/>
  <c r="N120" i="62" s="1"/>
  <c r="O200" i="61"/>
  <c r="X206" i="61"/>
  <c r="X242" i="61"/>
  <c r="H234" i="61"/>
  <c r="L241" i="61"/>
  <c r="AA233" i="61"/>
  <c r="AA295" i="61" s="1"/>
  <c r="AB85" i="62" s="1"/>
  <c r="AB135" i="62" s="1"/>
  <c r="I200" i="61"/>
  <c r="AC209" i="61"/>
  <c r="L206" i="61"/>
  <c r="R249" i="61"/>
  <c r="R232" i="61"/>
  <c r="R213" i="61"/>
  <c r="R200" i="61"/>
  <c r="V250" i="61"/>
  <c r="V305" i="61" s="1"/>
  <c r="V233" i="61"/>
  <c r="V295" i="61" s="1"/>
  <c r="W85" i="62" s="1"/>
  <c r="W135" i="62" s="1"/>
  <c r="V201" i="61"/>
  <c r="V269" i="61" s="1"/>
  <c r="W61" i="62" s="1"/>
  <c r="W112" i="62" s="1"/>
  <c r="V214" i="61"/>
  <c r="V279" i="61" s="1"/>
  <c r="W71" i="62" s="1"/>
  <c r="W122" i="62" s="1"/>
  <c r="AC137" i="49" s="1"/>
  <c r="AH251" i="61"/>
  <c r="AH234" i="61"/>
  <c r="AH202" i="61"/>
  <c r="AH276" i="61" s="1"/>
  <c r="AI69" i="62" s="1"/>
  <c r="AI120" i="62" s="1"/>
  <c r="AH215" i="61"/>
  <c r="J247" i="61"/>
  <c r="J253" i="61"/>
  <c r="J306" i="61" s="1"/>
  <c r="J245" i="61"/>
  <c r="J302" i="61" s="1"/>
  <c r="K91" i="62" s="1"/>
  <c r="J236" i="61"/>
  <c r="J296" i="61" s="1"/>
  <c r="K86" i="62" s="1"/>
  <c r="K137" i="62" s="1"/>
  <c r="N254" i="61"/>
  <c r="N237" i="61"/>
  <c r="J257" i="61"/>
  <c r="J308" i="61" s="1"/>
  <c r="J240" i="61"/>
  <c r="J298" i="61" s="1"/>
  <c r="K88" i="62" s="1"/>
  <c r="K139" i="62" s="1"/>
  <c r="N258" i="61"/>
  <c r="N241" i="61"/>
  <c r="N222" i="61"/>
  <c r="N209" i="61"/>
  <c r="R259" i="61"/>
  <c r="R242" i="61"/>
  <c r="R210" i="61"/>
  <c r="R272" i="61" s="1"/>
  <c r="S65" i="62" s="1"/>
  <c r="S116" i="62" s="1"/>
  <c r="R223" i="61"/>
  <c r="R282" i="61" s="1"/>
  <c r="S75" i="62" s="1"/>
  <c r="S126" i="62" s="1"/>
  <c r="Y142" i="49" s="1"/>
  <c r="V260" i="61"/>
  <c r="V304" i="61" s="1"/>
  <c r="V243" i="61"/>
  <c r="V294" i="61" s="1"/>
  <c r="W84" i="62" s="1"/>
  <c r="W141" i="62" s="1"/>
  <c r="V224" i="61"/>
  <c r="V278" i="61" s="1"/>
  <c r="W70" i="62" s="1"/>
  <c r="V211" i="61"/>
  <c r="V268" i="61" s="1"/>
  <c r="W60" i="62" s="1"/>
  <c r="J249" i="61"/>
  <c r="J232" i="61"/>
  <c r="AH249" i="61"/>
  <c r="AH232" i="61"/>
  <c r="AD250" i="61"/>
  <c r="AD305" i="61" s="1"/>
  <c r="AE94" i="62" s="1"/>
  <c r="AD233" i="61"/>
  <c r="AD295" i="61" s="1"/>
  <c r="AE85" i="62" s="1"/>
  <c r="AE135" i="62" s="1"/>
  <c r="R251" i="61"/>
  <c r="R234" i="61"/>
  <c r="R215" i="61"/>
  <c r="R202" i="61"/>
  <c r="V252" i="61"/>
  <c r="V309" i="61" s="1"/>
  <c r="V235" i="61"/>
  <c r="V299" i="61" s="1"/>
  <c r="W89" i="62" s="1"/>
  <c r="W136" i="62" s="1"/>
  <c r="R247" i="61"/>
  <c r="R303" i="61" s="1"/>
  <c r="S92" i="62" s="1"/>
  <c r="R236" i="61"/>
  <c r="R296" i="61" s="1"/>
  <c r="S86" i="62" s="1"/>
  <c r="S137" i="62" s="1"/>
  <c r="R227" i="61"/>
  <c r="R289" i="61" s="1"/>
  <c r="S81" i="62" s="1"/>
  <c r="S132" i="62" s="1"/>
  <c r="R230" i="61"/>
  <c r="R292" i="61" s="1"/>
  <c r="S83" i="62" s="1"/>
  <c r="S134" i="62" s="1"/>
  <c r="Y150" i="49" s="1"/>
  <c r="R217" i="61"/>
  <c r="R280" i="61" s="1"/>
  <c r="R204" i="61"/>
  <c r="R270" i="61" s="1"/>
  <c r="R253" i="61"/>
  <c r="R306" i="61" s="1"/>
  <c r="R245" i="61"/>
  <c r="R302" i="61" s="1"/>
  <c r="S91" i="62" s="1"/>
  <c r="V254" i="61"/>
  <c r="V237" i="61"/>
  <c r="V205" i="61"/>
  <c r="V218" i="61"/>
  <c r="R255" i="61"/>
  <c r="R238" i="61"/>
  <c r="R226" i="61"/>
  <c r="R288" i="61" s="1"/>
  <c r="S80" i="62" s="1"/>
  <c r="R219" i="61"/>
  <c r="R206" i="61"/>
  <c r="R229" i="61"/>
  <c r="R291" i="61" s="1"/>
  <c r="S82" i="62" s="1"/>
  <c r="AH255" i="61"/>
  <c r="AH238" i="61"/>
  <c r="AH226" i="61"/>
  <c r="AH288" i="61" s="1"/>
  <c r="AI80" i="62" s="1"/>
  <c r="AH219" i="61"/>
  <c r="AH206" i="61"/>
  <c r="AH229" i="61"/>
  <c r="Z257" i="61"/>
  <c r="Z308" i="61" s="1"/>
  <c r="AA97" i="62" s="1"/>
  <c r="Z240" i="61"/>
  <c r="Z298" i="61" s="1"/>
  <c r="AA88" i="62" s="1"/>
  <c r="AA139" i="62" s="1"/>
  <c r="V258" i="61"/>
  <c r="V241" i="61"/>
  <c r="V209" i="61"/>
  <c r="V222" i="61"/>
  <c r="AH259" i="61"/>
  <c r="AH242" i="61"/>
  <c r="AH223" i="61"/>
  <c r="AH282" i="61" s="1"/>
  <c r="AI75" i="62" s="1"/>
  <c r="AI126" i="62" s="1"/>
  <c r="AO142" i="49" s="1"/>
  <c r="AH210" i="61"/>
  <c r="AH272" i="61" s="1"/>
  <c r="AI65" i="62" s="1"/>
  <c r="AI116" i="62" s="1"/>
  <c r="Z249" i="61"/>
  <c r="Z232" i="61"/>
  <c r="N250" i="61"/>
  <c r="N305" i="61" s="1"/>
  <c r="O94" i="62" s="1"/>
  <c r="N233" i="61"/>
  <c r="N295" i="61" s="1"/>
  <c r="O85" i="62" s="1"/>
  <c r="O135" i="62" s="1"/>
  <c r="J251" i="61"/>
  <c r="J234" i="61"/>
  <c r="Z251" i="61"/>
  <c r="Z234" i="61"/>
  <c r="N252" i="61"/>
  <c r="N309" i="61" s="1"/>
  <c r="N235" i="61"/>
  <c r="N299" i="61" s="1"/>
  <c r="O89" i="62" s="1"/>
  <c r="O136" i="62" s="1"/>
  <c r="AD252" i="61"/>
  <c r="AD309" i="61" s="1"/>
  <c r="AD235" i="61"/>
  <c r="AD299" i="61" s="1"/>
  <c r="AE89" i="62" s="1"/>
  <c r="AE136" i="62" s="1"/>
  <c r="Z247" i="61"/>
  <c r="Z303" i="61" s="1"/>
  <c r="AA92" i="62" s="1"/>
  <c r="Z253" i="61"/>
  <c r="Z306" i="61" s="1"/>
  <c r="AA95" i="62" s="1"/>
  <c r="Z245" i="61"/>
  <c r="Z302" i="61" s="1"/>
  <c r="AA91" i="62" s="1"/>
  <c r="Z236" i="61"/>
  <c r="Z296" i="61" s="1"/>
  <c r="AA86" i="62" s="1"/>
  <c r="AA137" i="62" s="1"/>
  <c r="AH247" i="61"/>
  <c r="AH227" i="61"/>
  <c r="AH289" i="61" s="1"/>
  <c r="AI81" i="62" s="1"/>
  <c r="AI132" i="62" s="1"/>
  <c r="AH253" i="61"/>
  <c r="AH306" i="61" s="1"/>
  <c r="AH245" i="61"/>
  <c r="AH236" i="61"/>
  <c r="AH296" i="61" s="1"/>
  <c r="AI86" i="62" s="1"/>
  <c r="AI137" i="62" s="1"/>
  <c r="AH230" i="61"/>
  <c r="AH292" i="61" s="1"/>
  <c r="AI83" i="62" s="1"/>
  <c r="AI134" i="62" s="1"/>
  <c r="AO150" i="49" s="1"/>
  <c r="AH204" i="61"/>
  <c r="AH270" i="61" s="1"/>
  <c r="AH217" i="61"/>
  <c r="AH280" i="61" s="1"/>
  <c r="AD254" i="61"/>
  <c r="AD237" i="61"/>
  <c r="Z255" i="61"/>
  <c r="Z226" i="61"/>
  <c r="Z288" i="61" s="1"/>
  <c r="AA80" i="62" s="1"/>
  <c r="Z238" i="61"/>
  <c r="Z219" i="61"/>
  <c r="Z206" i="61"/>
  <c r="V256" i="61"/>
  <c r="V239" i="61"/>
  <c r="V220" i="61"/>
  <c r="V283" i="61" s="1"/>
  <c r="W76" i="62" s="1"/>
  <c r="W127" i="62" s="1"/>
  <c r="AC143" i="49" s="1"/>
  <c r="V207" i="61"/>
  <c r="V273" i="61" s="1"/>
  <c r="W66" i="62" s="1"/>
  <c r="W117" i="62" s="1"/>
  <c r="R257" i="61"/>
  <c r="R308" i="61" s="1"/>
  <c r="R240" i="61"/>
  <c r="R298" i="61" s="1"/>
  <c r="S88" i="62" s="1"/>
  <c r="S139" i="62" s="1"/>
  <c r="R221" i="61"/>
  <c r="R284" i="61" s="1"/>
  <c r="S77" i="62" s="1"/>
  <c r="S128" i="62" s="1"/>
  <c r="Y144" i="49" s="1"/>
  <c r="R208" i="61"/>
  <c r="R274" i="61" s="1"/>
  <c r="S67" i="62" s="1"/>
  <c r="S118" i="62" s="1"/>
  <c r="AH257" i="61"/>
  <c r="AH308" i="61" s="1"/>
  <c r="AH240" i="61"/>
  <c r="AH298" i="61" s="1"/>
  <c r="AI88" i="62" s="1"/>
  <c r="AI139" i="62" s="1"/>
  <c r="AH221" i="61"/>
  <c r="AH284" i="61" s="1"/>
  <c r="AI77" i="62" s="1"/>
  <c r="AI128" i="62" s="1"/>
  <c r="AO144" i="49" s="1"/>
  <c r="AH208" i="61"/>
  <c r="AH274" i="61" s="1"/>
  <c r="AI67" i="62" s="1"/>
  <c r="AI118" i="62" s="1"/>
  <c r="AD258" i="61"/>
  <c r="AD241" i="61"/>
  <c r="AD209" i="61"/>
  <c r="AD222" i="61"/>
  <c r="J223" i="61"/>
  <c r="J282" i="61" s="1"/>
  <c r="K75" i="62" s="1"/>
  <c r="K126" i="62" s="1"/>
  <c r="Q142" i="49" s="1"/>
  <c r="J210" i="61"/>
  <c r="J272" i="61" s="1"/>
  <c r="K65" i="62" s="1"/>
  <c r="K116" i="62" s="1"/>
  <c r="Z223" i="61"/>
  <c r="Z282" i="61" s="1"/>
  <c r="AA75" i="62" s="1"/>
  <c r="AA126" i="62" s="1"/>
  <c r="AG142" i="49" s="1"/>
  <c r="Z210" i="61"/>
  <c r="Z272" i="61" s="1"/>
  <c r="AA65" i="62" s="1"/>
  <c r="AA116" i="62" s="1"/>
  <c r="AD224" i="61"/>
  <c r="AD278" i="61" s="1"/>
  <c r="AE70" i="62" s="1"/>
  <c r="AD211" i="61"/>
  <c r="AD268" i="61" s="1"/>
  <c r="AE60" i="62" s="1"/>
  <c r="U120" i="61"/>
  <c r="U218" i="61" s="1"/>
  <c r="U205" i="61"/>
  <c r="T153" i="61"/>
  <c r="T208" i="61"/>
  <c r="T274" i="61" s="1"/>
  <c r="U67" i="62" s="1"/>
  <c r="U118" i="62" s="1"/>
  <c r="AA186" i="61"/>
  <c r="AA211" i="61"/>
  <c r="AA268" i="61" s="1"/>
  <c r="AB60" i="62" s="1"/>
  <c r="K249" i="61"/>
  <c r="K232" i="61"/>
  <c r="S249" i="61"/>
  <c r="S232" i="61"/>
  <c r="AA249" i="61"/>
  <c r="AA232" i="61"/>
  <c r="AA200" i="61"/>
  <c r="AA213" i="61"/>
  <c r="AI249" i="61"/>
  <c r="AI232" i="61"/>
  <c r="AI200" i="61"/>
  <c r="AI213" i="61"/>
  <c r="O250" i="61"/>
  <c r="O305" i="61" s="1"/>
  <c r="P94" i="62" s="1"/>
  <c r="O233" i="61"/>
  <c r="O295" i="61" s="1"/>
  <c r="P85" i="62" s="1"/>
  <c r="P135" i="62" s="1"/>
  <c r="W250" i="61"/>
  <c r="W305" i="61" s="1"/>
  <c r="X94" i="62" s="1"/>
  <c r="W233" i="61"/>
  <c r="W295" i="61" s="1"/>
  <c r="X85" i="62" s="1"/>
  <c r="X135" i="62" s="1"/>
  <c r="W214" i="61"/>
  <c r="W279" i="61" s="1"/>
  <c r="X71" i="62" s="1"/>
  <c r="X122" i="62" s="1"/>
  <c r="AD137" i="49" s="1"/>
  <c r="AE250" i="61"/>
  <c r="AE305" i="61" s="1"/>
  <c r="AF94" i="62" s="1"/>
  <c r="AE233" i="61"/>
  <c r="AE295" i="61" s="1"/>
  <c r="AF85" i="62" s="1"/>
  <c r="AF135" i="62" s="1"/>
  <c r="K251" i="61"/>
  <c r="K310" i="61" s="1"/>
  <c r="L99" i="62" s="1"/>
  <c r="K234" i="61"/>
  <c r="S251" i="61"/>
  <c r="S234" i="61"/>
  <c r="AA251" i="61"/>
  <c r="AA234" i="61"/>
  <c r="AA202" i="61"/>
  <c r="AA215" i="61"/>
  <c r="AI251" i="61"/>
  <c r="AI234" i="61"/>
  <c r="AI202" i="61"/>
  <c r="AI215" i="61"/>
  <c r="O252" i="61"/>
  <c r="O309" i="61" s="1"/>
  <c r="O235" i="61"/>
  <c r="O299" i="61" s="1"/>
  <c r="P89" i="62" s="1"/>
  <c r="P136" i="62" s="1"/>
  <c r="W252" i="61"/>
  <c r="W309" i="61" s="1"/>
  <c r="X98" i="62" s="1"/>
  <c r="W235" i="61"/>
  <c r="W299" i="61" s="1"/>
  <c r="X89" i="62" s="1"/>
  <c r="X136" i="62" s="1"/>
  <c r="K253" i="61"/>
  <c r="K306" i="61" s="1"/>
  <c r="L95" i="62" s="1"/>
  <c r="K245" i="61"/>
  <c r="K302" i="61" s="1"/>
  <c r="L91" i="62" s="1"/>
  <c r="K236" i="61"/>
  <c r="K296" i="61" s="1"/>
  <c r="L86" i="62" s="1"/>
  <c r="L137" i="62" s="1"/>
  <c r="K247" i="61"/>
  <c r="S253" i="61"/>
  <c r="S306" i="61" s="1"/>
  <c r="S245" i="61"/>
  <c r="S246" i="61" s="1"/>
  <c r="S236" i="61"/>
  <c r="S296" i="61" s="1"/>
  <c r="T86" i="62" s="1"/>
  <c r="T137" i="62" s="1"/>
  <c r="S247" i="61"/>
  <c r="S248" i="61" s="1"/>
  <c r="S227" i="61"/>
  <c r="S289" i="61" s="1"/>
  <c r="T81" i="62" s="1"/>
  <c r="T132" i="62" s="1"/>
  <c r="S230" i="61"/>
  <c r="S292" i="61" s="1"/>
  <c r="T83" i="62" s="1"/>
  <c r="T134" i="62" s="1"/>
  <c r="Z150" i="49" s="1"/>
  <c r="S217" i="61"/>
  <c r="S280" i="61" s="1"/>
  <c r="AA253" i="61"/>
  <c r="AA306" i="61" s="1"/>
  <c r="AA245" i="61"/>
  <c r="AA246" i="61" s="1"/>
  <c r="AA236" i="61"/>
  <c r="AA296" i="61" s="1"/>
  <c r="AB86" i="62" s="1"/>
  <c r="AB137" i="62" s="1"/>
  <c r="AA247" i="61"/>
  <c r="AA248" i="61" s="1"/>
  <c r="AA227" i="61"/>
  <c r="AA289" i="61" s="1"/>
  <c r="AB81" i="62" s="1"/>
  <c r="AB132" i="62" s="1"/>
  <c r="AA230" i="61"/>
  <c r="AA292" i="61" s="1"/>
  <c r="AB83" i="62" s="1"/>
  <c r="AB134" i="62" s="1"/>
  <c r="AH150" i="49" s="1"/>
  <c r="AA217" i="61"/>
  <c r="AA280" i="61" s="1"/>
  <c r="AI253" i="61"/>
  <c r="AI306" i="61" s="1"/>
  <c r="AI245" i="61"/>
  <c r="AI246" i="61" s="1"/>
  <c r="AI236" i="61"/>
  <c r="AI296" i="61" s="1"/>
  <c r="AJ86" i="62" s="1"/>
  <c r="AJ137" i="62" s="1"/>
  <c r="AI247" i="61"/>
  <c r="AI248" i="61" s="1"/>
  <c r="AI227" i="61"/>
  <c r="AI289" i="61" s="1"/>
  <c r="AJ81" i="62" s="1"/>
  <c r="AJ132" i="62" s="1"/>
  <c r="AI230" i="61"/>
  <c r="AI292" i="61" s="1"/>
  <c r="AJ83" i="62" s="1"/>
  <c r="AJ134" i="62" s="1"/>
  <c r="AP150" i="49" s="1"/>
  <c r="AI217" i="61"/>
  <c r="AI280" i="61" s="1"/>
  <c r="O254" i="61"/>
  <c r="O237" i="61"/>
  <c r="W254" i="61"/>
  <c r="W237" i="61"/>
  <c r="AE254" i="61"/>
  <c r="AE237" i="61"/>
  <c r="S255" i="61"/>
  <c r="S238" i="61"/>
  <c r="S226" i="61"/>
  <c r="S288" i="61" s="1"/>
  <c r="T80" i="62" s="1"/>
  <c r="S229" i="61"/>
  <c r="S291" i="61" s="1"/>
  <c r="T82" i="62" s="1"/>
  <c r="S219" i="61"/>
  <c r="AA255" i="61"/>
  <c r="AA238" i="61"/>
  <c r="AA226" i="61"/>
  <c r="AA288" i="61" s="1"/>
  <c r="AB80" i="62" s="1"/>
  <c r="AA229" i="61"/>
  <c r="AA291" i="61" s="1"/>
  <c r="AB82" i="62" s="1"/>
  <c r="AA219" i="61"/>
  <c r="AI255" i="61"/>
  <c r="AI238" i="61"/>
  <c r="AI226" i="61"/>
  <c r="AI229" i="61"/>
  <c r="AI219" i="61"/>
  <c r="W256" i="61"/>
  <c r="W239" i="61"/>
  <c r="K257" i="61"/>
  <c r="K308" i="61" s="1"/>
  <c r="L97" i="62" s="1"/>
  <c r="K240" i="61"/>
  <c r="K298" i="61" s="1"/>
  <c r="L88" i="62" s="1"/>
  <c r="L139" i="62" s="1"/>
  <c r="S257" i="61"/>
  <c r="S308" i="61" s="1"/>
  <c r="T97" i="62" s="1"/>
  <c r="S240" i="61"/>
  <c r="S298" i="61" s="1"/>
  <c r="T88" i="62" s="1"/>
  <c r="T139" i="62" s="1"/>
  <c r="S221" i="61"/>
  <c r="S284" i="61" s="1"/>
  <c r="T77" i="62" s="1"/>
  <c r="T128" i="62" s="1"/>
  <c r="Z144" i="49" s="1"/>
  <c r="AA257" i="61"/>
  <c r="AA308" i="61" s="1"/>
  <c r="AB97" i="62" s="1"/>
  <c r="AA240" i="61"/>
  <c r="AA298" i="61" s="1"/>
  <c r="AB88" i="62" s="1"/>
  <c r="AB139" i="62" s="1"/>
  <c r="AA221" i="61"/>
  <c r="AA284" i="61" s="1"/>
  <c r="AB77" i="62" s="1"/>
  <c r="AB128" i="62" s="1"/>
  <c r="AH144" i="49" s="1"/>
  <c r="AI257" i="61"/>
  <c r="AI308" i="61" s="1"/>
  <c r="AI240" i="61"/>
  <c r="AI298" i="61" s="1"/>
  <c r="AJ88" i="62" s="1"/>
  <c r="AJ139" i="62" s="1"/>
  <c r="AI221" i="61"/>
  <c r="AI284" i="61" s="1"/>
  <c r="AJ77" i="62" s="1"/>
  <c r="AJ128" i="62" s="1"/>
  <c r="AP144" i="49" s="1"/>
  <c r="O258" i="61"/>
  <c r="O241" i="61"/>
  <c r="O222" i="61"/>
  <c r="W258" i="61"/>
  <c r="W241" i="61"/>
  <c r="W222" i="61"/>
  <c r="AE258" i="61"/>
  <c r="AE241" i="61"/>
  <c r="AE222" i="61"/>
  <c r="S259" i="61"/>
  <c r="S242" i="61"/>
  <c r="S223" i="61"/>
  <c r="S282" i="61" s="1"/>
  <c r="T75" i="62" s="1"/>
  <c r="T126" i="62" s="1"/>
  <c r="Z142" i="49" s="1"/>
  <c r="AA259" i="61"/>
  <c r="AA242" i="61"/>
  <c r="AA223" i="61"/>
  <c r="AA282" i="61" s="1"/>
  <c r="AB75" i="62" s="1"/>
  <c r="AB126" i="62" s="1"/>
  <c r="AH142" i="49" s="1"/>
  <c r="AI259" i="61"/>
  <c r="AI242" i="61"/>
  <c r="W260" i="61"/>
  <c r="W304" i="61" s="1"/>
  <c r="X93" i="62" s="1"/>
  <c r="W243" i="61"/>
  <c r="W294" i="61" s="1"/>
  <c r="X84" i="62" s="1"/>
  <c r="X141" i="62" s="1"/>
  <c r="S208" i="61"/>
  <c r="S274" i="61" s="1"/>
  <c r="T67" i="62" s="1"/>
  <c r="T118" i="62" s="1"/>
  <c r="AB201" i="61"/>
  <c r="AB269" i="61" s="1"/>
  <c r="AC61" i="62" s="1"/>
  <c r="AC112" i="62" s="1"/>
  <c r="AA214" i="61"/>
  <c r="AA279" i="61" s="1"/>
  <c r="AB71" i="62" s="1"/>
  <c r="AB122" i="62" s="1"/>
  <c r="AH137" i="49" s="1"/>
  <c r="AC243" i="61"/>
  <c r="AC294" i="61" s="1"/>
  <c r="AD84" i="62" s="1"/>
  <c r="AD141" i="62" s="1"/>
  <c r="Y240" i="61"/>
  <c r="Y298" i="61" s="1"/>
  <c r="Z88" i="62" s="1"/>
  <c r="Z139" i="62" s="1"/>
  <c r="L249" i="61"/>
  <c r="L232" i="61"/>
  <c r="L213" i="61"/>
  <c r="T249" i="61"/>
  <c r="T232" i="61"/>
  <c r="T213" i="61"/>
  <c r="AB249" i="61"/>
  <c r="AB232" i="61"/>
  <c r="AB213" i="61"/>
  <c r="AB200" i="61"/>
  <c r="H250" i="61"/>
  <c r="H305" i="61" s="1"/>
  <c r="I94" i="62" s="1"/>
  <c r="H233" i="61"/>
  <c r="H295" i="61" s="1"/>
  <c r="I85" i="62" s="1"/>
  <c r="I135" i="62" s="1"/>
  <c r="P250" i="61"/>
  <c r="P305" i="61" s="1"/>
  <c r="P233" i="61"/>
  <c r="P295" i="61" s="1"/>
  <c r="Q85" i="62" s="1"/>
  <c r="Q135" i="62" s="1"/>
  <c r="P214" i="61"/>
  <c r="P279" i="61" s="1"/>
  <c r="Q71" i="62" s="1"/>
  <c r="Q122" i="62" s="1"/>
  <c r="W137" i="49" s="1"/>
  <c r="X250" i="61"/>
  <c r="X305" i="61" s="1"/>
  <c r="X233" i="61"/>
  <c r="X295" i="61" s="1"/>
  <c r="Y85" i="62" s="1"/>
  <c r="Y135" i="62" s="1"/>
  <c r="X214" i="61"/>
  <c r="X279" i="61" s="1"/>
  <c r="Y71" i="62" s="1"/>
  <c r="Y122" i="62" s="1"/>
  <c r="AE137" i="49" s="1"/>
  <c r="X201" i="61"/>
  <c r="X269" i="61" s="1"/>
  <c r="Y61" i="62" s="1"/>
  <c r="Y112" i="62" s="1"/>
  <c r="AF250" i="61"/>
  <c r="AF305" i="61" s="1"/>
  <c r="AF233" i="61"/>
  <c r="AF295" i="61" s="1"/>
  <c r="AG85" i="62" s="1"/>
  <c r="AG135" i="62" s="1"/>
  <c r="L251" i="61"/>
  <c r="L234" i="61"/>
  <c r="L215" i="61"/>
  <c r="T251" i="61"/>
  <c r="T234" i="61"/>
  <c r="T215" i="61"/>
  <c r="AB251" i="61"/>
  <c r="AB234" i="61"/>
  <c r="AB215" i="61"/>
  <c r="AB202" i="61"/>
  <c r="P252" i="61"/>
  <c r="P309" i="61" s="1"/>
  <c r="P235" i="61"/>
  <c r="P299" i="61" s="1"/>
  <c r="Q89" i="62" s="1"/>
  <c r="Q136" i="62" s="1"/>
  <c r="X252" i="61"/>
  <c r="X309" i="61" s="1"/>
  <c r="X235" i="61"/>
  <c r="X299" i="61" s="1"/>
  <c r="Y89" i="62" s="1"/>
  <c r="Y136" i="62" s="1"/>
  <c r="L253" i="61"/>
  <c r="L306" i="61" s="1"/>
  <c r="L247" i="61"/>
  <c r="L248" i="61" s="1"/>
  <c r="L245" i="61"/>
  <c r="L246" i="61" s="1"/>
  <c r="L236" i="61"/>
  <c r="L296" i="61" s="1"/>
  <c r="M86" i="62" s="1"/>
  <c r="M137" i="62" s="1"/>
  <c r="L230" i="61"/>
  <c r="L292" i="61" s="1"/>
  <c r="M83" i="62" s="1"/>
  <c r="L227" i="61"/>
  <c r="L289" i="61" s="1"/>
  <c r="M81" i="62" s="1"/>
  <c r="M132" i="62" s="1"/>
  <c r="L217" i="61"/>
  <c r="L280" i="61" s="1"/>
  <c r="T253" i="61"/>
  <c r="T306" i="61" s="1"/>
  <c r="T247" i="61"/>
  <c r="T303" i="61" s="1"/>
  <c r="U92" i="62" s="1"/>
  <c r="T245" i="61"/>
  <c r="T246" i="61" s="1"/>
  <c r="T236" i="61"/>
  <c r="T296" i="61" s="1"/>
  <c r="U86" i="62" s="1"/>
  <c r="U137" i="62" s="1"/>
  <c r="T230" i="61"/>
  <c r="T292" i="61" s="1"/>
  <c r="U83" i="62" s="1"/>
  <c r="U134" i="62" s="1"/>
  <c r="AA150" i="49" s="1"/>
  <c r="T227" i="61"/>
  <c r="T289" i="61" s="1"/>
  <c r="U81" i="62" s="1"/>
  <c r="U132" i="62" s="1"/>
  <c r="T217" i="61"/>
  <c r="T280" i="61" s="1"/>
  <c r="AB253" i="61"/>
  <c r="AB306" i="61" s="1"/>
  <c r="AC95" i="62" s="1"/>
  <c r="AB247" i="61"/>
  <c r="AB248" i="61" s="1"/>
  <c r="AB245" i="61"/>
  <c r="AB302" i="61" s="1"/>
  <c r="AC91" i="62" s="1"/>
  <c r="AB236" i="61"/>
  <c r="AB296" i="61" s="1"/>
  <c r="AC86" i="62" s="1"/>
  <c r="AC137" i="62" s="1"/>
  <c r="AB230" i="61"/>
  <c r="AB292" i="61" s="1"/>
  <c r="AC83" i="62" s="1"/>
  <c r="AC134" i="62" s="1"/>
  <c r="AI150" i="49" s="1"/>
  <c r="AB227" i="61"/>
  <c r="AB289" i="61" s="1"/>
  <c r="AC81" i="62" s="1"/>
  <c r="AC132" i="62" s="1"/>
  <c r="AB217" i="61"/>
  <c r="AB280" i="61" s="1"/>
  <c r="AB204" i="61"/>
  <c r="AB270" i="61" s="1"/>
  <c r="P254" i="61"/>
  <c r="P237" i="61"/>
  <c r="P218" i="61"/>
  <c r="X254" i="61"/>
  <c r="X237" i="61"/>
  <c r="X218" i="61"/>
  <c r="X205" i="61"/>
  <c r="L238" i="61"/>
  <c r="L255" i="61"/>
  <c r="L229" i="61"/>
  <c r="L291" i="61" s="1"/>
  <c r="M82" i="62" s="1"/>
  <c r="L226" i="61"/>
  <c r="L288" i="61" s="1"/>
  <c r="L219" i="61"/>
  <c r="T238" i="61"/>
  <c r="T255" i="61"/>
  <c r="T226" i="61"/>
  <c r="T288" i="61" s="1"/>
  <c r="T290" i="61" s="1"/>
  <c r="AB229" i="61"/>
  <c r="AB219" i="61"/>
  <c r="AB238" i="61"/>
  <c r="AB226" i="61"/>
  <c r="AB288" i="61" s="1"/>
  <c r="AB206" i="61"/>
  <c r="P256" i="61"/>
  <c r="P239" i="61"/>
  <c r="P220" i="61"/>
  <c r="P283" i="61" s="1"/>
  <c r="Q76" i="62" s="1"/>
  <c r="Q127" i="62" s="1"/>
  <c r="W143" i="49" s="1"/>
  <c r="X256" i="61"/>
  <c r="X239" i="61"/>
  <c r="L257" i="61"/>
  <c r="L308" i="61" s="1"/>
  <c r="L221" i="61"/>
  <c r="L284" i="61" s="1"/>
  <c r="M77" i="62" s="1"/>
  <c r="M128" i="62" s="1"/>
  <c r="S144" i="49" s="1"/>
  <c r="L240" i="61"/>
  <c r="L298" i="61" s="1"/>
  <c r="M88" i="62" s="1"/>
  <c r="M139" i="62" s="1"/>
  <c r="T257" i="61"/>
  <c r="T308" i="61" s="1"/>
  <c r="T240" i="61"/>
  <c r="T298" i="61" s="1"/>
  <c r="U88" i="62" s="1"/>
  <c r="U139" i="62" s="1"/>
  <c r="T221" i="61"/>
  <c r="T284" i="61" s="1"/>
  <c r="U77" i="62" s="1"/>
  <c r="U128" i="62" s="1"/>
  <c r="AA144" i="49" s="1"/>
  <c r="AB257" i="61"/>
  <c r="AB308" i="61" s="1"/>
  <c r="AB240" i="61"/>
  <c r="AB298" i="61" s="1"/>
  <c r="AC88" i="62" s="1"/>
  <c r="AC139" i="62" s="1"/>
  <c r="AB221" i="61"/>
  <c r="AB284" i="61" s="1"/>
  <c r="AC77" i="62" s="1"/>
  <c r="AC128" i="62" s="1"/>
  <c r="AI144" i="49" s="1"/>
  <c r="H258" i="61"/>
  <c r="H310" i="61" s="1"/>
  <c r="I99" i="62" s="1"/>
  <c r="H222" i="61"/>
  <c r="H241" i="61"/>
  <c r="P258" i="61"/>
  <c r="P241" i="61"/>
  <c r="P222" i="61"/>
  <c r="X258" i="61"/>
  <c r="X241" i="61"/>
  <c r="X222" i="61"/>
  <c r="AF258" i="61"/>
  <c r="AF241" i="61"/>
  <c r="AF222" i="61"/>
  <c r="L259" i="61"/>
  <c r="L242" i="61"/>
  <c r="T259" i="61"/>
  <c r="T242" i="61"/>
  <c r="T223" i="61"/>
  <c r="T282" i="61" s="1"/>
  <c r="U75" i="62" s="1"/>
  <c r="U126" i="62" s="1"/>
  <c r="AA142" i="49" s="1"/>
  <c r="AB259" i="61"/>
  <c r="AB242" i="61"/>
  <c r="P260" i="61"/>
  <c r="P304" i="61" s="1"/>
  <c r="Q93" i="62" s="1"/>
  <c r="P243" i="61"/>
  <c r="P294" i="61" s="1"/>
  <c r="Q84" i="62" s="1"/>
  <c r="Q141" i="62" s="1"/>
  <c r="P224" i="61"/>
  <c r="P278" i="61" s="1"/>
  <c r="Q70" i="62" s="1"/>
  <c r="X260" i="61"/>
  <c r="X304" i="61" s="1"/>
  <c r="X243" i="61"/>
  <c r="X294" i="61" s="1"/>
  <c r="Y84" i="62" s="1"/>
  <c r="Y141" i="62" s="1"/>
  <c r="T210" i="61"/>
  <c r="T272" i="61" s="1"/>
  <c r="U65" i="62" s="1"/>
  <c r="U116" i="62" s="1"/>
  <c r="W209" i="61"/>
  <c r="O209" i="61"/>
  <c r="T202" i="61"/>
  <c r="T276" i="61" s="1"/>
  <c r="U69" i="62" s="1"/>
  <c r="U120" i="62" s="1"/>
  <c r="W201" i="61"/>
  <c r="W269" i="61" s="1"/>
  <c r="X61" i="62" s="1"/>
  <c r="X112" i="62" s="1"/>
  <c r="AB210" i="61"/>
  <c r="AB272" i="61" s="1"/>
  <c r="AC65" i="62" s="1"/>
  <c r="AC116" i="62" s="1"/>
  <c r="AF209" i="61"/>
  <c r="X209" i="61"/>
  <c r="AB208" i="61"/>
  <c r="AB274" i="61" s="1"/>
  <c r="AC67" i="62" s="1"/>
  <c r="AC118" i="62" s="1"/>
  <c r="AA206" i="61"/>
  <c r="AA204" i="61"/>
  <c r="AA270" i="61" s="1"/>
  <c r="AA201" i="61"/>
  <c r="AA269" i="61" s="1"/>
  <c r="AB61" i="62" s="1"/>
  <c r="AB112" i="62" s="1"/>
  <c r="U243" i="61"/>
  <c r="U294" i="61" s="1"/>
  <c r="V84" i="62" s="1"/>
  <c r="V141" i="62" s="1"/>
  <c r="U260" i="61"/>
  <c r="U304" i="61" s="1"/>
  <c r="M249" i="61"/>
  <c r="M232" i="61"/>
  <c r="M213" i="61"/>
  <c r="U249" i="61"/>
  <c r="U232" i="61"/>
  <c r="U213" i="61"/>
  <c r="AC249" i="61"/>
  <c r="AC232" i="61"/>
  <c r="AC213" i="61"/>
  <c r="I250" i="61"/>
  <c r="I305" i="61" s="1"/>
  <c r="J94" i="62" s="1"/>
  <c r="I233" i="61"/>
  <c r="I295" i="61" s="1"/>
  <c r="J85" i="62" s="1"/>
  <c r="J135" i="62" s="1"/>
  <c r="I214" i="61"/>
  <c r="I279" i="61" s="1"/>
  <c r="J71" i="62" s="1"/>
  <c r="J122" i="62" s="1"/>
  <c r="P137" i="49" s="1"/>
  <c r="Q250" i="61"/>
  <c r="Q305" i="61" s="1"/>
  <c r="R94" i="62" s="1"/>
  <c r="Q233" i="61"/>
  <c r="Q295" i="61" s="1"/>
  <c r="R85" i="62" s="1"/>
  <c r="R135" i="62" s="1"/>
  <c r="Q214" i="61"/>
  <c r="Q279" i="61" s="1"/>
  <c r="R71" i="62" s="1"/>
  <c r="R122" i="62" s="1"/>
  <c r="X137" i="49" s="1"/>
  <c r="Y250" i="61"/>
  <c r="Y305" i="61" s="1"/>
  <c r="Z94" i="62" s="1"/>
  <c r="Y233" i="61"/>
  <c r="Y295" i="61" s="1"/>
  <c r="Z85" i="62" s="1"/>
  <c r="Z135" i="62" s="1"/>
  <c r="AG250" i="61"/>
  <c r="AG305" i="61" s="1"/>
  <c r="AG233" i="61"/>
  <c r="AG295" i="61" s="1"/>
  <c r="AH85" i="62" s="1"/>
  <c r="AH135" i="62" s="1"/>
  <c r="M251" i="61"/>
  <c r="M234" i="61"/>
  <c r="M215" i="61"/>
  <c r="U251" i="61"/>
  <c r="U234" i="61"/>
  <c r="U215" i="61"/>
  <c r="AC251" i="61"/>
  <c r="AC234" i="61"/>
  <c r="AC215" i="61"/>
  <c r="I252" i="61"/>
  <c r="I309" i="61" s="1"/>
  <c r="I235" i="61"/>
  <c r="I299" i="61" s="1"/>
  <c r="J89" i="62" s="1"/>
  <c r="J136" i="62" s="1"/>
  <c r="Q252" i="61"/>
  <c r="Q309" i="61" s="1"/>
  <c r="Q235" i="61"/>
  <c r="Q299" i="61" s="1"/>
  <c r="R89" i="62" s="1"/>
  <c r="R136" i="62" s="1"/>
  <c r="Y252" i="61"/>
  <c r="Y309" i="61" s="1"/>
  <c r="Z98" i="62" s="1"/>
  <c r="Y235" i="61"/>
  <c r="Y299" i="61" s="1"/>
  <c r="Z89" i="62" s="1"/>
  <c r="Z136" i="62" s="1"/>
  <c r="AG252" i="61"/>
  <c r="AG309" i="61" s="1"/>
  <c r="AG235" i="61"/>
  <c r="AG299" i="61" s="1"/>
  <c r="AH89" i="62" s="1"/>
  <c r="AH136" i="62" s="1"/>
  <c r="M247" i="61"/>
  <c r="M303" i="61" s="1"/>
  <c r="N92" i="62" s="1"/>
  <c r="M253" i="61"/>
  <c r="M306" i="61" s="1"/>
  <c r="N95" i="62" s="1"/>
  <c r="M245" i="61"/>
  <c r="M246" i="61" s="1"/>
  <c r="M236" i="61"/>
  <c r="M296" i="61" s="1"/>
  <c r="N86" i="62" s="1"/>
  <c r="N137" i="62" s="1"/>
  <c r="M230" i="61"/>
  <c r="M217" i="61"/>
  <c r="M280" i="61" s="1"/>
  <c r="M227" i="61"/>
  <c r="U247" i="61"/>
  <c r="U248" i="61" s="1"/>
  <c r="U253" i="61"/>
  <c r="U306" i="61" s="1"/>
  <c r="U245" i="61"/>
  <c r="U246" i="61" s="1"/>
  <c r="U236" i="61"/>
  <c r="U296" i="61" s="1"/>
  <c r="V86" i="62" s="1"/>
  <c r="V137" i="62" s="1"/>
  <c r="U230" i="61"/>
  <c r="U292" i="61" s="1"/>
  <c r="V83" i="62" s="1"/>
  <c r="V134" i="62" s="1"/>
  <c r="AB150" i="49" s="1"/>
  <c r="U227" i="61"/>
  <c r="U289" i="61" s="1"/>
  <c r="V81" i="62" s="1"/>
  <c r="V132" i="62" s="1"/>
  <c r="U217" i="61"/>
  <c r="U280" i="61" s="1"/>
  <c r="AC247" i="61"/>
  <c r="AC253" i="61"/>
  <c r="AC306" i="61" s="1"/>
  <c r="AC245" i="61"/>
  <c r="AC302" i="61" s="1"/>
  <c r="AD91" i="62" s="1"/>
  <c r="AC236" i="61"/>
  <c r="AC296" i="61" s="1"/>
  <c r="AD86" i="62" s="1"/>
  <c r="AD137" i="62" s="1"/>
  <c r="AC230" i="61"/>
  <c r="AC292" i="61" s="1"/>
  <c r="AD83" i="62" s="1"/>
  <c r="AD134" i="62" s="1"/>
  <c r="AJ150" i="49" s="1"/>
  <c r="AC227" i="61"/>
  <c r="AC289" i="61" s="1"/>
  <c r="AD81" i="62" s="1"/>
  <c r="AD132" i="62" s="1"/>
  <c r="AC217" i="61"/>
  <c r="AC280" i="61" s="1"/>
  <c r="I254" i="61"/>
  <c r="I237" i="61"/>
  <c r="Q254" i="61"/>
  <c r="Q237" i="61"/>
  <c r="Q218" i="61"/>
  <c r="Y254" i="61"/>
  <c r="Y237" i="61"/>
  <c r="AG254" i="61"/>
  <c r="AG237" i="61"/>
  <c r="M255" i="61"/>
  <c r="M238" i="61"/>
  <c r="M229" i="61"/>
  <c r="M291" i="61" s="1"/>
  <c r="N82" i="62" s="1"/>
  <c r="M219" i="61"/>
  <c r="M226" i="61"/>
  <c r="M288" i="61" s="1"/>
  <c r="N80" i="62" s="1"/>
  <c r="U255" i="61"/>
  <c r="U238" i="61"/>
  <c r="U229" i="61"/>
  <c r="U219" i="61"/>
  <c r="AC255" i="61"/>
  <c r="AC229" i="61"/>
  <c r="AC291" i="61" s="1"/>
  <c r="AD82" i="62" s="1"/>
  <c r="AC219" i="61"/>
  <c r="I256" i="61"/>
  <c r="I239" i="61"/>
  <c r="I220" i="61"/>
  <c r="I283" i="61" s="1"/>
  <c r="J76" i="62" s="1"/>
  <c r="J127" i="62" s="1"/>
  <c r="P143" i="49" s="1"/>
  <c r="Q239" i="61"/>
  <c r="Q256" i="61"/>
  <c r="M257" i="61"/>
  <c r="M308" i="61" s="1"/>
  <c r="N97" i="62" s="1"/>
  <c r="M240" i="61"/>
  <c r="M298" i="61" s="1"/>
  <c r="N88" i="62" s="1"/>
  <c r="N139" i="62" s="1"/>
  <c r="M221" i="61"/>
  <c r="M284" i="61" s="1"/>
  <c r="N77" i="62" s="1"/>
  <c r="N128" i="62" s="1"/>
  <c r="T144" i="49" s="1"/>
  <c r="U257" i="61"/>
  <c r="U308" i="61" s="1"/>
  <c r="U240" i="61"/>
  <c r="U298" i="61" s="1"/>
  <c r="V88" i="62" s="1"/>
  <c r="V139" i="62" s="1"/>
  <c r="U221" i="61"/>
  <c r="U284" i="61" s="1"/>
  <c r="V77" i="62" s="1"/>
  <c r="V128" i="62" s="1"/>
  <c r="AB144" i="49" s="1"/>
  <c r="AC257" i="61"/>
  <c r="AC308" i="61" s="1"/>
  <c r="AD97" i="62" s="1"/>
  <c r="AC240" i="61"/>
  <c r="AC298" i="61" s="1"/>
  <c r="AD88" i="62" s="1"/>
  <c r="AD139" i="62" s="1"/>
  <c r="AC221" i="61"/>
  <c r="AC284" i="61" s="1"/>
  <c r="AD77" i="62" s="1"/>
  <c r="AD128" i="62" s="1"/>
  <c r="AJ144" i="49" s="1"/>
  <c r="I258" i="61"/>
  <c r="I222" i="61"/>
  <c r="I241" i="61"/>
  <c r="Q258" i="61"/>
  <c r="Q241" i="61"/>
  <c r="Q222" i="61"/>
  <c r="Y258" i="61"/>
  <c r="AG258" i="61"/>
  <c r="AG241" i="61"/>
  <c r="M259" i="61"/>
  <c r="M242" i="61"/>
  <c r="U259" i="61"/>
  <c r="U242" i="61"/>
  <c r="U223" i="61"/>
  <c r="U282" i="61" s="1"/>
  <c r="V75" i="62" s="1"/>
  <c r="V126" i="62" s="1"/>
  <c r="AB142" i="49" s="1"/>
  <c r="AC259" i="61"/>
  <c r="AC242" i="61"/>
  <c r="I260" i="61"/>
  <c r="I304" i="61" s="1"/>
  <c r="I243" i="61"/>
  <c r="I294" i="61" s="1"/>
  <c r="J84" i="62" s="1"/>
  <c r="J141" i="62" s="1"/>
  <c r="Q260" i="61"/>
  <c r="Q304" i="61" s="1"/>
  <c r="Q243" i="61"/>
  <c r="Q294" i="61" s="1"/>
  <c r="R84" i="62" s="1"/>
  <c r="R141" i="62" s="1"/>
  <c r="H209" i="61"/>
  <c r="P211" i="61"/>
  <c r="P268" i="61" s="1"/>
  <c r="Q60" i="62" s="1"/>
  <c r="S210" i="61"/>
  <c r="S272" i="61" s="1"/>
  <c r="T65" i="62" s="1"/>
  <c r="T116" i="62" s="1"/>
  <c r="U204" i="61"/>
  <c r="U270" i="61" s="1"/>
  <c r="M204" i="61"/>
  <c r="M270" i="61" s="1"/>
  <c r="AA210" i="61"/>
  <c r="AA272" i="61" s="1"/>
  <c r="AB65" i="62" s="1"/>
  <c r="AB116" i="62" s="1"/>
  <c r="AE209" i="61"/>
  <c r="AI208" i="61"/>
  <c r="AI274" i="61" s="1"/>
  <c r="AJ67" i="62" s="1"/>
  <c r="AJ118" i="62" s="1"/>
  <c r="AA208" i="61"/>
  <c r="AA274" i="61" s="1"/>
  <c r="AB67" i="62" s="1"/>
  <c r="AB118" i="62" s="1"/>
  <c r="AI206" i="61"/>
  <c r="P213" i="61"/>
  <c r="M243" i="61"/>
  <c r="M294" i="61" s="1"/>
  <c r="N84" i="62" s="1"/>
  <c r="N141" i="62" s="1"/>
  <c r="N249" i="61"/>
  <c r="N232" i="61"/>
  <c r="V249" i="61"/>
  <c r="V232" i="61"/>
  <c r="V213" i="61"/>
  <c r="AD249" i="61"/>
  <c r="AD232" i="61"/>
  <c r="J250" i="61"/>
  <c r="J305" i="61" s="1"/>
  <c r="K94" i="62" s="1"/>
  <c r="J233" i="61"/>
  <c r="J295" i="61" s="1"/>
  <c r="K85" i="62" s="1"/>
  <c r="K135" i="62" s="1"/>
  <c r="R250" i="61"/>
  <c r="R305" i="61" s="1"/>
  <c r="S94" i="62" s="1"/>
  <c r="R233" i="61"/>
  <c r="R295" i="61" s="1"/>
  <c r="S85" i="62" s="1"/>
  <c r="S135" i="62" s="1"/>
  <c r="R214" i="61"/>
  <c r="R279" i="61" s="1"/>
  <c r="S71" i="62" s="1"/>
  <c r="S122" i="62" s="1"/>
  <c r="Y137" i="49" s="1"/>
  <c r="Z250" i="61"/>
  <c r="Z305" i="61" s="1"/>
  <c r="AA94" i="62" s="1"/>
  <c r="Z233" i="61"/>
  <c r="Z295" i="61" s="1"/>
  <c r="AA85" i="62" s="1"/>
  <c r="AA135" i="62" s="1"/>
  <c r="AH250" i="61"/>
  <c r="AH305" i="61" s="1"/>
  <c r="AI94" i="62" s="1"/>
  <c r="AH233" i="61"/>
  <c r="AH295" i="61" s="1"/>
  <c r="AI85" i="62" s="1"/>
  <c r="AI135" i="62" s="1"/>
  <c r="N251" i="61"/>
  <c r="N234" i="61"/>
  <c r="V251" i="61"/>
  <c r="V310" i="61" s="1"/>
  <c r="W99" i="62" s="1"/>
  <c r="V234" i="61"/>
  <c r="V300" i="61" s="1"/>
  <c r="W90" i="62" s="1"/>
  <c r="W140" i="62" s="1"/>
  <c r="V215" i="61"/>
  <c r="AD251" i="61"/>
  <c r="AD310" i="61" s="1"/>
  <c r="AE99" i="62" s="1"/>
  <c r="AD234" i="61"/>
  <c r="R252" i="61"/>
  <c r="R309" i="61" s="1"/>
  <c r="R235" i="61"/>
  <c r="R299" i="61" s="1"/>
  <c r="S89" i="62" s="1"/>
  <c r="S136" i="62" s="1"/>
  <c r="R216" i="61"/>
  <c r="R285" i="61" s="1"/>
  <c r="S78" i="62" s="1"/>
  <c r="S129" i="62" s="1"/>
  <c r="Y138" i="49" s="1"/>
  <c r="Z252" i="61"/>
  <c r="Z309" i="61" s="1"/>
  <c r="Z235" i="61"/>
  <c r="Z299" i="61" s="1"/>
  <c r="AA89" i="62" s="1"/>
  <c r="AA136" i="62" s="1"/>
  <c r="AH252" i="61"/>
  <c r="AH309" i="61" s="1"/>
  <c r="AH235" i="61"/>
  <c r="AH299" i="61" s="1"/>
  <c r="AI89" i="62" s="1"/>
  <c r="AI136" i="62" s="1"/>
  <c r="N253" i="61"/>
  <c r="N306" i="61" s="1"/>
  <c r="N245" i="61"/>
  <c r="N236" i="61"/>
  <c r="N296" i="61" s="1"/>
  <c r="O86" i="62" s="1"/>
  <c r="O137" i="62" s="1"/>
  <c r="N247" i="61"/>
  <c r="N303" i="61" s="1"/>
  <c r="O92" i="62" s="1"/>
  <c r="V253" i="61"/>
  <c r="V306" i="61" s="1"/>
  <c r="V245" i="61"/>
  <c r="V246" i="61" s="1"/>
  <c r="V236" i="61"/>
  <c r="V296" i="61" s="1"/>
  <c r="W86" i="62" s="1"/>
  <c r="W137" i="62" s="1"/>
  <c r="V217" i="61"/>
  <c r="V280" i="61" s="1"/>
  <c r="V247" i="61"/>
  <c r="V248" i="61" s="1"/>
  <c r="V227" i="61"/>
  <c r="AD253" i="61"/>
  <c r="AD306" i="61" s="1"/>
  <c r="AE95" i="62" s="1"/>
  <c r="AD245" i="61"/>
  <c r="AD302" i="61" s="1"/>
  <c r="AE91" i="62" s="1"/>
  <c r="AD236" i="61"/>
  <c r="AD296" i="61" s="1"/>
  <c r="AE86" i="62" s="1"/>
  <c r="AE137" i="62" s="1"/>
  <c r="AD247" i="61"/>
  <c r="AD303" i="61" s="1"/>
  <c r="AE92" i="62" s="1"/>
  <c r="R254" i="61"/>
  <c r="R237" i="61"/>
  <c r="R218" i="61"/>
  <c r="Z254" i="61"/>
  <c r="Z237" i="61"/>
  <c r="AH254" i="61"/>
  <c r="AH237" i="61"/>
  <c r="AH218" i="61"/>
  <c r="N255" i="61"/>
  <c r="N238" i="61"/>
  <c r="N219" i="61"/>
  <c r="V255" i="61"/>
  <c r="V238" i="61"/>
  <c r="V226" i="61"/>
  <c r="V288" i="61" s="1"/>
  <c r="W80" i="62" s="1"/>
  <c r="V229" i="61"/>
  <c r="V291" i="61" s="1"/>
  <c r="W82" i="62" s="1"/>
  <c r="V219" i="61"/>
  <c r="AD255" i="61"/>
  <c r="AD238" i="61"/>
  <c r="AD219" i="61"/>
  <c r="R256" i="61"/>
  <c r="R239" i="61"/>
  <c r="AH256" i="61"/>
  <c r="AH239" i="61"/>
  <c r="N257" i="61"/>
  <c r="N308" i="61" s="1"/>
  <c r="O97" i="62" s="1"/>
  <c r="V221" i="61"/>
  <c r="V284" i="61" s="1"/>
  <c r="W77" i="62" s="1"/>
  <c r="W128" i="62" s="1"/>
  <c r="AC144" i="49" s="1"/>
  <c r="V240" i="61"/>
  <c r="V298" i="61" s="1"/>
  <c r="W88" i="62" s="1"/>
  <c r="W139" i="62" s="1"/>
  <c r="V257" i="61"/>
  <c r="V308" i="61" s="1"/>
  <c r="AD240" i="61"/>
  <c r="AD298" i="61" s="1"/>
  <c r="AE88" i="62" s="1"/>
  <c r="AE139" i="62" s="1"/>
  <c r="AD221" i="61"/>
  <c r="AD284" i="61" s="1"/>
  <c r="AE77" i="62" s="1"/>
  <c r="AE128" i="62" s="1"/>
  <c r="AK144" i="49" s="1"/>
  <c r="AD257" i="61"/>
  <c r="AD308" i="61" s="1"/>
  <c r="J258" i="61"/>
  <c r="J241" i="61"/>
  <c r="J222" i="61"/>
  <c r="R258" i="61"/>
  <c r="R241" i="61"/>
  <c r="R222" i="61"/>
  <c r="Z258" i="61"/>
  <c r="Z310" i="61" s="1"/>
  <c r="AA99" i="62" s="1"/>
  <c r="Z241" i="61"/>
  <c r="Z300" i="61" s="1"/>
  <c r="AA90" i="62" s="1"/>
  <c r="AA140" i="62" s="1"/>
  <c r="Z222" i="61"/>
  <c r="AH258" i="61"/>
  <c r="AH241" i="61"/>
  <c r="AH222" i="61"/>
  <c r="V259" i="61"/>
  <c r="V223" i="61"/>
  <c r="V282" i="61" s="1"/>
  <c r="W75" i="62" s="1"/>
  <c r="W126" i="62" s="1"/>
  <c r="AC142" i="49" s="1"/>
  <c r="V242" i="61"/>
  <c r="AD223" i="61"/>
  <c r="AD282" i="61" s="1"/>
  <c r="AE75" i="62" s="1"/>
  <c r="AE126" i="62" s="1"/>
  <c r="AK142" i="49" s="1"/>
  <c r="R260" i="61"/>
  <c r="R304" i="61" s="1"/>
  <c r="S93" i="62" s="1"/>
  <c r="R243" i="61"/>
  <c r="R294" i="61" s="1"/>
  <c r="S84" i="62" s="1"/>
  <c r="S141" i="62" s="1"/>
  <c r="AH260" i="61"/>
  <c r="AH304" i="61" s="1"/>
  <c r="AH243" i="61"/>
  <c r="AH294" i="61" s="1"/>
  <c r="AI84" i="62" s="1"/>
  <c r="AI141" i="62" s="1"/>
  <c r="L201" i="61"/>
  <c r="L269" i="61" s="1"/>
  <c r="M61" i="62" s="1"/>
  <c r="M112" i="62" s="1"/>
  <c r="V206" i="61"/>
  <c r="N206" i="61"/>
  <c r="Q205" i="61"/>
  <c r="T204" i="61"/>
  <c r="T270" i="61" s="1"/>
  <c r="AI214" i="61"/>
  <c r="AI279" i="61" s="1"/>
  <c r="AJ71" i="62" s="1"/>
  <c r="AJ122" i="62" s="1"/>
  <c r="AP137" i="49" s="1"/>
  <c r="AB255" i="61"/>
  <c r="O251" i="61"/>
  <c r="O234" i="61"/>
  <c r="O215" i="61"/>
  <c r="W251" i="61"/>
  <c r="W234" i="61"/>
  <c r="W215" i="61"/>
  <c r="AE251" i="61"/>
  <c r="AE234" i="61"/>
  <c r="S252" i="61"/>
  <c r="S309" i="61" s="1"/>
  <c r="S235" i="61"/>
  <c r="S299" i="61" s="1"/>
  <c r="T89" i="62" s="1"/>
  <c r="T136" i="62" s="1"/>
  <c r="AA252" i="61"/>
  <c r="AA309" i="61" s="1"/>
  <c r="AB98" i="62" s="1"/>
  <c r="AA235" i="61"/>
  <c r="AA299" i="61" s="1"/>
  <c r="AB89" i="62" s="1"/>
  <c r="AB136" i="62" s="1"/>
  <c r="AA216" i="61"/>
  <c r="AA285" i="61" s="1"/>
  <c r="AB78" i="62" s="1"/>
  <c r="AB129" i="62" s="1"/>
  <c r="AH138" i="49" s="1"/>
  <c r="AI252" i="61"/>
  <c r="AI309" i="61" s="1"/>
  <c r="AI235" i="61"/>
  <c r="AI299" i="61" s="1"/>
  <c r="AJ89" i="62" s="1"/>
  <c r="AJ136" i="62" s="1"/>
  <c r="O253" i="61"/>
  <c r="O306" i="61" s="1"/>
  <c r="O245" i="61"/>
  <c r="O236" i="61"/>
  <c r="O296" i="61" s="1"/>
  <c r="P86" i="62" s="1"/>
  <c r="P137" i="62" s="1"/>
  <c r="O247" i="61"/>
  <c r="W253" i="61"/>
  <c r="W306" i="61" s="1"/>
  <c r="X95" i="62" s="1"/>
  <c r="W245" i="61"/>
  <c r="W246" i="61" s="1"/>
  <c r="W236" i="61"/>
  <c r="W296" i="61" s="1"/>
  <c r="X86" i="62" s="1"/>
  <c r="X137" i="62" s="1"/>
  <c r="W247" i="61"/>
  <c r="W303" i="61" s="1"/>
  <c r="X92" i="62" s="1"/>
  <c r="W217" i="61"/>
  <c r="W280" i="61" s="1"/>
  <c r="W227" i="61"/>
  <c r="W289" i="61" s="1"/>
  <c r="X81" i="62" s="1"/>
  <c r="X132" i="62" s="1"/>
  <c r="W230" i="61"/>
  <c r="W292" i="61" s="1"/>
  <c r="X83" i="62" s="1"/>
  <c r="X134" i="62" s="1"/>
  <c r="AD150" i="49" s="1"/>
  <c r="AE253" i="61"/>
  <c r="AE306" i="61" s="1"/>
  <c r="AF95" i="62" s="1"/>
  <c r="AE245" i="61"/>
  <c r="AE302" i="61" s="1"/>
  <c r="AF91" i="62" s="1"/>
  <c r="AE236" i="61"/>
  <c r="AE296" i="61" s="1"/>
  <c r="AF86" i="62" s="1"/>
  <c r="AF137" i="62" s="1"/>
  <c r="AE247" i="61"/>
  <c r="AE303" i="61" s="1"/>
  <c r="AF92" i="62" s="1"/>
  <c r="S254" i="61"/>
  <c r="S237" i="61"/>
  <c r="S218" i="61"/>
  <c r="AA254" i="61"/>
  <c r="AA237" i="61"/>
  <c r="AA218" i="61"/>
  <c r="AI254" i="61"/>
  <c r="AI237" i="61"/>
  <c r="AI218" i="61"/>
  <c r="O255" i="61"/>
  <c r="O238" i="61"/>
  <c r="W255" i="61"/>
  <c r="W238" i="61"/>
  <c r="AE255" i="61"/>
  <c r="AE238" i="61"/>
  <c r="AE219" i="61"/>
  <c r="S256" i="61"/>
  <c r="S239" i="61"/>
  <c r="AA256" i="61"/>
  <c r="AA220" i="61"/>
  <c r="AA283" i="61" s="1"/>
  <c r="AB76" i="62" s="1"/>
  <c r="AB127" i="62" s="1"/>
  <c r="AH143" i="49" s="1"/>
  <c r="AI256" i="61"/>
  <c r="AI220" i="61"/>
  <c r="AI283" i="61" s="1"/>
  <c r="AJ76" i="62" s="1"/>
  <c r="AJ127" i="62" s="1"/>
  <c r="AP143" i="49" s="1"/>
  <c r="AI239" i="61"/>
  <c r="O257" i="61"/>
  <c r="O308" i="61" s="1"/>
  <c r="P97" i="62" s="1"/>
  <c r="O240" i="61"/>
  <c r="O298" i="61" s="1"/>
  <c r="P88" i="62" s="1"/>
  <c r="P139" i="62" s="1"/>
  <c r="O221" i="61"/>
  <c r="O284" i="61" s="1"/>
  <c r="P77" i="62" s="1"/>
  <c r="P128" i="62" s="1"/>
  <c r="V144" i="49" s="1"/>
  <c r="W257" i="61"/>
  <c r="W308" i="61" s="1"/>
  <c r="X97" i="62" s="1"/>
  <c r="W221" i="61"/>
  <c r="W284" i="61" s="1"/>
  <c r="X77" i="62" s="1"/>
  <c r="X128" i="62" s="1"/>
  <c r="AD144" i="49" s="1"/>
  <c r="W240" i="61"/>
  <c r="W298" i="61" s="1"/>
  <c r="X88" i="62" s="1"/>
  <c r="X139" i="62" s="1"/>
  <c r="AE257" i="61"/>
  <c r="AE308" i="61" s="1"/>
  <c r="AE240" i="61"/>
  <c r="AE298" i="61" s="1"/>
  <c r="AF88" i="62" s="1"/>
  <c r="AF139" i="62" s="1"/>
  <c r="AE221" i="61"/>
  <c r="AE284" i="61" s="1"/>
  <c r="AF77" i="62" s="1"/>
  <c r="AF128" i="62" s="1"/>
  <c r="AL144" i="49" s="1"/>
  <c r="K241" i="61"/>
  <c r="S258" i="61"/>
  <c r="S222" i="61"/>
  <c r="S241" i="61"/>
  <c r="S300" i="61" s="1"/>
  <c r="T90" i="62" s="1"/>
  <c r="T140" i="62" s="1"/>
  <c r="AA241" i="61"/>
  <c r="AA258" i="61"/>
  <c r="AA222" i="61"/>
  <c r="AI258" i="61"/>
  <c r="AI222" i="61"/>
  <c r="AI286" i="61" s="1"/>
  <c r="AJ79" i="62" s="1"/>
  <c r="AJ130" i="62" s="1"/>
  <c r="AP145" i="49" s="1"/>
  <c r="AI241" i="61"/>
  <c r="W259" i="61"/>
  <c r="W242" i="61"/>
  <c r="W223" i="61"/>
  <c r="W282" i="61" s="1"/>
  <c r="X75" i="62" s="1"/>
  <c r="X126" i="62" s="1"/>
  <c r="AD142" i="49" s="1"/>
  <c r="AE223" i="61"/>
  <c r="AE282" i="61" s="1"/>
  <c r="AF75" i="62" s="1"/>
  <c r="AF126" i="62" s="1"/>
  <c r="AL142" i="49" s="1"/>
  <c r="S260" i="61"/>
  <c r="S304" i="61" s="1"/>
  <c r="T93" i="62" s="1"/>
  <c r="S243" i="61"/>
  <c r="S294" i="61" s="1"/>
  <c r="T84" i="62" s="1"/>
  <c r="T141" i="62" s="1"/>
  <c r="AA260" i="61"/>
  <c r="AA304" i="61" s="1"/>
  <c r="AA224" i="61"/>
  <c r="AA278" i="61" s="1"/>
  <c r="AB70" i="62" s="1"/>
  <c r="AA243" i="61"/>
  <c r="AA294" i="61" s="1"/>
  <c r="AB84" i="62" s="1"/>
  <c r="AB141" i="62" s="1"/>
  <c r="AI260" i="61"/>
  <c r="AI304" i="61" s="1"/>
  <c r="AI243" i="61"/>
  <c r="AI294" i="61" s="1"/>
  <c r="AJ84" i="62" s="1"/>
  <c r="AJ141" i="62" s="1"/>
  <c r="K209" i="61"/>
  <c r="W208" i="61"/>
  <c r="W274" i="61" s="1"/>
  <c r="X67" i="62" s="1"/>
  <c r="X118" i="62" s="1"/>
  <c r="O208" i="61"/>
  <c r="O274" i="61" s="1"/>
  <c r="P67" i="62" s="1"/>
  <c r="P118" i="62" s="1"/>
  <c r="U206" i="61"/>
  <c r="M206" i="61"/>
  <c r="P205" i="61"/>
  <c r="S204" i="61"/>
  <c r="S270" i="61" s="1"/>
  <c r="W200" i="61"/>
  <c r="AI205" i="61"/>
  <c r="AI204" i="61"/>
  <c r="AI270" i="61" s="1"/>
  <c r="AC202" i="61"/>
  <c r="V230" i="61"/>
  <c r="V292" i="61" s="1"/>
  <c r="W83" i="62" s="1"/>
  <c r="W134" i="62" s="1"/>
  <c r="AC150" i="49" s="1"/>
  <c r="AC238" i="61"/>
  <c r="P251" i="61"/>
  <c r="P234" i="61"/>
  <c r="P215" i="61"/>
  <c r="X251" i="61"/>
  <c r="X215" i="61"/>
  <c r="X234" i="61"/>
  <c r="AF251" i="61"/>
  <c r="AF234" i="61"/>
  <c r="L252" i="61"/>
  <c r="L309" i="61" s="1"/>
  <c r="L235" i="61"/>
  <c r="L299" i="61" s="1"/>
  <c r="M89" i="62" s="1"/>
  <c r="M136" i="62" s="1"/>
  <c r="T252" i="61"/>
  <c r="T309" i="61" s="1"/>
  <c r="U98" i="62" s="1"/>
  <c r="T235" i="61"/>
  <c r="T299" i="61" s="1"/>
  <c r="U89" i="62" s="1"/>
  <c r="U136" i="62" s="1"/>
  <c r="AB252" i="61"/>
  <c r="AB309" i="61" s="1"/>
  <c r="AC98" i="62" s="1"/>
  <c r="AB235" i="61"/>
  <c r="AB299" i="61" s="1"/>
  <c r="AC89" i="62" s="1"/>
  <c r="AC136" i="62" s="1"/>
  <c r="H253" i="61"/>
  <c r="H306" i="61" s="1"/>
  <c r="H245" i="61"/>
  <c r="H302" i="61" s="1"/>
  <c r="H247" i="61"/>
  <c r="H303" i="61" s="1"/>
  <c r="I92" i="62" s="1"/>
  <c r="H236" i="61"/>
  <c r="H296" i="61" s="1"/>
  <c r="I86" i="62" s="1"/>
  <c r="I137" i="62" s="1"/>
  <c r="P253" i="61"/>
  <c r="P306" i="61" s="1"/>
  <c r="P247" i="61"/>
  <c r="P248" i="61" s="1"/>
  <c r="P245" i="61"/>
  <c r="P246" i="61" s="1"/>
  <c r="P236" i="61"/>
  <c r="P296" i="61" s="1"/>
  <c r="Q86" i="62" s="1"/>
  <c r="Q137" i="62" s="1"/>
  <c r="P217" i="61"/>
  <c r="P280" i="61" s="1"/>
  <c r="P230" i="61"/>
  <c r="P292" i="61" s="1"/>
  <c r="Q83" i="62" s="1"/>
  <c r="Q134" i="62" s="1"/>
  <c r="W150" i="49" s="1"/>
  <c r="P227" i="61"/>
  <c r="X253" i="61"/>
  <c r="X306" i="61" s="1"/>
  <c r="X247" i="61"/>
  <c r="X248" i="61" s="1"/>
  <c r="X245" i="61"/>
  <c r="X246" i="61" s="1"/>
  <c r="X236" i="61"/>
  <c r="X296" i="61" s="1"/>
  <c r="Y86" i="62" s="1"/>
  <c r="Y137" i="62" s="1"/>
  <c r="X217" i="61"/>
  <c r="X280" i="61" s="1"/>
  <c r="X230" i="61"/>
  <c r="X227" i="61"/>
  <c r="X289" i="61" s="1"/>
  <c r="Y81" i="62" s="1"/>
  <c r="Y132" i="62" s="1"/>
  <c r="AF253" i="61"/>
  <c r="AF306" i="61" s="1"/>
  <c r="AG95" i="62" s="1"/>
  <c r="AF247" i="61"/>
  <c r="AF303" i="61" s="1"/>
  <c r="AG92" i="62" s="1"/>
  <c r="AF245" i="61"/>
  <c r="AF302" i="61" s="1"/>
  <c r="AG91" i="62" s="1"/>
  <c r="AF236" i="61"/>
  <c r="AF296" i="61" s="1"/>
  <c r="AG86" i="62" s="1"/>
  <c r="AG137" i="62" s="1"/>
  <c r="AF227" i="61"/>
  <c r="AF289" i="61" s="1"/>
  <c r="AG81" i="62" s="1"/>
  <c r="AG132" i="62" s="1"/>
  <c r="L254" i="61"/>
  <c r="L237" i="61"/>
  <c r="L218" i="61"/>
  <c r="T254" i="61"/>
  <c r="T237" i="61"/>
  <c r="AB254" i="61"/>
  <c r="AB237" i="61"/>
  <c r="AB218" i="61"/>
  <c r="H219" i="61"/>
  <c r="P255" i="61"/>
  <c r="P238" i="61"/>
  <c r="P229" i="61"/>
  <c r="P291" i="61" s="1"/>
  <c r="Q82" i="62" s="1"/>
  <c r="P219" i="61"/>
  <c r="P226" i="61"/>
  <c r="P288" i="61" s="1"/>
  <c r="Q80" i="62" s="1"/>
  <c r="X255" i="61"/>
  <c r="X238" i="61"/>
  <c r="X229" i="61"/>
  <c r="X291" i="61" s="1"/>
  <c r="Y82" i="62" s="1"/>
  <c r="X219" i="61"/>
  <c r="X226" i="61"/>
  <c r="X288" i="61" s="1"/>
  <c r="L256" i="61"/>
  <c r="L239" i="61"/>
  <c r="T256" i="61"/>
  <c r="T239" i="61"/>
  <c r="AB256" i="61"/>
  <c r="AB239" i="61"/>
  <c r="H257" i="61"/>
  <c r="H308" i="61" s="1"/>
  <c r="H221" i="61"/>
  <c r="H284" i="61" s="1"/>
  <c r="I77" i="62" s="1"/>
  <c r="I128" i="62" s="1"/>
  <c r="O144" i="49" s="1"/>
  <c r="H240" i="61"/>
  <c r="H298" i="61" s="1"/>
  <c r="I88" i="62" s="1"/>
  <c r="I139" i="62" s="1"/>
  <c r="P257" i="61"/>
  <c r="P308" i="61" s="1"/>
  <c r="Q97" i="62" s="1"/>
  <c r="P240" i="61"/>
  <c r="P298" i="61" s="1"/>
  <c r="Q88" i="62" s="1"/>
  <c r="Q139" i="62" s="1"/>
  <c r="P221" i="61"/>
  <c r="P284" i="61" s="1"/>
  <c r="Q77" i="62" s="1"/>
  <c r="Q128" i="62" s="1"/>
  <c r="W144" i="49" s="1"/>
  <c r="X257" i="61"/>
  <c r="X308" i="61" s="1"/>
  <c r="X221" i="61"/>
  <c r="X284" i="61" s="1"/>
  <c r="Y77" i="62" s="1"/>
  <c r="Y128" i="62" s="1"/>
  <c r="AE144" i="49" s="1"/>
  <c r="X240" i="61"/>
  <c r="X298" i="61" s="1"/>
  <c r="Y88" i="62" s="1"/>
  <c r="Y139" i="62" s="1"/>
  <c r="AF257" i="61"/>
  <c r="AF308" i="61" s="1"/>
  <c r="AF221" i="61"/>
  <c r="AF284" i="61" s="1"/>
  <c r="AG77" i="62" s="1"/>
  <c r="AG128" i="62" s="1"/>
  <c r="AM144" i="49" s="1"/>
  <c r="AF240" i="61"/>
  <c r="AF298" i="61" s="1"/>
  <c r="AG88" i="62" s="1"/>
  <c r="AG139" i="62" s="1"/>
  <c r="L258" i="61"/>
  <c r="L222" i="61"/>
  <c r="T258" i="61"/>
  <c r="T222" i="61"/>
  <c r="T241" i="61"/>
  <c r="AB258" i="61"/>
  <c r="AB241" i="61"/>
  <c r="AB222" i="61"/>
  <c r="H259" i="61"/>
  <c r="P223" i="61"/>
  <c r="P282" i="61" s="1"/>
  <c r="Q75" i="62" s="1"/>
  <c r="Q126" i="62" s="1"/>
  <c r="W142" i="49" s="1"/>
  <c r="P242" i="61"/>
  <c r="P259" i="61"/>
  <c r="X223" i="61"/>
  <c r="X282" i="61" s="1"/>
  <c r="Y75" i="62" s="1"/>
  <c r="Y126" i="62" s="1"/>
  <c r="AE142" i="49" s="1"/>
  <c r="X259" i="61"/>
  <c r="L260" i="61"/>
  <c r="L304" i="61" s="1"/>
  <c r="M93" i="62" s="1"/>
  <c r="L243" i="61"/>
  <c r="L294" i="61" s="1"/>
  <c r="M84" i="62" s="1"/>
  <c r="M141" i="62" s="1"/>
  <c r="T260" i="61"/>
  <c r="T304" i="61" s="1"/>
  <c r="U93" i="62" s="1"/>
  <c r="T243" i="61"/>
  <c r="T294" i="61" s="1"/>
  <c r="U84" i="62" s="1"/>
  <c r="U141" i="62" s="1"/>
  <c r="AB260" i="61"/>
  <c r="AB304" i="61" s="1"/>
  <c r="AC93" i="62" s="1"/>
  <c r="AB243" i="61"/>
  <c r="AB294" i="61" s="1"/>
  <c r="AC84" i="62" s="1"/>
  <c r="AC141" i="62" s="1"/>
  <c r="H206" i="61"/>
  <c r="J209" i="61"/>
  <c r="U211" i="61"/>
  <c r="U268" i="61" s="1"/>
  <c r="V60" i="62" s="1"/>
  <c r="P210" i="61"/>
  <c r="P272" i="61" s="1"/>
  <c r="Q65" i="62" s="1"/>
  <c r="Q116" i="62" s="1"/>
  <c r="S209" i="61"/>
  <c r="V208" i="61"/>
  <c r="V274" i="61" s="1"/>
  <c r="W67" i="62" s="1"/>
  <c r="W118" i="62" s="1"/>
  <c r="P202" i="61"/>
  <c r="P276" i="61" s="1"/>
  <c r="Q69" i="62" s="1"/>
  <c r="Q120" i="62" s="1"/>
  <c r="V200" i="61"/>
  <c r="X210" i="61"/>
  <c r="X272" i="61" s="1"/>
  <c r="Y65" i="62" s="1"/>
  <c r="Y116" i="62" s="1"/>
  <c r="AB209" i="61"/>
  <c r="AF208" i="61"/>
  <c r="AF274" i="61" s="1"/>
  <c r="AG67" i="62" s="1"/>
  <c r="AG118" i="62" s="1"/>
  <c r="X208" i="61"/>
  <c r="X274" i="61" s="1"/>
  <c r="Y67" i="62" s="1"/>
  <c r="Y118" i="62" s="1"/>
  <c r="AH205" i="61"/>
  <c r="X202" i="61"/>
  <c r="AC200" i="61"/>
  <c r="AC226" i="61"/>
  <c r="AC288" i="61" s="1"/>
  <c r="AI250" i="61"/>
  <c r="AI305" i="61" s="1"/>
  <c r="O249" i="61"/>
  <c r="O232" i="61"/>
  <c r="W249" i="61"/>
  <c r="W232" i="61"/>
  <c r="AE249" i="61"/>
  <c r="AE232" i="61"/>
  <c r="K250" i="61"/>
  <c r="K305" i="61" s="1"/>
  <c r="K233" i="61"/>
  <c r="K295" i="61" s="1"/>
  <c r="L85" i="62" s="1"/>
  <c r="L135" i="62" s="1"/>
  <c r="S250" i="61"/>
  <c r="S305" i="61" s="1"/>
  <c r="S233" i="61"/>
  <c r="S295" i="61" s="1"/>
  <c r="T85" i="62" s="1"/>
  <c r="T135" i="62" s="1"/>
  <c r="H249" i="61"/>
  <c r="H232" i="61"/>
  <c r="P249" i="61"/>
  <c r="P232" i="61"/>
  <c r="X249" i="61"/>
  <c r="X232" i="61"/>
  <c r="AF249" i="61"/>
  <c r="AF232" i="61"/>
  <c r="L250" i="61"/>
  <c r="L305" i="61" s="1"/>
  <c r="L233" i="61"/>
  <c r="L295" i="61" s="1"/>
  <c r="M85" i="62" s="1"/>
  <c r="M135" i="62" s="1"/>
  <c r="T250" i="61"/>
  <c r="T305" i="61" s="1"/>
  <c r="T233" i="61"/>
  <c r="T295" i="61" s="1"/>
  <c r="U85" i="62" s="1"/>
  <c r="U135" i="62" s="1"/>
  <c r="AB250" i="61"/>
  <c r="AB305" i="61" s="1"/>
  <c r="AB233" i="61"/>
  <c r="AB295" i="61" s="1"/>
  <c r="AC85" i="62" s="1"/>
  <c r="AC135" i="62" s="1"/>
  <c r="I249" i="61"/>
  <c r="I232" i="61"/>
  <c r="I213" i="61"/>
  <c r="Q249" i="61"/>
  <c r="Q232" i="61"/>
  <c r="Q213" i="61"/>
  <c r="Y249" i="61"/>
  <c r="Y232" i="61"/>
  <c r="AG249" i="61"/>
  <c r="AG232" i="61"/>
  <c r="M250" i="61"/>
  <c r="M305" i="61" s="1"/>
  <c r="M233" i="61"/>
  <c r="M295" i="61" s="1"/>
  <c r="N85" i="62" s="1"/>
  <c r="N135" i="62" s="1"/>
  <c r="M214" i="61"/>
  <c r="M279" i="61" s="1"/>
  <c r="N71" i="62" s="1"/>
  <c r="N122" i="62" s="1"/>
  <c r="T137" i="49" s="1"/>
  <c r="U250" i="61"/>
  <c r="U305" i="61" s="1"/>
  <c r="U233" i="61"/>
  <c r="U295" i="61" s="1"/>
  <c r="V85" i="62" s="1"/>
  <c r="V135" i="62" s="1"/>
  <c r="U214" i="61"/>
  <c r="U279" i="61" s="1"/>
  <c r="V71" i="62" s="1"/>
  <c r="V122" i="62" s="1"/>
  <c r="AB137" i="49" s="1"/>
  <c r="AC250" i="61"/>
  <c r="AC305" i="61" s="1"/>
  <c r="AC233" i="61"/>
  <c r="AC295" i="61" s="1"/>
  <c r="AD85" i="62" s="1"/>
  <c r="AD135" i="62" s="1"/>
  <c r="AC214" i="61"/>
  <c r="AC279" i="61" s="1"/>
  <c r="AD71" i="62" s="1"/>
  <c r="AD122" i="62" s="1"/>
  <c r="AJ137" i="49" s="1"/>
  <c r="AC201" i="61"/>
  <c r="AC269" i="61" s="1"/>
  <c r="AD61" i="62" s="1"/>
  <c r="AD112" i="62" s="1"/>
  <c r="I251" i="61"/>
  <c r="I234" i="61"/>
  <c r="I215" i="61"/>
  <c r="Q251" i="61"/>
  <c r="Q310" i="61" s="1"/>
  <c r="R99" i="62" s="1"/>
  <c r="Q234" i="61"/>
  <c r="Q300" i="61" s="1"/>
  <c r="R90" i="62" s="1"/>
  <c r="R140" i="62" s="1"/>
  <c r="Q215" i="61"/>
  <c r="Y251" i="61"/>
  <c r="Y234" i="61"/>
  <c r="AG251" i="61"/>
  <c r="AG234" i="61"/>
  <c r="M216" i="61"/>
  <c r="M285" i="61" s="1"/>
  <c r="N78" i="62" s="1"/>
  <c r="N129" i="62" s="1"/>
  <c r="T138" i="49" s="1"/>
  <c r="M252" i="61"/>
  <c r="M309" i="61" s="1"/>
  <c r="N98" i="62" s="1"/>
  <c r="M235" i="61"/>
  <c r="M299" i="61" s="1"/>
  <c r="N89" i="62" s="1"/>
  <c r="N136" i="62" s="1"/>
  <c r="U252" i="61"/>
  <c r="U309" i="61" s="1"/>
  <c r="V98" i="62" s="1"/>
  <c r="U235" i="61"/>
  <c r="U299" i="61" s="1"/>
  <c r="V89" i="62" s="1"/>
  <c r="V136" i="62" s="1"/>
  <c r="AC216" i="61"/>
  <c r="AC285" i="61" s="1"/>
  <c r="AD78" i="62" s="1"/>
  <c r="AD129" i="62" s="1"/>
  <c r="AJ138" i="49" s="1"/>
  <c r="AC203" i="61"/>
  <c r="AC275" i="61" s="1"/>
  <c r="AD68" i="62" s="1"/>
  <c r="AD119" i="62" s="1"/>
  <c r="AC252" i="61"/>
  <c r="AC309" i="61" s="1"/>
  <c r="AD98" i="62" s="1"/>
  <c r="AC235" i="61"/>
  <c r="AC299" i="61" s="1"/>
  <c r="AD89" i="62" s="1"/>
  <c r="AD136" i="62" s="1"/>
  <c r="I247" i="61"/>
  <c r="I248" i="61" s="1"/>
  <c r="I253" i="61"/>
  <c r="I306" i="61" s="1"/>
  <c r="J95" i="62" s="1"/>
  <c r="I245" i="61"/>
  <c r="I246" i="61" s="1"/>
  <c r="I236" i="61"/>
  <c r="I296" i="61" s="1"/>
  <c r="J86" i="62" s="1"/>
  <c r="J137" i="62" s="1"/>
  <c r="I217" i="61"/>
  <c r="I280" i="61" s="1"/>
  <c r="I227" i="61"/>
  <c r="I289" i="61" s="1"/>
  <c r="J81" i="62" s="1"/>
  <c r="J132" i="62" s="1"/>
  <c r="I230" i="61"/>
  <c r="I292" i="61" s="1"/>
  <c r="J83" i="62" s="1"/>
  <c r="J134" i="62" s="1"/>
  <c r="P150" i="49" s="1"/>
  <c r="Q247" i="61"/>
  <c r="Q253" i="61"/>
  <c r="Q306" i="61" s="1"/>
  <c r="Q245" i="61"/>
  <c r="Q302" i="61" s="1"/>
  <c r="R91" i="62" s="1"/>
  <c r="Q236" i="61"/>
  <c r="Q296" i="61" s="1"/>
  <c r="R86" i="62" s="1"/>
  <c r="R137" i="62" s="1"/>
  <c r="Q217" i="61"/>
  <c r="Q280" i="61" s="1"/>
  <c r="Q230" i="61"/>
  <c r="Q292" i="61" s="1"/>
  <c r="R83" i="62" s="1"/>
  <c r="R134" i="62" s="1"/>
  <c r="X150" i="49" s="1"/>
  <c r="Y247" i="61"/>
  <c r="Y303" i="61" s="1"/>
  <c r="Z92" i="62" s="1"/>
  <c r="Y253" i="61"/>
  <c r="Y306" i="61" s="1"/>
  <c r="Z95" i="62" s="1"/>
  <c r="Y245" i="61"/>
  <c r="Y236" i="61"/>
  <c r="Y296" i="61" s="1"/>
  <c r="Z86" i="62" s="1"/>
  <c r="Z137" i="62" s="1"/>
  <c r="AG247" i="61"/>
  <c r="AG303" i="61" s="1"/>
  <c r="AH92" i="62" s="1"/>
  <c r="AG253" i="61"/>
  <c r="AG306" i="61" s="1"/>
  <c r="AG245" i="61"/>
  <c r="AG246" i="61" s="1"/>
  <c r="AG236" i="61"/>
  <c r="AG296" i="61" s="1"/>
  <c r="AH86" i="62" s="1"/>
  <c r="AH137" i="62" s="1"/>
  <c r="M254" i="61"/>
  <c r="M237" i="61"/>
  <c r="M218" i="61"/>
  <c r="U254" i="61"/>
  <c r="U237" i="61"/>
  <c r="AC254" i="61"/>
  <c r="AC237" i="61"/>
  <c r="AC218" i="61"/>
  <c r="AC205" i="61"/>
  <c r="I255" i="61"/>
  <c r="I238" i="61"/>
  <c r="Q255" i="61"/>
  <c r="Q238" i="61"/>
  <c r="Q229" i="61"/>
  <c r="Q291" i="61" s="1"/>
  <c r="R82" i="62" s="1"/>
  <c r="Q219" i="61"/>
  <c r="Q226" i="61"/>
  <c r="Y255" i="61"/>
  <c r="Y238" i="61"/>
  <c r="Y219" i="61"/>
  <c r="Y206" i="61"/>
  <c r="AG255" i="61"/>
  <c r="AG238" i="61"/>
  <c r="AG297" i="61" s="1"/>
  <c r="AH87" i="62" s="1"/>
  <c r="AH138" i="62" s="1"/>
  <c r="AG219" i="61"/>
  <c r="AG226" i="61"/>
  <c r="AG288" i="61" s="1"/>
  <c r="AH80" i="62" s="1"/>
  <c r="M256" i="61"/>
  <c r="M239" i="61"/>
  <c r="M220" i="61"/>
  <c r="M283" i="61" s="1"/>
  <c r="N76" i="62" s="1"/>
  <c r="N127" i="62" s="1"/>
  <c r="T143" i="49" s="1"/>
  <c r="U256" i="61"/>
  <c r="U239" i="61"/>
  <c r="U220" i="61"/>
  <c r="U283" i="61" s="1"/>
  <c r="V76" i="62" s="1"/>
  <c r="V127" i="62" s="1"/>
  <c r="AB143" i="49" s="1"/>
  <c r="AC256" i="61"/>
  <c r="AC239" i="61"/>
  <c r="AC220" i="61"/>
  <c r="AC283" i="61" s="1"/>
  <c r="AD76" i="62" s="1"/>
  <c r="AD127" i="62" s="1"/>
  <c r="AJ143" i="49" s="1"/>
  <c r="I257" i="61"/>
  <c r="I308" i="61" s="1"/>
  <c r="J97" i="62" s="1"/>
  <c r="I221" i="61"/>
  <c r="I284" i="61" s="1"/>
  <c r="J77" i="62" s="1"/>
  <c r="J128" i="62" s="1"/>
  <c r="P144" i="49" s="1"/>
  <c r="I240" i="61"/>
  <c r="I298" i="61" s="1"/>
  <c r="J88" i="62" s="1"/>
  <c r="J139" i="62" s="1"/>
  <c r="Q257" i="61"/>
  <c r="Q308" i="61" s="1"/>
  <c r="Q221" i="61"/>
  <c r="Q284" i="61" s="1"/>
  <c r="R77" i="62" s="1"/>
  <c r="R128" i="62" s="1"/>
  <c r="X144" i="49" s="1"/>
  <c r="Q240" i="61"/>
  <c r="Q298" i="61" s="1"/>
  <c r="R88" i="62" s="1"/>
  <c r="R139" i="62" s="1"/>
  <c r="Y257" i="61"/>
  <c r="Y308" i="61" s="1"/>
  <c r="AG257" i="61"/>
  <c r="AG308" i="61" s="1"/>
  <c r="AH97" i="62" s="1"/>
  <c r="AG240" i="61"/>
  <c r="AG298" i="61" s="1"/>
  <c r="AH88" i="62" s="1"/>
  <c r="AH139" i="62" s="1"/>
  <c r="M258" i="61"/>
  <c r="M241" i="61"/>
  <c r="M222" i="61"/>
  <c r="U258" i="61"/>
  <c r="U222" i="61"/>
  <c r="U241" i="61"/>
  <c r="AC258" i="61"/>
  <c r="AC222" i="61"/>
  <c r="AC241" i="61"/>
  <c r="I259" i="61"/>
  <c r="I242" i="61"/>
  <c r="Q259" i="61"/>
  <c r="Q223" i="61"/>
  <c r="Q282" i="61" s="1"/>
  <c r="R75" i="62" s="1"/>
  <c r="R126" i="62" s="1"/>
  <c r="X142" i="49" s="1"/>
  <c r="Q242" i="61"/>
  <c r="M260" i="61"/>
  <c r="M304" i="61" s="1"/>
  <c r="N93" i="62" s="1"/>
  <c r="AC260" i="61"/>
  <c r="AC304" i="61" s="1"/>
  <c r="AD93" i="62" s="1"/>
  <c r="I209" i="61"/>
  <c r="I207" i="61"/>
  <c r="I273" i="61" s="1"/>
  <c r="J66" i="62" s="1"/>
  <c r="J117" i="62" s="1"/>
  <c r="I201" i="61"/>
  <c r="I269" i="61" s="1"/>
  <c r="J61" i="62" s="1"/>
  <c r="J112" i="62" s="1"/>
  <c r="W210" i="61"/>
  <c r="W272" i="61" s="1"/>
  <c r="X65" i="62" s="1"/>
  <c r="X116" i="62" s="1"/>
  <c r="R209" i="61"/>
  <c r="U208" i="61"/>
  <c r="U274" i="61" s="1"/>
  <c r="V67" i="62" s="1"/>
  <c r="V118" i="62" s="1"/>
  <c r="M208" i="61"/>
  <c r="M274" i="61" s="1"/>
  <c r="N67" i="62" s="1"/>
  <c r="N118" i="62" s="1"/>
  <c r="P207" i="61"/>
  <c r="P273" i="61" s="1"/>
  <c r="Q66" i="62" s="1"/>
  <c r="Q117" i="62" s="1"/>
  <c r="S206" i="61"/>
  <c r="Q204" i="61"/>
  <c r="Q270" i="61" s="1"/>
  <c r="W202" i="61"/>
  <c r="O202" i="61"/>
  <c r="R201" i="61"/>
  <c r="R269" i="61" s="1"/>
  <c r="S61" i="62" s="1"/>
  <c r="S112" i="62" s="1"/>
  <c r="U200" i="61"/>
  <c r="M200" i="61"/>
  <c r="AE210" i="61"/>
  <c r="AE272" i="61" s="1"/>
  <c r="AF65" i="62" s="1"/>
  <c r="AF116" i="62" s="1"/>
  <c r="AI209" i="61"/>
  <c r="AA209" i="61"/>
  <c r="AE208" i="61"/>
  <c r="AE274" i="61" s="1"/>
  <c r="AF67" i="62" s="1"/>
  <c r="AF118" i="62" s="1"/>
  <c r="AI207" i="61"/>
  <c r="AI273" i="61" s="1"/>
  <c r="AJ66" i="62" s="1"/>
  <c r="AJ117" i="62" s="1"/>
  <c r="AA207" i="61"/>
  <c r="AA273" i="61" s="1"/>
  <c r="AB66" i="62" s="1"/>
  <c r="AB117" i="62" s="1"/>
  <c r="AE206" i="61"/>
  <c r="AI201" i="61"/>
  <c r="AI269" i="61" s="1"/>
  <c r="AJ61" i="62" s="1"/>
  <c r="AJ112" i="62" s="1"/>
  <c r="X200" i="61"/>
  <c r="T214" i="61"/>
  <c r="T279" i="61" s="1"/>
  <c r="U71" i="62" s="1"/>
  <c r="U122" i="62" s="1"/>
  <c r="AA137" i="49" s="1"/>
  <c r="U226" i="61"/>
  <c r="H242" i="61"/>
  <c r="Y241" i="61"/>
  <c r="Z111" i="61"/>
  <c r="J111" i="61"/>
  <c r="K111" i="61"/>
  <c r="W101" i="61"/>
  <c r="O101" i="61"/>
  <c r="I100" i="61"/>
  <c r="I101" i="61" s="1"/>
  <c r="I122" i="61"/>
  <c r="I123" i="61" s="1"/>
  <c r="N111" i="61"/>
  <c r="N112" i="61" s="1"/>
  <c r="N230" i="61" s="1"/>
  <c r="N292" i="61" s="1"/>
  <c r="O83" i="62" s="1"/>
  <c r="O134" i="62" s="1"/>
  <c r="U150" i="49" s="1"/>
  <c r="AD111" i="61"/>
  <c r="AD227" i="61" s="1"/>
  <c r="AD289" i="61" s="1"/>
  <c r="AE81" i="62" s="1"/>
  <c r="AE132" i="62" s="1"/>
  <c r="N133" i="61"/>
  <c r="AD133" i="61"/>
  <c r="H166" i="61"/>
  <c r="H167" i="61" s="1"/>
  <c r="X188" i="61"/>
  <c r="X189" i="61" s="1"/>
  <c r="AE89" i="61"/>
  <c r="AE90" i="61" s="1"/>
  <c r="O111" i="61"/>
  <c r="O227" i="61" s="1"/>
  <c r="O289" i="61" s="1"/>
  <c r="P81" i="62" s="1"/>
  <c r="P132" i="62" s="1"/>
  <c r="AE111" i="61"/>
  <c r="AE112" i="61" s="1"/>
  <c r="AE230" i="61" s="1"/>
  <c r="AE292" i="61" s="1"/>
  <c r="AF83" i="62" s="1"/>
  <c r="AF134" i="62" s="1"/>
  <c r="AL150" i="49" s="1"/>
  <c r="O133" i="61"/>
  <c r="O226" i="61" s="1"/>
  <c r="O288" i="61" s="1"/>
  <c r="P80" i="62" s="1"/>
  <c r="W133" i="61"/>
  <c r="W226" i="61" s="1"/>
  <c r="AE133" i="61"/>
  <c r="AC177" i="61"/>
  <c r="AC178" i="61" s="1"/>
  <c r="I188" i="61"/>
  <c r="S101" i="61"/>
  <c r="H111" i="61"/>
  <c r="H112" i="61" s="1"/>
  <c r="H230" i="61" s="1"/>
  <c r="H292" i="61" s="1"/>
  <c r="I83" i="62" s="1"/>
  <c r="I134" i="62" s="1"/>
  <c r="O150" i="49" s="1"/>
  <c r="Z68" i="61"/>
  <c r="S145" i="61"/>
  <c r="AD67" i="61"/>
  <c r="AD68" i="61" s="1"/>
  <c r="Y111" i="61"/>
  <c r="AG111" i="61"/>
  <c r="AG112" i="61" s="1"/>
  <c r="AG230" i="61" s="1"/>
  <c r="AG292" i="61" s="1"/>
  <c r="AH83" i="62" s="1"/>
  <c r="AH134" i="62" s="1"/>
  <c r="AN150" i="49" s="1"/>
  <c r="I133" i="61"/>
  <c r="I226" i="61" s="1"/>
  <c r="Y133" i="61"/>
  <c r="Y134" i="61" s="1"/>
  <c r="Y229" i="61" s="1"/>
  <c r="Y291" i="61" s="1"/>
  <c r="Z82" i="62" s="1"/>
  <c r="AE155" i="61"/>
  <c r="AE156" i="61" s="1"/>
  <c r="W177" i="61"/>
  <c r="W178" i="61" s="1"/>
  <c r="K144" i="61"/>
  <c r="K145" i="61" s="1"/>
  <c r="X141" i="61"/>
  <c r="AG119" i="61"/>
  <c r="Y86" i="61"/>
  <c r="Y87" i="61" s="1"/>
  <c r="Y215" i="61" s="1"/>
  <c r="AD97" i="61"/>
  <c r="AD98" i="61" s="1"/>
  <c r="AD216" i="61" s="1"/>
  <c r="AD285" i="61" s="1"/>
  <c r="AE78" i="62" s="1"/>
  <c r="AE129" i="62" s="1"/>
  <c r="AK138" i="49" s="1"/>
  <c r="I119" i="61"/>
  <c r="I120" i="61" s="1"/>
  <c r="I218" i="61" s="1"/>
  <c r="M174" i="61"/>
  <c r="M175" i="61" s="1"/>
  <c r="M223" i="61" s="1"/>
  <c r="M282" i="61" s="1"/>
  <c r="N75" i="62" s="1"/>
  <c r="N126" i="62" s="1"/>
  <c r="T142" i="49" s="1"/>
  <c r="AF64" i="61"/>
  <c r="AF65" i="61" s="1"/>
  <c r="AF213" i="61" s="1"/>
  <c r="N97" i="61"/>
  <c r="N98" i="61" s="1"/>
  <c r="N216" i="61" s="1"/>
  <c r="N285" i="61" s="1"/>
  <c r="O78" i="62" s="1"/>
  <c r="O129" i="62" s="1"/>
  <c r="U138" i="49" s="1"/>
  <c r="T185" i="61"/>
  <c r="S75" i="61"/>
  <c r="O97" i="61"/>
  <c r="O98" i="61" s="1"/>
  <c r="O216" i="61" s="1"/>
  <c r="O285" i="61" s="1"/>
  <c r="P78" i="62" s="1"/>
  <c r="P129" i="62" s="1"/>
  <c r="V138" i="49" s="1"/>
  <c r="H108" i="61"/>
  <c r="AF108" i="61"/>
  <c r="AF109" i="61" s="1"/>
  <c r="AF217" i="61" s="1"/>
  <c r="AF280" i="61" s="1"/>
  <c r="Y119" i="61"/>
  <c r="Y120" i="61" s="1"/>
  <c r="Y218" i="61" s="1"/>
  <c r="S186" i="61"/>
  <c r="S224" i="61" s="1"/>
  <c r="S278" i="61" s="1"/>
  <c r="T70" i="62" s="1"/>
  <c r="AG108" i="61"/>
  <c r="AG109" i="61" s="1"/>
  <c r="AG217" i="61" s="1"/>
  <c r="AG280" i="61" s="1"/>
  <c r="Z119" i="61"/>
  <c r="K152" i="61"/>
  <c r="K75" i="61"/>
  <c r="K76" i="61" s="1"/>
  <c r="K214" i="61" s="1"/>
  <c r="K279" i="61" s="1"/>
  <c r="L71" i="62" s="1"/>
  <c r="L122" i="62" s="1"/>
  <c r="R137" i="49" s="1"/>
  <c r="H86" i="61"/>
  <c r="H87" i="61" s="1"/>
  <c r="H215" i="61" s="1"/>
  <c r="AF86" i="61"/>
  <c r="AF87" i="61" s="1"/>
  <c r="AF215" i="61" s="1"/>
  <c r="V97" i="61"/>
  <c r="V98" i="61" s="1"/>
  <c r="V216" i="61" s="1"/>
  <c r="W130" i="61"/>
  <c r="W131" i="61" s="1"/>
  <c r="W219" i="61" s="1"/>
  <c r="AC174" i="61"/>
  <c r="AC175" i="61" s="1"/>
  <c r="AC223" i="61" s="1"/>
  <c r="AC282" i="61" s="1"/>
  <c r="AD75" i="62" s="1"/>
  <c r="AD126" i="62" s="1"/>
  <c r="AJ142" i="49" s="1"/>
  <c r="W97" i="61"/>
  <c r="O130" i="61"/>
  <c r="AI185" i="61"/>
  <c r="L186" i="61"/>
  <c r="L224" i="61" s="1"/>
  <c r="L278" i="61" s="1"/>
  <c r="M70" i="62" s="1"/>
  <c r="J127" i="61"/>
  <c r="J254" i="61" s="1"/>
  <c r="Y64" i="61"/>
  <c r="Y65" i="61" s="1"/>
  <c r="Y213" i="61" s="1"/>
  <c r="AG64" i="61"/>
  <c r="AG65" i="61" s="1"/>
  <c r="AG213" i="61" s="1"/>
  <c r="J86" i="61"/>
  <c r="J87" i="61" s="1"/>
  <c r="J215" i="61" s="1"/>
  <c r="Z86" i="61"/>
  <c r="H97" i="61"/>
  <c r="P97" i="61"/>
  <c r="P98" i="61" s="1"/>
  <c r="P216" i="61" s="1"/>
  <c r="P285" i="61" s="1"/>
  <c r="Q78" i="62" s="1"/>
  <c r="Q129" i="62" s="1"/>
  <c r="W138" i="49" s="1"/>
  <c r="X97" i="61"/>
  <c r="X98" i="61" s="1"/>
  <c r="X216" i="61" s="1"/>
  <c r="X285" i="61" s="1"/>
  <c r="Y78" i="62" s="1"/>
  <c r="Y129" i="62" s="1"/>
  <c r="AE138" i="49" s="1"/>
  <c r="J108" i="61"/>
  <c r="J109" i="61" s="1"/>
  <c r="J217" i="61" s="1"/>
  <c r="J280" i="61" s="1"/>
  <c r="Z108" i="61"/>
  <c r="Z109" i="61" s="1"/>
  <c r="Z217" i="61" s="1"/>
  <c r="Z280" i="61" s="1"/>
  <c r="I130" i="61"/>
  <c r="I131" i="61" s="1"/>
  <c r="I219" i="61" s="1"/>
  <c r="R141" i="61"/>
  <c r="R142" i="61" s="1"/>
  <c r="R220" i="61" s="1"/>
  <c r="R283" i="61" s="1"/>
  <c r="S76" i="62" s="1"/>
  <c r="S127" i="62" s="1"/>
  <c r="Y143" i="49" s="1"/>
  <c r="AH141" i="61"/>
  <c r="M185" i="61"/>
  <c r="AC185" i="61"/>
  <c r="AC186" i="61" s="1"/>
  <c r="AC224" i="61" s="1"/>
  <c r="AC278" i="61" s="1"/>
  <c r="AD70" i="62" s="1"/>
  <c r="AG86" i="61"/>
  <c r="AG87" i="61" s="1"/>
  <c r="AG215" i="61" s="1"/>
  <c r="S98" i="61"/>
  <c r="S216" i="61" s="1"/>
  <c r="S285" i="61" s="1"/>
  <c r="T78" i="62" s="1"/>
  <c r="T129" i="62" s="1"/>
  <c r="Z138" i="49" s="1"/>
  <c r="AE65" i="61"/>
  <c r="AE213" i="61" s="1"/>
  <c r="J64" i="61"/>
  <c r="J65" i="61" s="1"/>
  <c r="J213" i="61" s="1"/>
  <c r="Z64" i="61"/>
  <c r="Z65" i="61" s="1"/>
  <c r="Z213" i="61" s="1"/>
  <c r="AH64" i="61"/>
  <c r="N75" i="61"/>
  <c r="AD75" i="61"/>
  <c r="AD76" i="61" s="1"/>
  <c r="AD214" i="61" s="1"/>
  <c r="AD279" i="61" s="1"/>
  <c r="AE71" i="62" s="1"/>
  <c r="AE122" i="62" s="1"/>
  <c r="AK137" i="49" s="1"/>
  <c r="K86" i="61"/>
  <c r="K87" i="61" s="1"/>
  <c r="K215" i="61" s="1"/>
  <c r="S86" i="61"/>
  <c r="S87" i="61" s="1"/>
  <c r="S215" i="61" s="1"/>
  <c r="I97" i="61"/>
  <c r="I98" i="61" s="1"/>
  <c r="I216" i="61" s="1"/>
  <c r="I285" i="61" s="1"/>
  <c r="J78" i="62" s="1"/>
  <c r="J129" i="62" s="1"/>
  <c r="P138" i="49" s="1"/>
  <c r="Q97" i="61"/>
  <c r="Q98" i="61" s="1"/>
  <c r="Q216" i="61" s="1"/>
  <c r="Q285" i="61" s="1"/>
  <c r="R78" i="62" s="1"/>
  <c r="R129" i="62" s="1"/>
  <c r="X138" i="49" s="1"/>
  <c r="Y97" i="61"/>
  <c r="Y98" i="61" s="1"/>
  <c r="Y216" i="61" s="1"/>
  <c r="Y285" i="61" s="1"/>
  <c r="Z78" i="62" s="1"/>
  <c r="Z129" i="62" s="1"/>
  <c r="AF138" i="49" s="1"/>
  <c r="AG97" i="61"/>
  <c r="K108" i="61"/>
  <c r="T119" i="61"/>
  <c r="T120" i="61" s="1"/>
  <c r="T218" i="61" s="1"/>
  <c r="S141" i="61"/>
  <c r="S142" i="61" s="1"/>
  <c r="S220" i="61" s="1"/>
  <c r="S283" i="61" s="1"/>
  <c r="T76" i="62" s="1"/>
  <c r="T127" i="62" s="1"/>
  <c r="Z143" i="49" s="1"/>
  <c r="N152" i="61"/>
  <c r="N153" i="61" s="1"/>
  <c r="N221" i="61" s="1"/>
  <c r="N284" i="61" s="1"/>
  <c r="O77" i="62" s="1"/>
  <c r="O128" i="62" s="1"/>
  <c r="U144" i="49" s="1"/>
  <c r="AB175" i="61"/>
  <c r="AB223" i="61" s="1"/>
  <c r="AB282" i="61" s="1"/>
  <c r="AC75" i="62" s="1"/>
  <c r="AC126" i="62" s="1"/>
  <c r="AI142" i="49" s="1"/>
  <c r="Q141" i="61"/>
  <c r="Q142" i="61" s="1"/>
  <c r="Q220" i="61" s="1"/>
  <c r="Q283" i="61" s="1"/>
  <c r="R76" i="62" s="1"/>
  <c r="R127" i="62" s="1"/>
  <c r="X143" i="49" s="1"/>
  <c r="AB185" i="61"/>
  <c r="AB186" i="61" s="1"/>
  <c r="AB224" i="61" s="1"/>
  <c r="AB278" i="61" s="1"/>
  <c r="AC70" i="62" s="1"/>
  <c r="K64" i="61"/>
  <c r="S64" i="61"/>
  <c r="O75" i="61"/>
  <c r="O76" i="61" s="1"/>
  <c r="O214" i="61" s="1"/>
  <c r="O279" i="61" s="1"/>
  <c r="P71" i="62" s="1"/>
  <c r="P122" i="62" s="1"/>
  <c r="V137" i="49" s="1"/>
  <c r="AE75" i="61"/>
  <c r="AE76" i="61" s="1"/>
  <c r="AE214" i="61" s="1"/>
  <c r="AE279" i="61" s="1"/>
  <c r="AF71" i="62" s="1"/>
  <c r="AF122" i="62" s="1"/>
  <c r="AL137" i="49" s="1"/>
  <c r="Z97" i="61"/>
  <c r="Z98" i="61" s="1"/>
  <c r="Z216" i="61" s="1"/>
  <c r="Z285" i="61" s="1"/>
  <c r="AA78" i="62" s="1"/>
  <c r="AA129" i="62" s="1"/>
  <c r="AG138" i="49" s="1"/>
  <c r="AH97" i="61"/>
  <c r="AH98" i="61" s="1"/>
  <c r="AH216" i="61" s="1"/>
  <c r="AH285" i="61" s="1"/>
  <c r="AI78" i="62" s="1"/>
  <c r="AI129" i="62" s="1"/>
  <c r="AO138" i="49" s="1"/>
  <c r="L141" i="61"/>
  <c r="L142" i="61" s="1"/>
  <c r="L220" i="61" s="1"/>
  <c r="L283" i="61" s="1"/>
  <c r="M76" i="62" s="1"/>
  <c r="M127" i="62" s="1"/>
  <c r="S143" i="49" s="1"/>
  <c r="T141" i="61"/>
  <c r="T142" i="61" s="1"/>
  <c r="T220" i="61" s="1"/>
  <c r="T283" i="61" s="1"/>
  <c r="U76" i="62" s="1"/>
  <c r="U127" i="62" s="1"/>
  <c r="AA143" i="49" s="1"/>
  <c r="AB141" i="61"/>
  <c r="I174" i="61"/>
  <c r="W185" i="61"/>
  <c r="W186" i="61" s="1"/>
  <c r="W224" i="61" s="1"/>
  <c r="W278" i="61" s="1"/>
  <c r="X70" i="62" s="1"/>
  <c r="K164" i="61"/>
  <c r="K222" i="61" s="1"/>
  <c r="K286" i="61" s="1"/>
  <c r="L79" i="62" s="1"/>
  <c r="L130" i="62" s="1"/>
  <c r="R145" i="49" s="1"/>
  <c r="H75" i="61"/>
  <c r="H76" i="61" s="1"/>
  <c r="H214" i="61" s="1"/>
  <c r="H279" i="61" s="1"/>
  <c r="I71" i="62" s="1"/>
  <c r="I122" i="62" s="1"/>
  <c r="O137" i="49" s="1"/>
  <c r="AF75" i="61"/>
  <c r="AF76" i="61" s="1"/>
  <c r="AF214" i="61" s="1"/>
  <c r="AF279" i="61" s="1"/>
  <c r="AG71" i="62" s="1"/>
  <c r="AG122" i="62" s="1"/>
  <c r="AM137" i="49" s="1"/>
  <c r="AI97" i="61"/>
  <c r="AI98" i="61" s="1"/>
  <c r="AI216" i="61" s="1"/>
  <c r="AI285" i="61" s="1"/>
  <c r="AJ78" i="62" s="1"/>
  <c r="AJ129" i="62" s="1"/>
  <c r="AP138" i="49" s="1"/>
  <c r="AB98" i="61"/>
  <c r="AB216" i="61" s="1"/>
  <c r="AB285" i="61" s="1"/>
  <c r="AC78" i="62" s="1"/>
  <c r="AC129" i="62" s="1"/>
  <c r="AI138" i="49" s="1"/>
  <c r="N119" i="61"/>
  <c r="AD119" i="61"/>
  <c r="T130" i="61"/>
  <c r="T131" i="61" s="1"/>
  <c r="T219" i="61" s="1"/>
  <c r="Y163" i="61"/>
  <c r="Y164" i="61" s="1"/>
  <c r="Y222" i="61" s="1"/>
  <c r="AG163" i="61"/>
  <c r="AG164" i="61" s="1"/>
  <c r="AG222" i="61" s="1"/>
  <c r="X185" i="61"/>
  <c r="X186" i="61" s="1"/>
  <c r="X224" i="61" s="1"/>
  <c r="X278" i="61" s="1"/>
  <c r="Y70" i="62" s="1"/>
  <c r="Y108" i="61"/>
  <c r="Y109" i="61" s="1"/>
  <c r="Y217" i="61" s="1"/>
  <c r="Y280" i="61" s="1"/>
  <c r="O65" i="61"/>
  <c r="O213" i="61" s="1"/>
  <c r="Y75" i="61"/>
  <c r="AG75" i="61"/>
  <c r="N86" i="61"/>
  <c r="AD86" i="61"/>
  <c r="AD87" i="61" s="1"/>
  <c r="AD215" i="61" s="1"/>
  <c r="L97" i="61"/>
  <c r="L98" i="61" s="1"/>
  <c r="L216" i="61" s="1"/>
  <c r="L285" i="61" s="1"/>
  <c r="M78" i="62" s="1"/>
  <c r="M129" i="62" s="1"/>
  <c r="S138" i="49" s="1"/>
  <c r="T97" i="61"/>
  <c r="N108" i="61"/>
  <c r="N109" i="61" s="1"/>
  <c r="N217" i="61" s="1"/>
  <c r="N280" i="61" s="1"/>
  <c r="AD108" i="61"/>
  <c r="O119" i="61"/>
  <c r="W119" i="61"/>
  <c r="AE119" i="61"/>
  <c r="Y152" i="61"/>
  <c r="Y153" i="61" s="1"/>
  <c r="Y221" i="61" s="1"/>
  <c r="Y284" i="61" s="1"/>
  <c r="Z77" i="62" s="1"/>
  <c r="Z128" i="62" s="1"/>
  <c r="AF144" i="49" s="1"/>
  <c r="AG152" i="61"/>
  <c r="AG153" i="61" s="1"/>
  <c r="AG221" i="61" s="1"/>
  <c r="AG284" i="61" s="1"/>
  <c r="AH77" i="62" s="1"/>
  <c r="AH128" i="62" s="1"/>
  <c r="AN144" i="49" s="1"/>
  <c r="AI174" i="61"/>
  <c r="AI175" i="61" s="1"/>
  <c r="AI223" i="61" s="1"/>
  <c r="AI282" i="61" s="1"/>
  <c r="AJ75" i="62" s="1"/>
  <c r="AJ126" i="62" s="1"/>
  <c r="AP142" i="49" s="1"/>
  <c r="I185" i="61"/>
  <c r="I186" i="61" s="1"/>
  <c r="I224" i="61" s="1"/>
  <c r="I278" i="61" s="1"/>
  <c r="J70" i="62" s="1"/>
  <c r="Q185" i="61"/>
  <c r="Q186" i="61" s="1"/>
  <c r="Q224" i="61" s="1"/>
  <c r="Q278" i="61" s="1"/>
  <c r="R70" i="62" s="1"/>
  <c r="AG185" i="61"/>
  <c r="N64" i="61"/>
  <c r="AD64" i="61"/>
  <c r="AD65" i="61" s="1"/>
  <c r="AD213" i="61" s="1"/>
  <c r="J75" i="61"/>
  <c r="J76" i="61" s="1"/>
  <c r="J214" i="61" s="1"/>
  <c r="J279" i="61" s="1"/>
  <c r="K71" i="62" s="1"/>
  <c r="K122" i="62" s="1"/>
  <c r="Q137" i="49" s="1"/>
  <c r="Z75" i="61"/>
  <c r="Z76" i="61" s="1"/>
  <c r="Z214" i="61" s="1"/>
  <c r="Z279" i="61" s="1"/>
  <c r="AA71" i="62" s="1"/>
  <c r="AA122" i="62" s="1"/>
  <c r="AG137" i="49" s="1"/>
  <c r="AH75" i="61"/>
  <c r="AH76" i="61" s="1"/>
  <c r="AH214" i="61" s="1"/>
  <c r="AH279" i="61" s="1"/>
  <c r="AI71" i="62" s="1"/>
  <c r="AI122" i="62" s="1"/>
  <c r="AO137" i="49" s="1"/>
  <c r="AE86" i="61"/>
  <c r="AE87" i="61" s="1"/>
  <c r="AE215" i="61" s="1"/>
  <c r="U97" i="61"/>
  <c r="U98" i="61" s="1"/>
  <c r="U216" i="61" s="1"/>
  <c r="U285" i="61" s="1"/>
  <c r="V78" i="62" s="1"/>
  <c r="V129" i="62" s="1"/>
  <c r="AB138" i="49" s="1"/>
  <c r="O108" i="61"/>
  <c r="AE108" i="61"/>
  <c r="W141" i="61"/>
  <c r="J152" i="61"/>
  <c r="J153" i="61" s="1"/>
  <c r="J221" i="61" s="1"/>
  <c r="J284" i="61" s="1"/>
  <c r="K77" i="62" s="1"/>
  <c r="K128" i="62" s="1"/>
  <c r="Q144" i="49" s="1"/>
  <c r="Z152" i="61"/>
  <c r="Z153" i="61" s="1"/>
  <c r="Z221" i="61" s="1"/>
  <c r="Z284" i="61" s="1"/>
  <c r="AA77" i="62" s="1"/>
  <c r="AA128" i="62" s="1"/>
  <c r="AG144" i="49" s="1"/>
  <c r="L174" i="61"/>
  <c r="R185" i="61"/>
  <c r="R186" i="61" s="1"/>
  <c r="R224" i="61" s="1"/>
  <c r="R278" i="61" s="1"/>
  <c r="S70" i="62" s="1"/>
  <c r="AH185" i="61"/>
  <c r="AH186" i="61" s="1"/>
  <c r="AH224" i="61" s="1"/>
  <c r="AH278" i="61" s="1"/>
  <c r="AI70" i="62" s="1"/>
  <c r="AE139" i="61"/>
  <c r="K18" i="61"/>
  <c r="K48" i="61" s="1"/>
  <c r="S18" i="61"/>
  <c r="S48" i="61" s="1"/>
  <c r="AA18" i="61"/>
  <c r="AA48" i="61" s="1"/>
  <c r="AI18" i="61"/>
  <c r="AI48" i="61" s="1"/>
  <c r="O184" i="61"/>
  <c r="AI79" i="61"/>
  <c r="J121" i="61"/>
  <c r="P18" i="61"/>
  <c r="P48" i="61" s="1"/>
  <c r="X18" i="61"/>
  <c r="X48" i="61" s="1"/>
  <c r="N184" i="61"/>
  <c r="I18" i="61"/>
  <c r="I48" i="61" s="1"/>
  <c r="Q18" i="61"/>
  <c r="Q48" i="61" s="1"/>
  <c r="Y18" i="61"/>
  <c r="Y48" i="61" s="1"/>
  <c r="AG18" i="61"/>
  <c r="AG48" i="61" s="1"/>
  <c r="K179" i="61"/>
  <c r="K242" i="61" s="1"/>
  <c r="P150" i="61"/>
  <c r="AF187" i="61"/>
  <c r="H105" i="61"/>
  <c r="H103" i="61"/>
  <c r="J192" i="61"/>
  <c r="J191" i="61"/>
  <c r="K147" i="61"/>
  <c r="Y184" i="61"/>
  <c r="AE176" i="61"/>
  <c r="AE177" i="61" s="1"/>
  <c r="AE95" i="61"/>
  <c r="K102" i="61"/>
  <c r="AF124" i="61"/>
  <c r="AF237" i="61" s="1"/>
  <c r="AF126" i="61"/>
  <c r="Z184" i="61"/>
  <c r="W183" i="61"/>
  <c r="K135" i="61"/>
  <c r="K238" i="61" s="1"/>
  <c r="X145" i="61"/>
  <c r="N147" i="61"/>
  <c r="K172" i="61"/>
  <c r="H173" i="61"/>
  <c r="AD190" i="61"/>
  <c r="AD243" i="61" s="1"/>
  <c r="AD294" i="61" s="1"/>
  <c r="AE84" i="62" s="1"/>
  <c r="AE141" i="62" s="1"/>
  <c r="R18" i="61"/>
  <c r="Z18" i="61"/>
  <c r="Z48" i="61" s="1"/>
  <c r="AH18" i="61"/>
  <c r="AH48" i="61" s="1"/>
  <c r="J125" i="61"/>
  <c r="AF135" i="61"/>
  <c r="AF238" i="61" s="1"/>
  <c r="AE146" i="61"/>
  <c r="AE239" i="61" s="1"/>
  <c r="AF148" i="61"/>
  <c r="T183" i="61"/>
  <c r="O180" i="61"/>
  <c r="Y180" i="61"/>
  <c r="AE190" i="61"/>
  <c r="S90" i="61"/>
  <c r="K90" i="61"/>
  <c r="K125" i="61"/>
  <c r="AG147" i="61"/>
  <c r="AF167" i="61"/>
  <c r="K173" i="61"/>
  <c r="K174" i="61" s="1"/>
  <c r="K175" i="61" s="1"/>
  <c r="K223" i="61" s="1"/>
  <c r="K282" i="61" s="1"/>
  <c r="L75" i="62" s="1"/>
  <c r="L126" i="62" s="1"/>
  <c r="R142" i="49" s="1"/>
  <c r="AF182" i="61"/>
  <c r="AF259" i="61" s="1"/>
  <c r="AH68" i="61"/>
  <c r="K103" i="61"/>
  <c r="K105" i="61"/>
  <c r="AD112" i="61"/>
  <c r="AD230" i="61" s="1"/>
  <c r="AD292" i="61" s="1"/>
  <c r="AE83" i="62" s="1"/>
  <c r="AE134" i="62" s="1"/>
  <c r="AK150" i="49" s="1"/>
  <c r="N140" i="61"/>
  <c r="H102" i="61"/>
  <c r="H124" i="61"/>
  <c r="H237" i="61" s="1"/>
  <c r="H126" i="61"/>
  <c r="K132" i="61"/>
  <c r="H146" i="61"/>
  <c r="H239" i="61" s="1"/>
  <c r="H138" i="61"/>
  <c r="H255" i="61" s="1"/>
  <c r="K138" i="61"/>
  <c r="K255" i="61" s="1"/>
  <c r="S106" i="61"/>
  <c r="AB106" i="61"/>
  <c r="K99" i="61"/>
  <c r="J138" i="61"/>
  <c r="J255" i="61" s="1"/>
  <c r="Y146" i="61"/>
  <c r="Y239" i="61" s="1"/>
  <c r="O146" i="61"/>
  <c r="O239" i="61" s="1"/>
  <c r="P178" i="61"/>
  <c r="H180" i="61"/>
  <c r="J180" i="61"/>
  <c r="K180" i="61"/>
  <c r="AF129" i="61"/>
  <c r="AF130" i="61" s="1"/>
  <c r="Z191" i="61"/>
  <c r="AG191" i="61"/>
  <c r="N191" i="61"/>
  <c r="Y191" i="61"/>
  <c r="O191" i="61"/>
  <c r="AE193" i="61"/>
  <c r="AF96" i="61"/>
  <c r="K96" i="61"/>
  <c r="J96" i="61"/>
  <c r="AD143" i="61"/>
  <c r="AD144" i="61" s="1"/>
  <c r="H190" i="61"/>
  <c r="J190" i="61"/>
  <c r="K190" i="61"/>
  <c r="K243" i="61" s="1"/>
  <c r="K294" i="61" s="1"/>
  <c r="L84" i="62" s="1"/>
  <c r="L141" i="62" s="1"/>
  <c r="N68" i="61"/>
  <c r="AF104" i="61"/>
  <c r="K104" i="61"/>
  <c r="Y123" i="61"/>
  <c r="N179" i="61"/>
  <c r="N242" i="61" s="1"/>
  <c r="Z179" i="61"/>
  <c r="Z242" i="61" s="1"/>
  <c r="O179" i="61"/>
  <c r="O242" i="61" s="1"/>
  <c r="AG134" i="61"/>
  <c r="AG229" i="61" s="1"/>
  <c r="AG291" i="61" s="1"/>
  <c r="AH82" i="62" s="1"/>
  <c r="AD140" i="61"/>
  <c r="AE149" i="61"/>
  <c r="AE256" i="61" s="1"/>
  <c r="AG181" i="61"/>
  <c r="AD182" i="61"/>
  <c r="AD259" i="61" s="1"/>
  <c r="H184" i="61"/>
  <c r="AG140" i="61"/>
  <c r="AF143" i="61"/>
  <c r="AF144" i="61" s="1"/>
  <c r="X150" i="61"/>
  <c r="H148" i="61"/>
  <c r="T178" i="61"/>
  <c r="J68" i="61"/>
  <c r="K95" i="61"/>
  <c r="S95" i="61"/>
  <c r="O106" i="61"/>
  <c r="H118" i="61"/>
  <c r="AG123" i="61"/>
  <c r="K184" i="61"/>
  <c r="S194" i="61"/>
  <c r="O95" i="61"/>
  <c r="T145" i="61"/>
  <c r="J148" i="61"/>
  <c r="AD156" i="61"/>
  <c r="AD179" i="61"/>
  <c r="AD242" i="61" s="1"/>
  <c r="N180" i="61"/>
  <c r="S189" i="61"/>
  <c r="O190" i="61"/>
  <c r="Y190" i="61"/>
  <c r="AB189" i="61"/>
  <c r="AF118" i="61"/>
  <c r="J146" i="61"/>
  <c r="J239" i="61" s="1"/>
  <c r="X178" i="61"/>
  <c r="K191" i="61"/>
  <c r="J73" i="61"/>
  <c r="AH73" i="61"/>
  <c r="AF90" i="61"/>
  <c r="J102" i="61"/>
  <c r="J105" i="61"/>
  <c r="J252" i="61" s="1"/>
  <c r="J309" i="61" s="1"/>
  <c r="W106" i="61"/>
  <c r="J132" i="61"/>
  <c r="J135" i="61"/>
  <c r="J238" i="61" s="1"/>
  <c r="O140" i="61"/>
  <c r="Z140" i="61"/>
  <c r="R145" i="61"/>
  <c r="AH145" i="61"/>
  <c r="K146" i="61"/>
  <c r="K239" i="61" s="1"/>
  <c r="O149" i="61"/>
  <c r="O256" i="61" s="1"/>
  <c r="Y149" i="61"/>
  <c r="Y256" i="61" s="1"/>
  <c r="AF156" i="61"/>
  <c r="O156" i="61"/>
  <c r="AF172" i="61"/>
  <c r="O173" i="61"/>
  <c r="O174" i="61" s="1"/>
  <c r="O175" i="61" s="1"/>
  <c r="O223" i="61" s="1"/>
  <c r="O282" i="61" s="1"/>
  <c r="P75" i="62" s="1"/>
  <c r="P126" i="62" s="1"/>
  <c r="V142" i="49" s="1"/>
  <c r="Y173" i="61"/>
  <c r="Y174" i="61" s="1"/>
  <c r="Y175" i="61" s="1"/>
  <c r="Y223" i="61" s="1"/>
  <c r="Y282" i="61" s="1"/>
  <c r="Z75" i="62" s="1"/>
  <c r="Z126" i="62" s="1"/>
  <c r="AF142" i="49" s="1"/>
  <c r="N181" i="61"/>
  <c r="AF192" i="61"/>
  <c r="AF123" i="61"/>
  <c r="J140" i="61"/>
  <c r="J141" i="61" s="1"/>
  <c r="J142" i="61" s="1"/>
  <c r="J220" i="61" s="1"/>
  <c r="J283" i="61" s="1"/>
  <c r="K76" i="62" s="1"/>
  <c r="K127" i="62" s="1"/>
  <c r="Q143" i="49" s="1"/>
  <c r="I150" i="61"/>
  <c r="AF140" i="61"/>
  <c r="AF141" i="61" s="1"/>
  <c r="AF142" i="61" s="1"/>
  <c r="AF220" i="61" s="1"/>
  <c r="AF283" i="61" s="1"/>
  <c r="AG76" i="62" s="1"/>
  <c r="AG127" i="62" s="1"/>
  <c r="AM143" i="49" s="1"/>
  <c r="L145" i="61"/>
  <c r="O68" i="61"/>
  <c r="AE68" i="61"/>
  <c r="K68" i="61"/>
  <c r="S68" i="61"/>
  <c r="K73" i="61"/>
  <c r="S73" i="61"/>
  <c r="H90" i="61"/>
  <c r="H101" i="61"/>
  <c r="P101" i="61"/>
  <c r="X101" i="61"/>
  <c r="L101" i="61"/>
  <c r="T101" i="61"/>
  <c r="AB101" i="61"/>
  <c r="P106" i="61"/>
  <c r="X106" i="61"/>
  <c r="I128" i="61"/>
  <c r="Y128" i="61"/>
  <c r="AG128" i="61"/>
  <c r="AG139" i="61"/>
  <c r="K140" i="61"/>
  <c r="K141" i="61" s="1"/>
  <c r="Y143" i="61"/>
  <c r="Y144" i="61" s="1"/>
  <c r="O143" i="61"/>
  <c r="O144" i="61" s="1"/>
  <c r="M145" i="61"/>
  <c r="AG143" i="61"/>
  <c r="AG144" i="61" s="1"/>
  <c r="N143" i="61"/>
  <c r="N144" i="61" s="1"/>
  <c r="Z143" i="61"/>
  <c r="Z144" i="61" s="1"/>
  <c r="S150" i="61"/>
  <c r="K156" i="61"/>
  <c r="N172" i="61"/>
  <c r="Q178" i="61"/>
  <c r="P189" i="61"/>
  <c r="AI101" i="61"/>
  <c r="H68" i="61"/>
  <c r="AF68" i="61"/>
  <c r="Y90" i="61"/>
  <c r="AG90" i="61"/>
  <c r="Q101" i="61"/>
  <c r="Y101" i="61"/>
  <c r="AG101" i="61"/>
  <c r="U101" i="61"/>
  <c r="I106" i="61"/>
  <c r="Q106" i="61"/>
  <c r="Y106" i="61"/>
  <c r="AG106" i="61"/>
  <c r="N117" i="61"/>
  <c r="AD117" i="61"/>
  <c r="J118" i="61"/>
  <c r="J119" i="61" s="1"/>
  <c r="J120" i="61" s="1"/>
  <c r="J218" i="61" s="1"/>
  <c r="H121" i="61"/>
  <c r="H122" i="61" s="1"/>
  <c r="Z123" i="61"/>
  <c r="N123" i="61"/>
  <c r="AD123" i="61"/>
  <c r="J124" i="61"/>
  <c r="J237" i="61" s="1"/>
  <c r="AF125" i="61"/>
  <c r="H127" i="61"/>
  <c r="H254" i="61" s="1"/>
  <c r="Z128" i="61"/>
  <c r="AF132" i="61"/>
  <c r="AF133" i="61" s="1"/>
  <c r="AF226" i="61" s="1"/>
  <c r="AB145" i="61"/>
  <c r="N156" i="61"/>
  <c r="AD167" i="61"/>
  <c r="AB178" i="61"/>
  <c r="O90" i="61"/>
  <c r="Y182" i="61"/>
  <c r="Y259" i="61" s="1"/>
  <c r="O182" i="61"/>
  <c r="O259" i="61" s="1"/>
  <c r="AG182" i="61"/>
  <c r="AG259" i="61" s="1"/>
  <c r="N182" i="61"/>
  <c r="N259" i="61" s="1"/>
  <c r="Y68" i="61"/>
  <c r="AG68" i="61"/>
  <c r="AH84" i="61"/>
  <c r="J90" i="61"/>
  <c r="Z90" i="61"/>
  <c r="AH90" i="61"/>
  <c r="N90" i="61"/>
  <c r="AD90" i="61"/>
  <c r="N95" i="61"/>
  <c r="AD95" i="61"/>
  <c r="J99" i="61"/>
  <c r="J100" i="61" s="1"/>
  <c r="Z101" i="61"/>
  <c r="AH101" i="61"/>
  <c r="N101" i="61"/>
  <c r="V101" i="61"/>
  <c r="AD101" i="61"/>
  <c r="J103" i="61"/>
  <c r="J104" i="61"/>
  <c r="Z106" i="61"/>
  <c r="AH106" i="61"/>
  <c r="O117" i="61"/>
  <c r="AE117" i="61"/>
  <c r="K118" i="61"/>
  <c r="K119" i="61" s="1"/>
  <c r="K120" i="61" s="1"/>
  <c r="K218" i="61" s="1"/>
  <c r="O123" i="61"/>
  <c r="W123" i="61"/>
  <c r="AE123" i="61"/>
  <c r="K124" i="61"/>
  <c r="K237" i="61" s="1"/>
  <c r="W134" i="61"/>
  <c r="W229" i="61" s="1"/>
  <c r="AE140" i="61"/>
  <c r="AE161" i="61"/>
  <c r="AE167" i="61"/>
  <c r="K167" i="61"/>
  <c r="S178" i="61"/>
  <c r="AI178" i="61"/>
  <c r="Z148" i="61"/>
  <c r="Y148" i="61"/>
  <c r="O148" i="61"/>
  <c r="AG148" i="61"/>
  <c r="N148" i="61"/>
  <c r="N73" i="61"/>
  <c r="AD73" i="61"/>
  <c r="AE96" i="61"/>
  <c r="AE97" i="61" s="1"/>
  <c r="AE98" i="61" s="1"/>
  <c r="AE216" i="61" s="1"/>
  <c r="AE285" i="61" s="1"/>
  <c r="AF78" i="62" s="1"/>
  <c r="AF129" i="62" s="1"/>
  <c r="AL138" i="49" s="1"/>
  <c r="AE99" i="61"/>
  <c r="AE100" i="61" s="1"/>
  <c r="AE102" i="61"/>
  <c r="AE235" i="61" s="1"/>
  <c r="AE299" i="61" s="1"/>
  <c r="AF89" i="62" s="1"/>
  <c r="AF136" i="62" s="1"/>
  <c r="AE105" i="61"/>
  <c r="AI106" i="61"/>
  <c r="AF117" i="61"/>
  <c r="T123" i="61"/>
  <c r="T128" i="61"/>
  <c r="Y139" i="61"/>
  <c r="T134" i="61"/>
  <c r="T229" i="61" s="1"/>
  <c r="J137" i="61"/>
  <c r="AF137" i="61"/>
  <c r="T139" i="61"/>
  <c r="H181" i="61"/>
  <c r="AF181" i="61"/>
  <c r="K181" i="61"/>
  <c r="J181" i="61"/>
  <c r="T189" i="61"/>
  <c r="AI189" i="61"/>
  <c r="AE187" i="61"/>
  <c r="AE188" i="61" s="1"/>
  <c r="Z192" i="61"/>
  <c r="Y192" i="61"/>
  <c r="O192" i="61"/>
  <c r="AG192" i="61"/>
  <c r="N192" i="61"/>
  <c r="Z73" i="61"/>
  <c r="K117" i="61"/>
  <c r="Z182" i="61"/>
  <c r="Z259" i="61" s="1"/>
  <c r="O73" i="61"/>
  <c r="AE73" i="61"/>
  <c r="H95" i="61"/>
  <c r="AF95" i="61"/>
  <c r="AF99" i="61"/>
  <c r="AF100" i="61" s="1"/>
  <c r="AF102" i="61"/>
  <c r="AF105" i="61"/>
  <c r="AF252" i="61" s="1"/>
  <c r="AF309" i="61" s="1"/>
  <c r="AG98" i="62" s="1"/>
  <c r="L106" i="61"/>
  <c r="T106" i="61"/>
  <c r="AF112" i="61"/>
  <c r="AF230" i="61" s="1"/>
  <c r="AF292" i="61" s="1"/>
  <c r="AG83" i="62" s="1"/>
  <c r="AG134" i="62" s="1"/>
  <c r="AM150" i="49" s="1"/>
  <c r="J246" i="61"/>
  <c r="H117" i="61"/>
  <c r="Y117" i="61"/>
  <c r="AG117" i="61"/>
  <c r="K121" i="61"/>
  <c r="K122" i="61" s="1"/>
  <c r="K127" i="61"/>
  <c r="K254" i="61" s="1"/>
  <c r="I139" i="61"/>
  <c r="Z139" i="61"/>
  <c r="I134" i="61"/>
  <c r="I229" i="61" s="1"/>
  <c r="K137" i="61"/>
  <c r="K149" i="61"/>
  <c r="K256" i="61" s="1"/>
  <c r="J149" i="61"/>
  <c r="J256" i="61" s="1"/>
  <c r="H149" i="61"/>
  <c r="H256" i="61" s="1"/>
  <c r="AF149" i="61"/>
  <c r="AF256" i="61" s="1"/>
  <c r="Z156" i="61"/>
  <c r="Z161" i="61"/>
  <c r="AG167" i="61"/>
  <c r="K176" i="61"/>
  <c r="K177" i="61" s="1"/>
  <c r="I178" i="61"/>
  <c r="J176" i="61"/>
  <c r="J177" i="61" s="1"/>
  <c r="H176" i="61"/>
  <c r="H177" i="61" s="1"/>
  <c r="AF176" i="61"/>
  <c r="AF177" i="61" s="1"/>
  <c r="AE184" i="61"/>
  <c r="AE185" i="61" s="1"/>
  <c r="AE186" i="61" s="1"/>
  <c r="AE224" i="61" s="1"/>
  <c r="AE278" i="61" s="1"/>
  <c r="AF70" i="62" s="1"/>
  <c r="W189" i="61"/>
  <c r="AI194" i="61"/>
  <c r="H136" i="61"/>
  <c r="K136" i="61"/>
  <c r="J136" i="61"/>
  <c r="H73" i="61"/>
  <c r="AF73" i="61"/>
  <c r="Y95" i="61"/>
  <c r="AG95" i="61"/>
  <c r="U106" i="61"/>
  <c r="Z117" i="61"/>
  <c r="J126" i="61"/>
  <c r="AF127" i="61"/>
  <c r="AF254" i="61" s="1"/>
  <c r="N128" i="61"/>
  <c r="AD128" i="61"/>
  <c r="J129" i="61"/>
  <c r="J130" i="61" s="1"/>
  <c r="J131" i="61" s="1"/>
  <c r="J219" i="61" s="1"/>
  <c r="AD139" i="61"/>
  <c r="H132" i="61"/>
  <c r="H133" i="61" s="1"/>
  <c r="H226" i="61" s="1"/>
  <c r="H288" i="61" s="1"/>
  <c r="I80" i="62" s="1"/>
  <c r="P145" i="61"/>
  <c r="O161" i="61"/>
  <c r="AE172" i="61"/>
  <c r="H172" i="61"/>
  <c r="AH183" i="61"/>
  <c r="L178" i="61"/>
  <c r="AE182" i="61"/>
  <c r="AE259" i="61" s="1"/>
  <c r="AB183" i="61"/>
  <c r="L189" i="61"/>
  <c r="N139" i="61"/>
  <c r="AD178" i="61"/>
  <c r="H65" i="61"/>
  <c r="H213" i="61" s="1"/>
  <c r="Y73" i="61"/>
  <c r="AG73" i="61"/>
  <c r="J95" i="61"/>
  <c r="Z95" i="61"/>
  <c r="AH95" i="61"/>
  <c r="N106" i="61"/>
  <c r="V106" i="61"/>
  <c r="AD106" i="61"/>
  <c r="J117" i="61"/>
  <c r="O128" i="61"/>
  <c r="W128" i="61"/>
  <c r="AE128" i="61"/>
  <c r="K129" i="61"/>
  <c r="K130" i="61" s="1"/>
  <c r="K131" i="61" s="1"/>
  <c r="K219" i="61" s="1"/>
  <c r="Z134" i="61"/>
  <c r="Z229" i="61" s="1"/>
  <c r="O139" i="61"/>
  <c r="W139" i="61"/>
  <c r="H140" i="61"/>
  <c r="H141" i="61" s="1"/>
  <c r="H142" i="61" s="1"/>
  <c r="H220" i="61" s="1"/>
  <c r="H283" i="61" s="1"/>
  <c r="I76" i="62" s="1"/>
  <c r="I127" i="62" s="1"/>
  <c r="O143" i="49" s="1"/>
  <c r="W145" i="61"/>
  <c r="AI145" i="61"/>
  <c r="AE143" i="61"/>
  <c r="AE144" i="61" s="1"/>
  <c r="AI150" i="61"/>
  <c r="AD161" i="61"/>
  <c r="H156" i="61"/>
  <c r="O167" i="61"/>
  <c r="AE179" i="61"/>
  <c r="AE242" i="61" s="1"/>
  <c r="L183" i="61"/>
  <c r="P194" i="61"/>
  <c r="Y187" i="61"/>
  <c r="Y188" i="61" s="1"/>
  <c r="O187" i="61"/>
  <c r="O188" i="61" s="1"/>
  <c r="M189" i="61"/>
  <c r="AG187" i="61"/>
  <c r="AG188" i="61" s="1"/>
  <c r="N187" i="61"/>
  <c r="N188" i="61" s="1"/>
  <c r="Z187" i="61"/>
  <c r="Z188" i="61" s="1"/>
  <c r="H189" i="61"/>
  <c r="H135" i="61"/>
  <c r="H238" i="61" s="1"/>
  <c r="Z146" i="61"/>
  <c r="Z239" i="61" s="1"/>
  <c r="O147" i="61"/>
  <c r="Y147" i="61"/>
  <c r="L150" i="61"/>
  <c r="T150" i="61"/>
  <c r="AB150" i="61"/>
  <c r="H161" i="61"/>
  <c r="AF161" i="61"/>
  <c r="P183" i="61"/>
  <c r="X183" i="61"/>
  <c r="Z190" i="61"/>
  <c r="Z243" i="61" s="1"/>
  <c r="Z294" i="61" s="1"/>
  <c r="AA84" i="62" s="1"/>
  <c r="AA141" i="62" s="1"/>
  <c r="AF193" i="61"/>
  <c r="AF260" i="61" s="1"/>
  <c r="AF304" i="61" s="1"/>
  <c r="L194" i="61"/>
  <c r="T194" i="61"/>
  <c r="AB194" i="61"/>
  <c r="J143" i="61"/>
  <c r="J144" i="61" s="1"/>
  <c r="I145" i="61"/>
  <c r="Q145" i="61"/>
  <c r="AC145" i="61"/>
  <c r="H147" i="61"/>
  <c r="N149" i="61"/>
  <c r="N256" i="61" s="1"/>
  <c r="AG149" i="61"/>
  <c r="AG256" i="61" s="1"/>
  <c r="M150" i="61"/>
  <c r="AC150" i="61"/>
  <c r="Y156" i="61"/>
  <c r="AG156" i="61"/>
  <c r="Y161" i="61"/>
  <c r="AG161" i="61"/>
  <c r="Y167" i="61"/>
  <c r="N176" i="61"/>
  <c r="N177" i="61" s="1"/>
  <c r="AG176" i="61"/>
  <c r="AG177" i="61" s="1"/>
  <c r="M178" i="61"/>
  <c r="AF179" i="61"/>
  <c r="AF242" i="61" s="1"/>
  <c r="J182" i="61"/>
  <c r="J259" i="61" s="1"/>
  <c r="I183" i="61"/>
  <c r="Q183" i="61"/>
  <c r="AF184" i="61"/>
  <c r="AF185" i="61" s="1"/>
  <c r="AF186" i="61" s="1"/>
  <c r="AF224" i="61" s="1"/>
  <c r="AF278" i="61" s="1"/>
  <c r="AG70" i="62" s="1"/>
  <c r="J187" i="61"/>
  <c r="J188" i="61" s="1"/>
  <c r="I189" i="61"/>
  <c r="Q189" i="61"/>
  <c r="AC189" i="61"/>
  <c r="H191" i="61"/>
  <c r="N193" i="61"/>
  <c r="N260" i="61" s="1"/>
  <c r="N304" i="61" s="1"/>
  <c r="O93" i="62" s="1"/>
  <c r="AG193" i="61"/>
  <c r="M194" i="61"/>
  <c r="AC194" i="61"/>
  <c r="J156" i="61"/>
  <c r="J161" i="61"/>
  <c r="J167" i="61"/>
  <c r="Z167" i="61"/>
  <c r="N167" i="61"/>
  <c r="AD172" i="61"/>
  <c r="O176" i="61"/>
  <c r="O177" i="61" s="1"/>
  <c r="Y176" i="61"/>
  <c r="Y177" i="61" s="1"/>
  <c r="R178" i="61"/>
  <c r="AH178" i="61"/>
  <c r="AG179" i="61"/>
  <c r="AG242" i="61" s="1"/>
  <c r="AF180" i="61"/>
  <c r="K182" i="61"/>
  <c r="K259" i="61" s="1"/>
  <c r="R183" i="61"/>
  <c r="K187" i="61"/>
  <c r="K188" i="61" s="1"/>
  <c r="AD187" i="61"/>
  <c r="AD188" i="61" s="1"/>
  <c r="R189" i="61"/>
  <c r="AH189" i="61"/>
  <c r="H192" i="61"/>
  <c r="O193" i="61"/>
  <c r="Y193" i="61"/>
  <c r="Y140" i="61"/>
  <c r="Y141" i="61" s="1"/>
  <c r="Y142" i="61" s="1"/>
  <c r="Y220" i="61" s="1"/>
  <c r="Y283" i="61" s="1"/>
  <c r="Z76" i="62" s="1"/>
  <c r="Z127" i="62" s="1"/>
  <c r="AF143" i="49" s="1"/>
  <c r="AD146" i="61"/>
  <c r="AD239" i="61" s="1"/>
  <c r="J147" i="61"/>
  <c r="Z149" i="61"/>
  <c r="Z256" i="61" s="1"/>
  <c r="W150" i="61"/>
  <c r="K161" i="61"/>
  <c r="O172" i="61"/>
  <c r="Z176" i="61"/>
  <c r="Z177" i="61" s="1"/>
  <c r="Y179" i="61"/>
  <c r="Y242" i="61" s="1"/>
  <c r="AG180" i="61"/>
  <c r="S183" i="61"/>
  <c r="AI183" i="61"/>
  <c r="H193" i="61"/>
  <c r="H260" i="61" s="1"/>
  <c r="H304" i="61" s="1"/>
  <c r="I93" i="62" s="1"/>
  <c r="Z193" i="61"/>
  <c r="W194" i="61"/>
  <c r="X194" i="61"/>
  <c r="AF146" i="61"/>
  <c r="AF239" i="61" s="1"/>
  <c r="Q150" i="61"/>
  <c r="Y172" i="61"/>
  <c r="AG172" i="61"/>
  <c r="AF173" i="61"/>
  <c r="AF174" i="61" s="1"/>
  <c r="AF175" i="61" s="1"/>
  <c r="AF223" i="61" s="1"/>
  <c r="AF282" i="61" s="1"/>
  <c r="AG75" i="62" s="1"/>
  <c r="AG126" i="62" s="1"/>
  <c r="AM142" i="49" s="1"/>
  <c r="O181" i="61"/>
  <c r="Y181" i="61"/>
  <c r="M183" i="61"/>
  <c r="AC183" i="61"/>
  <c r="AF190" i="61"/>
  <c r="AF243" i="61" s="1"/>
  <c r="AF294" i="61" s="1"/>
  <c r="AG84" i="62" s="1"/>
  <c r="AG141" i="62" s="1"/>
  <c r="J193" i="61"/>
  <c r="I194" i="61"/>
  <c r="Q194" i="61"/>
  <c r="AF138" i="61"/>
  <c r="AF255" i="61" s="1"/>
  <c r="N146" i="61"/>
  <c r="N239" i="61" s="1"/>
  <c r="AG146" i="61"/>
  <c r="AG239" i="61" s="1"/>
  <c r="AD149" i="61"/>
  <c r="AD256" i="61" s="1"/>
  <c r="R150" i="61"/>
  <c r="AH150" i="61"/>
  <c r="N161" i="61"/>
  <c r="J172" i="61"/>
  <c r="Z172" i="61"/>
  <c r="N173" i="61"/>
  <c r="N174" i="61" s="1"/>
  <c r="AG173" i="61"/>
  <c r="AG174" i="61" s="1"/>
  <c r="AG175" i="61" s="1"/>
  <c r="AG223" i="61" s="1"/>
  <c r="AG282" i="61" s="1"/>
  <c r="AH75" i="62" s="1"/>
  <c r="AH126" i="62" s="1"/>
  <c r="AN142" i="49" s="1"/>
  <c r="J179" i="61"/>
  <c r="J242" i="61" s="1"/>
  <c r="J184" i="61"/>
  <c r="N190" i="61"/>
  <c r="N243" i="61" s="1"/>
  <c r="N294" i="61" s="1"/>
  <c r="O84" i="62" s="1"/>
  <c r="O141" i="62" s="1"/>
  <c r="AG190" i="61"/>
  <c r="AG243" i="61" s="1"/>
  <c r="AG294" i="61" s="1"/>
  <c r="AH84" i="62" s="1"/>
  <c r="AH141" i="62" s="1"/>
  <c r="K193" i="61"/>
  <c r="AD193" i="61"/>
  <c r="R194" i="61"/>
  <c r="AH194" i="61"/>
  <c r="L18" i="61"/>
  <c r="L48" i="61" s="1"/>
  <c r="T18" i="61"/>
  <c r="T48" i="61" s="1"/>
  <c r="AB18" i="61"/>
  <c r="AB48" i="61" s="1"/>
  <c r="AC18" i="61"/>
  <c r="AC48" i="61" s="1"/>
  <c r="U18" i="61"/>
  <c r="U48" i="61" s="1"/>
  <c r="M18" i="61"/>
  <c r="M48" i="61" s="1"/>
  <c r="V18" i="61"/>
  <c r="V48" i="61" s="1"/>
  <c r="AD18" i="61"/>
  <c r="AD48" i="61" s="1"/>
  <c r="J18" i="61"/>
  <c r="J48" i="61" s="1"/>
  <c r="N18" i="61"/>
  <c r="N48" i="61" s="1"/>
  <c r="W18" i="61"/>
  <c r="W48" i="61" s="1"/>
  <c r="AJ6" i="61"/>
  <c r="AJ9" i="61"/>
  <c r="AJ11" i="61"/>
  <c r="AJ13" i="61"/>
  <c r="AJ15" i="61"/>
  <c r="AJ17" i="61"/>
  <c r="AJ8" i="61"/>
  <c r="AJ16" i="61"/>
  <c r="AJ7" i="61"/>
  <c r="O18" i="61"/>
  <c r="O48" i="61" s="1"/>
  <c r="AE18" i="61"/>
  <c r="AE48" i="61" s="1"/>
  <c r="AF18" i="61"/>
  <c r="AF48" i="61" s="1"/>
  <c r="AJ10" i="61"/>
  <c r="AJ12" i="61"/>
  <c r="AJ14" i="61"/>
  <c r="R48" i="61"/>
  <c r="H18" i="61"/>
  <c r="H48" i="61" s="1"/>
  <c r="AR162" i="56" l="1"/>
  <c r="AL95" i="63"/>
  <c r="AQ162" i="56"/>
  <c r="AK95" i="63"/>
  <c r="AP162" i="56"/>
  <c r="AJ95" i="63"/>
  <c r="AO162" i="56"/>
  <c r="AI95" i="63"/>
  <c r="AN162" i="56"/>
  <c r="AH95" i="63"/>
  <c r="AM162" i="56"/>
  <c r="AG95" i="63"/>
  <c r="AL162" i="56"/>
  <c r="AF95" i="63"/>
  <c r="AK162" i="56"/>
  <c r="AE95" i="63"/>
  <c r="AJ162" i="56"/>
  <c r="AD95" i="63"/>
  <c r="AI162" i="56"/>
  <c r="AC95" i="63"/>
  <c r="AH162" i="56"/>
  <c r="AB95" i="63"/>
  <c r="AG162" i="56"/>
  <c r="AA95" i="63"/>
  <c r="AF162" i="56"/>
  <c r="Z95" i="63"/>
  <c r="AE162" i="56"/>
  <c r="Y95" i="63"/>
  <c r="AD162" i="56"/>
  <c r="X95" i="63"/>
  <c r="AC162" i="56"/>
  <c r="W95" i="63"/>
  <c r="AB162" i="56"/>
  <c r="V95" i="63"/>
  <c r="AA162" i="56"/>
  <c r="U95" i="63"/>
  <c r="Z162" i="56"/>
  <c r="T95" i="63"/>
  <c r="Y162" i="56"/>
  <c r="S95" i="63"/>
  <c r="X162" i="56"/>
  <c r="R95" i="63"/>
  <c r="W162" i="56"/>
  <c r="Q95" i="63"/>
  <c r="V162" i="56"/>
  <c r="P95" i="63"/>
  <c r="U162" i="56"/>
  <c r="O95" i="63"/>
  <c r="T162" i="56"/>
  <c r="N95" i="63"/>
  <c r="S162" i="56"/>
  <c r="M95" i="63"/>
  <c r="R162" i="56"/>
  <c r="L95" i="63"/>
  <c r="Q162" i="56"/>
  <c r="K95" i="63"/>
  <c r="AR116" i="56"/>
  <c r="AL49" i="63"/>
  <c r="AQ116" i="56"/>
  <c r="AK49" i="63"/>
  <c r="AP116" i="56"/>
  <c r="AJ49" i="63"/>
  <c r="AO116" i="56"/>
  <c r="AI49" i="63"/>
  <c r="AN116" i="56"/>
  <c r="AH49" i="63"/>
  <c r="AM116" i="56"/>
  <c r="AG49" i="63"/>
  <c r="AL116" i="56"/>
  <c r="AF49" i="63"/>
  <c r="AK116" i="56"/>
  <c r="AE49" i="63"/>
  <c r="AJ116" i="56"/>
  <c r="AD49" i="63"/>
  <c r="AI116" i="56"/>
  <c r="AC49" i="63"/>
  <c r="AH116" i="56"/>
  <c r="AB49" i="63"/>
  <c r="AG116" i="56"/>
  <c r="AA49" i="63"/>
  <c r="AF116" i="56"/>
  <c r="Z49" i="63"/>
  <c r="AE116" i="56"/>
  <c r="Y49" i="63"/>
  <c r="AD116" i="56"/>
  <c r="X49" i="63"/>
  <c r="AC116" i="56"/>
  <c r="W49" i="63"/>
  <c r="AB116" i="56"/>
  <c r="V49" i="63"/>
  <c r="AA116" i="56"/>
  <c r="U49" i="63"/>
  <c r="Z116" i="56"/>
  <c r="T49" i="63"/>
  <c r="Y116" i="56"/>
  <c r="S49" i="63"/>
  <c r="X116" i="56"/>
  <c r="R49" i="63"/>
  <c r="W116" i="56"/>
  <c r="Q49" i="63"/>
  <c r="V116" i="56"/>
  <c r="P49" i="63"/>
  <c r="U116" i="56"/>
  <c r="O49" i="63"/>
  <c r="T116" i="56"/>
  <c r="N49" i="63"/>
  <c r="S116" i="56"/>
  <c r="M49" i="63"/>
  <c r="R116" i="56"/>
  <c r="L49" i="63"/>
  <c r="Q116" i="56"/>
  <c r="K49" i="63"/>
  <c r="I165" i="49"/>
  <c r="I164" i="49"/>
  <c r="K171" i="49"/>
  <c r="K170" i="49"/>
  <c r="M134" i="62"/>
  <c r="S150" i="49" s="1"/>
  <c r="AA60" i="49"/>
  <c r="W56" i="63"/>
  <c r="AC127" i="56" s="1"/>
  <c r="W57" i="63"/>
  <c r="AC128" i="56" s="1"/>
  <c r="W58" i="63"/>
  <c r="AC129" i="56" s="1"/>
  <c r="W59" i="63"/>
  <c r="AC130" i="56" s="1"/>
  <c r="W60" i="63"/>
  <c r="AC131" i="56" s="1"/>
  <c r="W61" i="63"/>
  <c r="AC132" i="56" s="1"/>
  <c r="W62" i="63"/>
  <c r="AC133" i="56" s="1"/>
  <c r="W63" i="63"/>
  <c r="AC134" i="56" s="1"/>
  <c r="W64" i="63"/>
  <c r="AC135" i="56" s="1"/>
  <c r="W65" i="63"/>
  <c r="AC136" i="56" s="1"/>
  <c r="W66" i="63"/>
  <c r="AC137" i="56" s="1"/>
  <c r="W67" i="63"/>
  <c r="AC138" i="56" s="1"/>
  <c r="W14" i="63"/>
  <c r="AC85" i="56" s="1"/>
  <c r="W15" i="63"/>
  <c r="AC86" i="56" s="1"/>
  <c r="W16" i="63"/>
  <c r="AC87" i="56" s="1"/>
  <c r="W17" i="63"/>
  <c r="AC88" i="56" s="1"/>
  <c r="W18" i="63"/>
  <c r="AC89" i="56" s="1"/>
  <c r="W19" i="63"/>
  <c r="AC90" i="56" s="1"/>
  <c r="W20" i="63"/>
  <c r="AC91" i="56" s="1"/>
  <c r="W21" i="63"/>
  <c r="AC92" i="56" s="1"/>
  <c r="W22" i="63"/>
  <c r="AC93" i="56" s="1"/>
  <c r="W23" i="63"/>
  <c r="AC94" i="56" s="1"/>
  <c r="W24" i="63"/>
  <c r="AC95" i="56" s="1"/>
  <c r="W25" i="63"/>
  <c r="AC96" i="56" s="1"/>
  <c r="S60" i="49"/>
  <c r="O56" i="63"/>
  <c r="U127" i="56" s="1"/>
  <c r="O57" i="63"/>
  <c r="U128" i="56" s="1"/>
  <c r="O58" i="63"/>
  <c r="U129" i="56" s="1"/>
  <c r="O59" i="63"/>
  <c r="U130" i="56" s="1"/>
  <c r="O60" i="63"/>
  <c r="U131" i="56" s="1"/>
  <c r="O61" i="63"/>
  <c r="U132" i="56" s="1"/>
  <c r="O62" i="63"/>
  <c r="U133" i="56" s="1"/>
  <c r="O63" i="63"/>
  <c r="U134" i="56" s="1"/>
  <c r="O64" i="63"/>
  <c r="U135" i="56" s="1"/>
  <c r="O65" i="63"/>
  <c r="U136" i="56" s="1"/>
  <c r="O66" i="63"/>
  <c r="U137" i="56" s="1"/>
  <c r="O67" i="63"/>
  <c r="U138" i="56" s="1"/>
  <c r="O14" i="63"/>
  <c r="U85" i="56" s="1"/>
  <c r="O15" i="63"/>
  <c r="U86" i="56" s="1"/>
  <c r="O16" i="63"/>
  <c r="U87" i="56" s="1"/>
  <c r="O17" i="63"/>
  <c r="U88" i="56" s="1"/>
  <c r="O18" i="63"/>
  <c r="U89" i="56" s="1"/>
  <c r="O19" i="63"/>
  <c r="U90" i="56" s="1"/>
  <c r="O20" i="63"/>
  <c r="U91" i="56" s="1"/>
  <c r="O21" i="63"/>
  <c r="U92" i="56" s="1"/>
  <c r="O22" i="63"/>
  <c r="U93" i="56" s="1"/>
  <c r="O23" i="63"/>
  <c r="U94" i="56" s="1"/>
  <c r="O24" i="63"/>
  <c r="U95" i="56" s="1"/>
  <c r="O25" i="63"/>
  <c r="U96" i="56" s="1"/>
  <c r="AP60" i="49"/>
  <c r="AL56" i="63"/>
  <c r="AR127" i="56" s="1"/>
  <c r="AL57" i="63"/>
  <c r="AR128" i="56" s="1"/>
  <c r="AL58" i="63"/>
  <c r="AR129" i="56" s="1"/>
  <c r="AL59" i="63"/>
  <c r="AR130" i="56" s="1"/>
  <c r="AL60" i="63"/>
  <c r="AR131" i="56" s="1"/>
  <c r="AL61" i="63"/>
  <c r="AR132" i="56" s="1"/>
  <c r="AL62" i="63"/>
  <c r="AR133" i="56" s="1"/>
  <c r="AL63" i="63"/>
  <c r="AR134" i="56" s="1"/>
  <c r="AL64" i="63"/>
  <c r="AR135" i="56" s="1"/>
  <c r="AL65" i="63"/>
  <c r="AR136" i="56" s="1"/>
  <c r="AL66" i="63"/>
  <c r="AR137" i="56" s="1"/>
  <c r="AL67" i="63"/>
  <c r="AR138" i="56" s="1"/>
  <c r="AL14" i="63"/>
  <c r="AR85" i="56" s="1"/>
  <c r="AL15" i="63"/>
  <c r="AR86" i="56" s="1"/>
  <c r="AL16" i="63"/>
  <c r="AR87" i="56" s="1"/>
  <c r="AL17" i="63"/>
  <c r="AR88" i="56" s="1"/>
  <c r="AL18" i="63"/>
  <c r="AR89" i="56" s="1"/>
  <c r="AL19" i="63"/>
  <c r="AR90" i="56" s="1"/>
  <c r="AL20" i="63"/>
  <c r="AR91" i="56" s="1"/>
  <c r="AL21" i="63"/>
  <c r="AR92" i="56" s="1"/>
  <c r="AL22" i="63"/>
  <c r="AR93" i="56" s="1"/>
  <c r="AL23" i="63"/>
  <c r="AR94" i="56" s="1"/>
  <c r="AL24" i="63"/>
  <c r="AR95" i="56" s="1"/>
  <c r="AL25" i="63"/>
  <c r="AR96" i="56" s="1"/>
  <c r="AH60" i="49"/>
  <c r="AD56" i="63"/>
  <c r="AJ127" i="56" s="1"/>
  <c r="AD57" i="63"/>
  <c r="AJ128" i="56" s="1"/>
  <c r="AD58" i="63"/>
  <c r="AJ129" i="56" s="1"/>
  <c r="AD59" i="63"/>
  <c r="AJ130" i="56" s="1"/>
  <c r="AD60" i="63"/>
  <c r="AJ131" i="56" s="1"/>
  <c r="AD61" i="63"/>
  <c r="AJ132" i="56" s="1"/>
  <c r="AD62" i="63"/>
  <c r="AJ133" i="56" s="1"/>
  <c r="AD63" i="63"/>
  <c r="AJ134" i="56" s="1"/>
  <c r="AD64" i="63"/>
  <c r="AJ135" i="56" s="1"/>
  <c r="AD65" i="63"/>
  <c r="AJ136" i="56" s="1"/>
  <c r="AD66" i="63"/>
  <c r="AJ137" i="56" s="1"/>
  <c r="AD67" i="63"/>
  <c r="AJ138" i="56" s="1"/>
  <c r="AD14" i="63"/>
  <c r="AJ85" i="56" s="1"/>
  <c r="AD15" i="63"/>
  <c r="AJ86" i="56" s="1"/>
  <c r="AD16" i="63"/>
  <c r="AJ87" i="56" s="1"/>
  <c r="AD17" i="63"/>
  <c r="AJ88" i="56" s="1"/>
  <c r="AD18" i="63"/>
  <c r="AJ89" i="56" s="1"/>
  <c r="AD19" i="63"/>
  <c r="AJ90" i="56" s="1"/>
  <c r="AD20" i="63"/>
  <c r="AJ91" i="56" s="1"/>
  <c r="AD21" i="63"/>
  <c r="AJ92" i="56" s="1"/>
  <c r="AD22" i="63"/>
  <c r="AJ93" i="56" s="1"/>
  <c r="AD23" i="63"/>
  <c r="AJ94" i="56" s="1"/>
  <c r="AD24" i="63"/>
  <c r="AJ95" i="56" s="1"/>
  <c r="AD25" i="63"/>
  <c r="AJ96" i="56" s="1"/>
  <c r="Z60" i="49"/>
  <c r="V56" i="63"/>
  <c r="AB127" i="56" s="1"/>
  <c r="V57" i="63"/>
  <c r="AB128" i="56" s="1"/>
  <c r="V58" i="63"/>
  <c r="AB129" i="56" s="1"/>
  <c r="V59" i="63"/>
  <c r="AB130" i="56" s="1"/>
  <c r="V60" i="63"/>
  <c r="AB131" i="56" s="1"/>
  <c r="V61" i="63"/>
  <c r="AB132" i="56" s="1"/>
  <c r="V62" i="63"/>
  <c r="AB133" i="56" s="1"/>
  <c r="V63" i="63"/>
  <c r="AB134" i="56" s="1"/>
  <c r="V64" i="63"/>
  <c r="AB135" i="56" s="1"/>
  <c r="V65" i="63"/>
  <c r="AB136" i="56" s="1"/>
  <c r="V66" i="63"/>
  <c r="AB137" i="56" s="1"/>
  <c r="V67" i="63"/>
  <c r="AB138" i="56" s="1"/>
  <c r="V14" i="63"/>
  <c r="AB85" i="56" s="1"/>
  <c r="V15" i="63"/>
  <c r="AB86" i="56" s="1"/>
  <c r="V16" i="63"/>
  <c r="AB87" i="56" s="1"/>
  <c r="V17" i="63"/>
  <c r="AB88" i="56" s="1"/>
  <c r="V18" i="63"/>
  <c r="AB89" i="56" s="1"/>
  <c r="V19" i="63"/>
  <c r="AB90" i="56" s="1"/>
  <c r="V20" i="63"/>
  <c r="AB91" i="56" s="1"/>
  <c r="V21" i="63"/>
  <c r="AB92" i="56" s="1"/>
  <c r="V22" i="63"/>
  <c r="AB93" i="56" s="1"/>
  <c r="V23" i="63"/>
  <c r="AB94" i="56" s="1"/>
  <c r="V24" i="63"/>
  <c r="AB95" i="56" s="1"/>
  <c r="V25" i="63"/>
  <c r="AB96" i="56" s="1"/>
  <c r="R60" i="49"/>
  <c r="N56" i="63"/>
  <c r="T127" i="56" s="1"/>
  <c r="N57" i="63"/>
  <c r="T128" i="56" s="1"/>
  <c r="N58" i="63"/>
  <c r="T129" i="56" s="1"/>
  <c r="N59" i="63"/>
  <c r="T130" i="56" s="1"/>
  <c r="N60" i="63"/>
  <c r="T131" i="56" s="1"/>
  <c r="N61" i="63"/>
  <c r="T132" i="56" s="1"/>
  <c r="N62" i="63"/>
  <c r="T133" i="56" s="1"/>
  <c r="N63" i="63"/>
  <c r="T134" i="56" s="1"/>
  <c r="N64" i="63"/>
  <c r="T135" i="56" s="1"/>
  <c r="N65" i="63"/>
  <c r="T136" i="56" s="1"/>
  <c r="N66" i="63"/>
  <c r="T137" i="56" s="1"/>
  <c r="N67" i="63"/>
  <c r="T138" i="56" s="1"/>
  <c r="N14" i="63"/>
  <c r="T85" i="56" s="1"/>
  <c r="N15" i="63"/>
  <c r="T86" i="56" s="1"/>
  <c r="N16" i="63"/>
  <c r="T87" i="56" s="1"/>
  <c r="N17" i="63"/>
  <c r="T88" i="56" s="1"/>
  <c r="N18" i="63"/>
  <c r="T89" i="56" s="1"/>
  <c r="N19" i="63"/>
  <c r="T90" i="56" s="1"/>
  <c r="N20" i="63"/>
  <c r="T91" i="56" s="1"/>
  <c r="N21" i="63"/>
  <c r="T92" i="56" s="1"/>
  <c r="N22" i="63"/>
  <c r="T93" i="56" s="1"/>
  <c r="N23" i="63"/>
  <c r="T94" i="56" s="1"/>
  <c r="N24" i="63"/>
  <c r="T95" i="56" s="1"/>
  <c r="N25" i="63"/>
  <c r="T96" i="56" s="1"/>
  <c r="AO60" i="49"/>
  <c r="AK56" i="63"/>
  <c r="AQ127" i="56" s="1"/>
  <c r="AK57" i="63"/>
  <c r="AQ128" i="56" s="1"/>
  <c r="AK58" i="63"/>
  <c r="AQ129" i="56" s="1"/>
  <c r="AK59" i="63"/>
  <c r="AQ130" i="56" s="1"/>
  <c r="AK60" i="63"/>
  <c r="AQ131" i="56" s="1"/>
  <c r="AK61" i="63"/>
  <c r="AQ132" i="56" s="1"/>
  <c r="AK62" i="63"/>
  <c r="AQ133" i="56" s="1"/>
  <c r="AK63" i="63"/>
  <c r="AQ134" i="56" s="1"/>
  <c r="AK64" i="63"/>
  <c r="AQ135" i="56" s="1"/>
  <c r="AK65" i="63"/>
  <c r="AQ136" i="56" s="1"/>
  <c r="AK66" i="63"/>
  <c r="AQ137" i="56" s="1"/>
  <c r="AK67" i="63"/>
  <c r="AQ138" i="56" s="1"/>
  <c r="AK14" i="63"/>
  <c r="AQ85" i="56" s="1"/>
  <c r="AK15" i="63"/>
  <c r="AQ86" i="56" s="1"/>
  <c r="AK16" i="63"/>
  <c r="AQ87" i="56" s="1"/>
  <c r="AK17" i="63"/>
  <c r="AQ88" i="56" s="1"/>
  <c r="AK18" i="63"/>
  <c r="AQ89" i="56" s="1"/>
  <c r="AK19" i="63"/>
  <c r="AQ90" i="56" s="1"/>
  <c r="AK20" i="63"/>
  <c r="AQ91" i="56" s="1"/>
  <c r="AK21" i="63"/>
  <c r="AQ92" i="56" s="1"/>
  <c r="AK22" i="63"/>
  <c r="AQ93" i="56" s="1"/>
  <c r="AK23" i="63"/>
  <c r="AQ94" i="56" s="1"/>
  <c r="AK24" i="63"/>
  <c r="AQ95" i="56" s="1"/>
  <c r="AK25" i="63"/>
  <c r="AQ96" i="56" s="1"/>
  <c r="AG60" i="49"/>
  <c r="AC56" i="63"/>
  <c r="AI127" i="56" s="1"/>
  <c r="AC57" i="63"/>
  <c r="AI128" i="56" s="1"/>
  <c r="AC58" i="63"/>
  <c r="AI129" i="56" s="1"/>
  <c r="AC59" i="63"/>
  <c r="AI130" i="56" s="1"/>
  <c r="AC60" i="63"/>
  <c r="AI131" i="56" s="1"/>
  <c r="AC61" i="63"/>
  <c r="AI132" i="56" s="1"/>
  <c r="AC62" i="63"/>
  <c r="AI133" i="56" s="1"/>
  <c r="AC63" i="63"/>
  <c r="AI134" i="56" s="1"/>
  <c r="AC64" i="63"/>
  <c r="AI135" i="56" s="1"/>
  <c r="AC65" i="63"/>
  <c r="AI136" i="56" s="1"/>
  <c r="AC66" i="63"/>
  <c r="AI137" i="56" s="1"/>
  <c r="AC67" i="63"/>
  <c r="AI138" i="56" s="1"/>
  <c r="AC14" i="63"/>
  <c r="AI85" i="56" s="1"/>
  <c r="AC15" i="63"/>
  <c r="AI86" i="56" s="1"/>
  <c r="AC16" i="63"/>
  <c r="AI87" i="56" s="1"/>
  <c r="AC17" i="63"/>
  <c r="AI88" i="56" s="1"/>
  <c r="AC18" i="63"/>
  <c r="AI89" i="56" s="1"/>
  <c r="AC19" i="63"/>
  <c r="AI90" i="56" s="1"/>
  <c r="AC20" i="63"/>
  <c r="AI91" i="56" s="1"/>
  <c r="AC21" i="63"/>
  <c r="AI92" i="56" s="1"/>
  <c r="AC22" i="63"/>
  <c r="AI93" i="56" s="1"/>
  <c r="AC23" i="63"/>
  <c r="AI94" i="56" s="1"/>
  <c r="AC24" i="63"/>
  <c r="AI95" i="56" s="1"/>
  <c r="AC25" i="63"/>
  <c r="AI96" i="56" s="1"/>
  <c r="Y60" i="49"/>
  <c r="U56" i="63"/>
  <c r="AA127" i="56" s="1"/>
  <c r="U57" i="63"/>
  <c r="AA128" i="56" s="1"/>
  <c r="U58" i="63"/>
  <c r="AA129" i="56" s="1"/>
  <c r="U59" i="63"/>
  <c r="AA130" i="56" s="1"/>
  <c r="U60" i="63"/>
  <c r="AA131" i="56" s="1"/>
  <c r="U61" i="63"/>
  <c r="AA132" i="56" s="1"/>
  <c r="U62" i="63"/>
  <c r="AA133" i="56" s="1"/>
  <c r="U63" i="63"/>
  <c r="AA134" i="56" s="1"/>
  <c r="U64" i="63"/>
  <c r="AA135" i="56" s="1"/>
  <c r="U65" i="63"/>
  <c r="AA136" i="56" s="1"/>
  <c r="U66" i="63"/>
  <c r="AA137" i="56" s="1"/>
  <c r="U67" i="63"/>
  <c r="AA138" i="56" s="1"/>
  <c r="U14" i="63"/>
  <c r="AA85" i="56" s="1"/>
  <c r="U15" i="63"/>
  <c r="AA86" i="56" s="1"/>
  <c r="U16" i="63"/>
  <c r="AA87" i="56" s="1"/>
  <c r="U17" i="63"/>
  <c r="AA88" i="56" s="1"/>
  <c r="U18" i="63"/>
  <c r="AA89" i="56" s="1"/>
  <c r="U19" i="63"/>
  <c r="AA90" i="56" s="1"/>
  <c r="U20" i="63"/>
  <c r="AA91" i="56" s="1"/>
  <c r="U21" i="63"/>
  <c r="AA92" i="56" s="1"/>
  <c r="U22" i="63"/>
  <c r="AA93" i="56" s="1"/>
  <c r="U23" i="63"/>
  <c r="AA94" i="56" s="1"/>
  <c r="U24" i="63"/>
  <c r="AA95" i="56" s="1"/>
  <c r="U25" i="63"/>
  <c r="AA96" i="56" s="1"/>
  <c r="Q60" i="49"/>
  <c r="M56" i="63"/>
  <c r="S127" i="56" s="1"/>
  <c r="M57" i="63"/>
  <c r="S128" i="56" s="1"/>
  <c r="M58" i="63"/>
  <c r="S129" i="56" s="1"/>
  <c r="M59" i="63"/>
  <c r="S130" i="56" s="1"/>
  <c r="M60" i="63"/>
  <c r="S131" i="56" s="1"/>
  <c r="M61" i="63"/>
  <c r="S132" i="56" s="1"/>
  <c r="M62" i="63"/>
  <c r="S133" i="56" s="1"/>
  <c r="M63" i="63"/>
  <c r="S134" i="56" s="1"/>
  <c r="M64" i="63"/>
  <c r="S135" i="56" s="1"/>
  <c r="M65" i="63"/>
  <c r="S136" i="56" s="1"/>
  <c r="M66" i="63"/>
  <c r="S137" i="56" s="1"/>
  <c r="M67" i="63"/>
  <c r="S138" i="56" s="1"/>
  <c r="M14" i="63"/>
  <c r="S85" i="56" s="1"/>
  <c r="M15" i="63"/>
  <c r="S86" i="56" s="1"/>
  <c r="M16" i="63"/>
  <c r="S87" i="56" s="1"/>
  <c r="M17" i="63"/>
  <c r="S88" i="56" s="1"/>
  <c r="M18" i="63"/>
  <c r="S89" i="56" s="1"/>
  <c r="M19" i="63"/>
  <c r="S90" i="56" s="1"/>
  <c r="M20" i="63"/>
  <c r="S91" i="56" s="1"/>
  <c r="M21" i="63"/>
  <c r="S92" i="56" s="1"/>
  <c r="M22" i="63"/>
  <c r="S93" i="56" s="1"/>
  <c r="M23" i="63"/>
  <c r="S94" i="56" s="1"/>
  <c r="M24" i="63"/>
  <c r="S95" i="56" s="1"/>
  <c r="M25" i="63"/>
  <c r="S96" i="56" s="1"/>
  <c r="V60" i="49"/>
  <c r="R56" i="63"/>
  <c r="X127" i="56" s="1"/>
  <c r="R57" i="63"/>
  <c r="X128" i="56" s="1"/>
  <c r="R58" i="63"/>
  <c r="X129" i="56" s="1"/>
  <c r="R59" i="63"/>
  <c r="X130" i="56" s="1"/>
  <c r="R60" i="63"/>
  <c r="X131" i="56" s="1"/>
  <c r="R61" i="63"/>
  <c r="X132" i="56" s="1"/>
  <c r="R62" i="63"/>
  <c r="X133" i="56" s="1"/>
  <c r="R63" i="63"/>
  <c r="X134" i="56" s="1"/>
  <c r="R64" i="63"/>
  <c r="X135" i="56" s="1"/>
  <c r="R65" i="63"/>
  <c r="X136" i="56" s="1"/>
  <c r="R66" i="63"/>
  <c r="X137" i="56" s="1"/>
  <c r="R67" i="63"/>
  <c r="X138" i="56" s="1"/>
  <c r="R14" i="63"/>
  <c r="X85" i="56" s="1"/>
  <c r="R15" i="63"/>
  <c r="X86" i="56" s="1"/>
  <c r="R16" i="63"/>
  <c r="X87" i="56" s="1"/>
  <c r="R17" i="63"/>
  <c r="X88" i="56" s="1"/>
  <c r="R18" i="63"/>
  <c r="X89" i="56" s="1"/>
  <c r="R19" i="63"/>
  <c r="X90" i="56" s="1"/>
  <c r="R20" i="63"/>
  <c r="X91" i="56" s="1"/>
  <c r="R21" i="63"/>
  <c r="X92" i="56" s="1"/>
  <c r="R22" i="63"/>
  <c r="X93" i="56" s="1"/>
  <c r="R23" i="63"/>
  <c r="X94" i="56" s="1"/>
  <c r="R24" i="63"/>
  <c r="X95" i="56" s="1"/>
  <c r="R25" i="63"/>
  <c r="X96" i="56" s="1"/>
  <c r="AN60" i="49"/>
  <c r="AJ56" i="63"/>
  <c r="AP127" i="56" s="1"/>
  <c r="AJ57" i="63"/>
  <c r="AP128" i="56" s="1"/>
  <c r="AJ58" i="63"/>
  <c r="AP129" i="56" s="1"/>
  <c r="AJ59" i="63"/>
  <c r="AP130" i="56" s="1"/>
  <c r="AJ60" i="63"/>
  <c r="AP131" i="56" s="1"/>
  <c r="AJ61" i="63"/>
  <c r="AP132" i="56" s="1"/>
  <c r="AJ62" i="63"/>
  <c r="AP133" i="56" s="1"/>
  <c r="AJ63" i="63"/>
  <c r="AP134" i="56" s="1"/>
  <c r="AJ64" i="63"/>
  <c r="AP135" i="56" s="1"/>
  <c r="AJ65" i="63"/>
  <c r="AP136" i="56" s="1"/>
  <c r="AJ66" i="63"/>
  <c r="AP137" i="56" s="1"/>
  <c r="AJ67" i="63"/>
  <c r="AP138" i="56" s="1"/>
  <c r="AJ14" i="63"/>
  <c r="AP85" i="56" s="1"/>
  <c r="AJ15" i="63"/>
  <c r="AP86" i="56" s="1"/>
  <c r="AJ16" i="63"/>
  <c r="AP87" i="56" s="1"/>
  <c r="AJ17" i="63"/>
  <c r="AP88" i="56" s="1"/>
  <c r="AJ18" i="63"/>
  <c r="AP89" i="56" s="1"/>
  <c r="AJ19" i="63"/>
  <c r="AP90" i="56" s="1"/>
  <c r="AJ20" i="63"/>
  <c r="AP91" i="56" s="1"/>
  <c r="AJ21" i="63"/>
  <c r="AP92" i="56" s="1"/>
  <c r="AJ22" i="63"/>
  <c r="AP93" i="56" s="1"/>
  <c r="AJ23" i="63"/>
  <c r="AP94" i="56" s="1"/>
  <c r="AJ24" i="63"/>
  <c r="AP95" i="56" s="1"/>
  <c r="AJ25" i="63"/>
  <c r="AP96" i="56" s="1"/>
  <c r="AF60" i="49"/>
  <c r="AB56" i="63"/>
  <c r="AH127" i="56" s="1"/>
  <c r="AB57" i="63"/>
  <c r="AH128" i="56" s="1"/>
  <c r="AB58" i="63"/>
  <c r="AH129" i="56" s="1"/>
  <c r="AB59" i="63"/>
  <c r="AH130" i="56" s="1"/>
  <c r="AB60" i="63"/>
  <c r="AH131" i="56" s="1"/>
  <c r="AB61" i="63"/>
  <c r="AH132" i="56" s="1"/>
  <c r="AB62" i="63"/>
  <c r="AH133" i="56" s="1"/>
  <c r="AB63" i="63"/>
  <c r="AH134" i="56" s="1"/>
  <c r="AB64" i="63"/>
  <c r="AH135" i="56" s="1"/>
  <c r="AB65" i="63"/>
  <c r="AH136" i="56" s="1"/>
  <c r="AB66" i="63"/>
  <c r="AH137" i="56" s="1"/>
  <c r="AB67" i="63"/>
  <c r="AH138" i="56" s="1"/>
  <c r="AB14" i="63"/>
  <c r="AH85" i="56" s="1"/>
  <c r="AB15" i="63"/>
  <c r="AH86" i="56" s="1"/>
  <c r="AB16" i="63"/>
  <c r="AH87" i="56" s="1"/>
  <c r="AB17" i="63"/>
  <c r="AH88" i="56" s="1"/>
  <c r="AB18" i="63"/>
  <c r="AH89" i="56" s="1"/>
  <c r="AB19" i="63"/>
  <c r="AH90" i="56" s="1"/>
  <c r="AB20" i="63"/>
  <c r="AH91" i="56" s="1"/>
  <c r="AB21" i="63"/>
  <c r="AH92" i="56" s="1"/>
  <c r="AB22" i="63"/>
  <c r="AH93" i="56" s="1"/>
  <c r="AB23" i="63"/>
  <c r="AH94" i="56" s="1"/>
  <c r="AB24" i="63"/>
  <c r="AH95" i="56" s="1"/>
  <c r="AB25" i="63"/>
  <c r="AH96" i="56" s="1"/>
  <c r="X60" i="49"/>
  <c r="T56" i="63"/>
  <c r="Z127" i="56" s="1"/>
  <c r="T57" i="63"/>
  <c r="Z128" i="56" s="1"/>
  <c r="T58" i="63"/>
  <c r="Z129" i="56" s="1"/>
  <c r="T59" i="63"/>
  <c r="Z130" i="56" s="1"/>
  <c r="T60" i="63"/>
  <c r="Z131" i="56" s="1"/>
  <c r="T61" i="63"/>
  <c r="Z132" i="56" s="1"/>
  <c r="T62" i="63"/>
  <c r="Z133" i="56" s="1"/>
  <c r="T63" i="63"/>
  <c r="Z134" i="56" s="1"/>
  <c r="T64" i="63"/>
  <c r="Z135" i="56" s="1"/>
  <c r="T65" i="63"/>
  <c r="Z136" i="56" s="1"/>
  <c r="T66" i="63"/>
  <c r="Z137" i="56" s="1"/>
  <c r="T67" i="63"/>
  <c r="Z138" i="56" s="1"/>
  <c r="T14" i="63"/>
  <c r="Z85" i="56" s="1"/>
  <c r="T15" i="63"/>
  <c r="Z86" i="56" s="1"/>
  <c r="T16" i="63"/>
  <c r="Z87" i="56" s="1"/>
  <c r="T17" i="63"/>
  <c r="Z88" i="56" s="1"/>
  <c r="T18" i="63"/>
  <c r="Z89" i="56" s="1"/>
  <c r="T19" i="63"/>
  <c r="Z90" i="56" s="1"/>
  <c r="T20" i="63"/>
  <c r="Z91" i="56" s="1"/>
  <c r="T21" i="63"/>
  <c r="Z92" i="56" s="1"/>
  <c r="T22" i="63"/>
  <c r="Z93" i="56" s="1"/>
  <c r="T23" i="63"/>
  <c r="Z94" i="56" s="1"/>
  <c r="T24" i="63"/>
  <c r="Z95" i="56" s="1"/>
  <c r="T25" i="63"/>
  <c r="Z96" i="56" s="1"/>
  <c r="P60" i="49"/>
  <c r="L56" i="63"/>
  <c r="R127" i="56" s="1"/>
  <c r="L57" i="63"/>
  <c r="R128" i="56" s="1"/>
  <c r="L58" i="63"/>
  <c r="R129" i="56" s="1"/>
  <c r="L59" i="63"/>
  <c r="R130" i="56" s="1"/>
  <c r="L60" i="63"/>
  <c r="R131" i="56" s="1"/>
  <c r="L61" i="63"/>
  <c r="R132" i="56" s="1"/>
  <c r="L62" i="63"/>
  <c r="R133" i="56" s="1"/>
  <c r="L63" i="63"/>
  <c r="R134" i="56" s="1"/>
  <c r="L64" i="63"/>
  <c r="R135" i="56" s="1"/>
  <c r="L65" i="63"/>
  <c r="R136" i="56" s="1"/>
  <c r="L66" i="63"/>
  <c r="R137" i="56" s="1"/>
  <c r="L67" i="63"/>
  <c r="R138" i="56" s="1"/>
  <c r="L14" i="63"/>
  <c r="R85" i="56" s="1"/>
  <c r="L15" i="63"/>
  <c r="R86" i="56" s="1"/>
  <c r="L16" i="63"/>
  <c r="R87" i="56" s="1"/>
  <c r="L17" i="63"/>
  <c r="R88" i="56" s="1"/>
  <c r="L18" i="63"/>
  <c r="R89" i="56" s="1"/>
  <c r="L19" i="63"/>
  <c r="R90" i="56" s="1"/>
  <c r="L20" i="63"/>
  <c r="R91" i="56" s="1"/>
  <c r="L21" i="63"/>
  <c r="R92" i="56" s="1"/>
  <c r="L22" i="63"/>
  <c r="R93" i="56" s="1"/>
  <c r="L23" i="63"/>
  <c r="R94" i="56" s="1"/>
  <c r="L24" i="63"/>
  <c r="R95" i="56" s="1"/>
  <c r="L25" i="63"/>
  <c r="R96" i="56" s="1"/>
  <c r="AM60" i="49"/>
  <c r="AI56" i="63"/>
  <c r="AO127" i="56" s="1"/>
  <c r="AI57" i="63"/>
  <c r="AO128" i="56" s="1"/>
  <c r="AI58" i="63"/>
  <c r="AO129" i="56" s="1"/>
  <c r="AI59" i="63"/>
  <c r="AO130" i="56" s="1"/>
  <c r="AI60" i="63"/>
  <c r="AO131" i="56" s="1"/>
  <c r="AI61" i="63"/>
  <c r="AO132" i="56" s="1"/>
  <c r="AI62" i="63"/>
  <c r="AO133" i="56" s="1"/>
  <c r="AI63" i="63"/>
  <c r="AO134" i="56" s="1"/>
  <c r="AI64" i="63"/>
  <c r="AO135" i="56" s="1"/>
  <c r="AI65" i="63"/>
  <c r="AO136" i="56" s="1"/>
  <c r="AI66" i="63"/>
  <c r="AO137" i="56" s="1"/>
  <c r="AI67" i="63"/>
  <c r="AO138" i="56" s="1"/>
  <c r="AI14" i="63"/>
  <c r="AO85" i="56" s="1"/>
  <c r="AI15" i="63"/>
  <c r="AO86" i="56" s="1"/>
  <c r="AI16" i="63"/>
  <c r="AO87" i="56" s="1"/>
  <c r="AI17" i="63"/>
  <c r="AO88" i="56" s="1"/>
  <c r="AI18" i="63"/>
  <c r="AO89" i="56" s="1"/>
  <c r="AI19" i="63"/>
  <c r="AO90" i="56" s="1"/>
  <c r="AI20" i="63"/>
  <c r="AO91" i="56" s="1"/>
  <c r="AI21" i="63"/>
  <c r="AO92" i="56" s="1"/>
  <c r="AI22" i="63"/>
  <c r="AO93" i="56" s="1"/>
  <c r="AI23" i="63"/>
  <c r="AO94" i="56" s="1"/>
  <c r="AI24" i="63"/>
  <c r="AO95" i="56" s="1"/>
  <c r="AI25" i="63"/>
  <c r="AO96" i="56" s="1"/>
  <c r="AE60" i="49"/>
  <c r="AA56" i="63"/>
  <c r="AG127" i="56" s="1"/>
  <c r="AA57" i="63"/>
  <c r="AG128" i="56" s="1"/>
  <c r="AA58" i="63"/>
  <c r="AG129" i="56" s="1"/>
  <c r="AA59" i="63"/>
  <c r="AG130" i="56" s="1"/>
  <c r="AA60" i="63"/>
  <c r="AG131" i="56" s="1"/>
  <c r="AA61" i="63"/>
  <c r="AG132" i="56" s="1"/>
  <c r="AA62" i="63"/>
  <c r="AG133" i="56" s="1"/>
  <c r="AA63" i="63"/>
  <c r="AG134" i="56" s="1"/>
  <c r="AA64" i="63"/>
  <c r="AG135" i="56" s="1"/>
  <c r="AA65" i="63"/>
  <c r="AG136" i="56" s="1"/>
  <c r="AA66" i="63"/>
  <c r="AG137" i="56" s="1"/>
  <c r="AA67" i="63"/>
  <c r="AG138" i="56" s="1"/>
  <c r="AA14" i="63"/>
  <c r="AG85" i="56" s="1"/>
  <c r="AA15" i="63"/>
  <c r="AG86" i="56" s="1"/>
  <c r="AA16" i="63"/>
  <c r="AG87" i="56" s="1"/>
  <c r="AA17" i="63"/>
  <c r="AG88" i="56" s="1"/>
  <c r="AA18" i="63"/>
  <c r="AG89" i="56" s="1"/>
  <c r="AA19" i="63"/>
  <c r="AG90" i="56" s="1"/>
  <c r="AA20" i="63"/>
  <c r="AG91" i="56" s="1"/>
  <c r="AA21" i="63"/>
  <c r="AG92" i="56" s="1"/>
  <c r="AA22" i="63"/>
  <c r="AG93" i="56" s="1"/>
  <c r="AA23" i="63"/>
  <c r="AG94" i="56" s="1"/>
  <c r="AA24" i="63"/>
  <c r="AG95" i="56" s="1"/>
  <c r="AA25" i="63"/>
  <c r="AG96" i="56" s="1"/>
  <c r="W60" i="49"/>
  <c r="S56" i="63"/>
  <c r="Y127" i="56" s="1"/>
  <c r="S57" i="63"/>
  <c r="Y128" i="56" s="1"/>
  <c r="S58" i="63"/>
  <c r="Y129" i="56" s="1"/>
  <c r="S59" i="63"/>
  <c r="Y130" i="56" s="1"/>
  <c r="S60" i="63"/>
  <c r="Y131" i="56" s="1"/>
  <c r="S61" i="63"/>
  <c r="Y132" i="56" s="1"/>
  <c r="S62" i="63"/>
  <c r="Y133" i="56" s="1"/>
  <c r="S63" i="63"/>
  <c r="Y134" i="56" s="1"/>
  <c r="S64" i="63"/>
  <c r="Y135" i="56" s="1"/>
  <c r="S65" i="63"/>
  <c r="Y136" i="56" s="1"/>
  <c r="S66" i="63"/>
  <c r="Y137" i="56" s="1"/>
  <c r="S67" i="63"/>
  <c r="Y138" i="56" s="1"/>
  <c r="S14" i="63"/>
  <c r="Y85" i="56" s="1"/>
  <c r="S15" i="63"/>
  <c r="Y86" i="56" s="1"/>
  <c r="S16" i="63"/>
  <c r="Y87" i="56" s="1"/>
  <c r="S17" i="63"/>
  <c r="Y88" i="56" s="1"/>
  <c r="S18" i="63"/>
  <c r="Y89" i="56" s="1"/>
  <c r="S19" i="63"/>
  <c r="Y90" i="56" s="1"/>
  <c r="S20" i="63"/>
  <c r="Y91" i="56" s="1"/>
  <c r="S21" i="63"/>
  <c r="Y92" i="56" s="1"/>
  <c r="S22" i="63"/>
  <c r="Y93" i="56" s="1"/>
  <c r="S23" i="63"/>
  <c r="Y94" i="56" s="1"/>
  <c r="S24" i="63"/>
  <c r="Y95" i="56" s="1"/>
  <c r="S25" i="63"/>
  <c r="Y96" i="56" s="1"/>
  <c r="O60" i="49"/>
  <c r="K67" i="63"/>
  <c r="Q138" i="56" s="1"/>
  <c r="K66" i="63"/>
  <c r="Q137" i="56" s="1"/>
  <c r="K65" i="63"/>
  <c r="Q136" i="56" s="1"/>
  <c r="K64" i="63"/>
  <c r="Q135" i="56" s="1"/>
  <c r="K63" i="63"/>
  <c r="Q134" i="56" s="1"/>
  <c r="K62" i="63"/>
  <c r="Q133" i="56" s="1"/>
  <c r="K61" i="63"/>
  <c r="Q132" i="56" s="1"/>
  <c r="K60" i="63"/>
  <c r="Q131" i="56" s="1"/>
  <c r="K59" i="63"/>
  <c r="Q130" i="56" s="1"/>
  <c r="K58" i="63"/>
  <c r="Q129" i="56" s="1"/>
  <c r="K57" i="63"/>
  <c r="Q128" i="56" s="1"/>
  <c r="K56" i="63"/>
  <c r="Q127" i="56" s="1"/>
  <c r="K25" i="63"/>
  <c r="Q96" i="56" s="1"/>
  <c r="K24" i="63"/>
  <c r="Q95" i="56" s="1"/>
  <c r="K23" i="63"/>
  <c r="Q94" i="56" s="1"/>
  <c r="K22" i="63"/>
  <c r="Q93" i="56" s="1"/>
  <c r="K21" i="63"/>
  <c r="Q92" i="56" s="1"/>
  <c r="K20" i="63"/>
  <c r="Q91" i="56" s="1"/>
  <c r="K19" i="63"/>
  <c r="Q90" i="56" s="1"/>
  <c r="K18" i="63"/>
  <c r="Q89" i="56" s="1"/>
  <c r="K17" i="63"/>
  <c r="Q88" i="56" s="1"/>
  <c r="K16" i="63"/>
  <c r="Q87" i="56" s="1"/>
  <c r="K15" i="63"/>
  <c r="Q86" i="56" s="1"/>
  <c r="K14" i="63"/>
  <c r="Q85" i="56" s="1"/>
  <c r="AL60" i="49"/>
  <c r="AH56" i="63"/>
  <c r="AN127" i="56" s="1"/>
  <c r="AH57" i="63"/>
  <c r="AN128" i="56" s="1"/>
  <c r="AH58" i="63"/>
  <c r="AN129" i="56" s="1"/>
  <c r="AH59" i="63"/>
  <c r="AN130" i="56" s="1"/>
  <c r="AH60" i="63"/>
  <c r="AN131" i="56" s="1"/>
  <c r="AH61" i="63"/>
  <c r="AN132" i="56" s="1"/>
  <c r="AH62" i="63"/>
  <c r="AN133" i="56" s="1"/>
  <c r="AH63" i="63"/>
  <c r="AN134" i="56" s="1"/>
  <c r="AH64" i="63"/>
  <c r="AN135" i="56" s="1"/>
  <c r="AH65" i="63"/>
  <c r="AN136" i="56" s="1"/>
  <c r="AH66" i="63"/>
  <c r="AN137" i="56" s="1"/>
  <c r="AH67" i="63"/>
  <c r="AN138" i="56" s="1"/>
  <c r="AH14" i="63"/>
  <c r="AN85" i="56" s="1"/>
  <c r="AH15" i="63"/>
  <c r="AN86" i="56" s="1"/>
  <c r="AH16" i="63"/>
  <c r="AN87" i="56" s="1"/>
  <c r="AH17" i="63"/>
  <c r="AN88" i="56" s="1"/>
  <c r="AH18" i="63"/>
  <c r="AN89" i="56" s="1"/>
  <c r="AH19" i="63"/>
  <c r="AN90" i="56" s="1"/>
  <c r="AH20" i="63"/>
  <c r="AN91" i="56" s="1"/>
  <c r="AH21" i="63"/>
  <c r="AN92" i="56" s="1"/>
  <c r="AH22" i="63"/>
  <c r="AN93" i="56" s="1"/>
  <c r="AH23" i="63"/>
  <c r="AN94" i="56" s="1"/>
  <c r="AH24" i="63"/>
  <c r="AN95" i="56" s="1"/>
  <c r="AH25" i="63"/>
  <c r="AN96" i="56" s="1"/>
  <c r="AK60" i="49"/>
  <c r="AG56" i="63"/>
  <c r="AM127" i="56" s="1"/>
  <c r="AG57" i="63"/>
  <c r="AM128" i="56" s="1"/>
  <c r="AG58" i="63"/>
  <c r="AM129" i="56" s="1"/>
  <c r="AG59" i="63"/>
  <c r="AM130" i="56" s="1"/>
  <c r="AG60" i="63"/>
  <c r="AM131" i="56" s="1"/>
  <c r="AG61" i="63"/>
  <c r="AM132" i="56" s="1"/>
  <c r="AG62" i="63"/>
  <c r="AM133" i="56" s="1"/>
  <c r="AG63" i="63"/>
  <c r="AM134" i="56" s="1"/>
  <c r="AG64" i="63"/>
  <c r="AM135" i="56" s="1"/>
  <c r="AG65" i="63"/>
  <c r="AM136" i="56" s="1"/>
  <c r="AG66" i="63"/>
  <c r="AM137" i="56" s="1"/>
  <c r="AG67" i="63"/>
  <c r="AM138" i="56" s="1"/>
  <c r="AG14" i="63"/>
  <c r="AM85" i="56" s="1"/>
  <c r="AG15" i="63"/>
  <c r="AM86" i="56" s="1"/>
  <c r="AG16" i="63"/>
  <c r="AM87" i="56" s="1"/>
  <c r="AG17" i="63"/>
  <c r="AM88" i="56" s="1"/>
  <c r="AG18" i="63"/>
  <c r="AM89" i="56" s="1"/>
  <c r="AG19" i="63"/>
  <c r="AM90" i="56" s="1"/>
  <c r="AG20" i="63"/>
  <c r="AM91" i="56" s="1"/>
  <c r="AG21" i="63"/>
  <c r="AM92" i="56" s="1"/>
  <c r="AG22" i="63"/>
  <c r="AM93" i="56" s="1"/>
  <c r="AG23" i="63"/>
  <c r="AM94" i="56" s="1"/>
  <c r="AG24" i="63"/>
  <c r="AM95" i="56" s="1"/>
  <c r="AG25" i="63"/>
  <c r="AM96" i="56" s="1"/>
  <c r="AC60" i="49"/>
  <c r="Y56" i="63"/>
  <c r="AE127" i="56" s="1"/>
  <c r="Y57" i="63"/>
  <c r="AE128" i="56" s="1"/>
  <c r="Y58" i="63"/>
  <c r="AE129" i="56" s="1"/>
  <c r="Y59" i="63"/>
  <c r="AE130" i="56" s="1"/>
  <c r="Y60" i="63"/>
  <c r="AE131" i="56" s="1"/>
  <c r="Y61" i="63"/>
  <c r="AE132" i="56" s="1"/>
  <c r="Y62" i="63"/>
  <c r="AE133" i="56" s="1"/>
  <c r="Y63" i="63"/>
  <c r="AE134" i="56" s="1"/>
  <c r="Y64" i="63"/>
  <c r="AE135" i="56" s="1"/>
  <c r="Y65" i="63"/>
  <c r="AE136" i="56" s="1"/>
  <c r="Y66" i="63"/>
  <c r="AE137" i="56" s="1"/>
  <c r="Y67" i="63"/>
  <c r="AE138" i="56" s="1"/>
  <c r="Y14" i="63"/>
  <c r="AE85" i="56" s="1"/>
  <c r="Y15" i="63"/>
  <c r="AE86" i="56" s="1"/>
  <c r="Y16" i="63"/>
  <c r="AE87" i="56" s="1"/>
  <c r="Y17" i="63"/>
  <c r="AE88" i="56" s="1"/>
  <c r="Y18" i="63"/>
  <c r="AE89" i="56" s="1"/>
  <c r="Y19" i="63"/>
  <c r="AE90" i="56" s="1"/>
  <c r="Y20" i="63"/>
  <c r="AE91" i="56" s="1"/>
  <c r="Y21" i="63"/>
  <c r="AE92" i="56" s="1"/>
  <c r="Y22" i="63"/>
  <c r="AE93" i="56" s="1"/>
  <c r="Y23" i="63"/>
  <c r="AE94" i="56" s="1"/>
  <c r="Y24" i="63"/>
  <c r="AE95" i="56" s="1"/>
  <c r="Y25" i="63"/>
  <c r="AE96" i="56" s="1"/>
  <c r="U60" i="49"/>
  <c r="Q56" i="63"/>
  <c r="W127" i="56" s="1"/>
  <c r="Q57" i="63"/>
  <c r="W128" i="56" s="1"/>
  <c r="Q58" i="63"/>
  <c r="W129" i="56" s="1"/>
  <c r="Q59" i="63"/>
  <c r="W130" i="56" s="1"/>
  <c r="Q60" i="63"/>
  <c r="W131" i="56" s="1"/>
  <c r="Q61" i="63"/>
  <c r="W132" i="56" s="1"/>
  <c r="Q62" i="63"/>
  <c r="W133" i="56" s="1"/>
  <c r="Q63" i="63"/>
  <c r="W134" i="56" s="1"/>
  <c r="Q64" i="63"/>
  <c r="W135" i="56" s="1"/>
  <c r="Q65" i="63"/>
  <c r="W136" i="56" s="1"/>
  <c r="Q66" i="63"/>
  <c r="W137" i="56" s="1"/>
  <c r="Q67" i="63"/>
  <c r="W138" i="56" s="1"/>
  <c r="Q14" i="63"/>
  <c r="W85" i="56" s="1"/>
  <c r="Q15" i="63"/>
  <c r="W86" i="56" s="1"/>
  <c r="Q16" i="63"/>
  <c r="W87" i="56" s="1"/>
  <c r="Q17" i="63"/>
  <c r="W88" i="56" s="1"/>
  <c r="Q18" i="63"/>
  <c r="W89" i="56" s="1"/>
  <c r="Q19" i="63"/>
  <c r="W90" i="56" s="1"/>
  <c r="Q20" i="63"/>
  <c r="W91" i="56" s="1"/>
  <c r="Q21" i="63"/>
  <c r="W92" i="56" s="1"/>
  <c r="Q22" i="63"/>
  <c r="W93" i="56" s="1"/>
  <c r="Q23" i="63"/>
  <c r="W94" i="56" s="1"/>
  <c r="Q24" i="63"/>
  <c r="W95" i="56" s="1"/>
  <c r="Q25" i="63"/>
  <c r="W96" i="56" s="1"/>
  <c r="AD60" i="49"/>
  <c r="Z56" i="63"/>
  <c r="AF127" i="56" s="1"/>
  <c r="Z57" i="63"/>
  <c r="AF128" i="56" s="1"/>
  <c r="Z58" i="63"/>
  <c r="AF129" i="56" s="1"/>
  <c r="Z59" i="63"/>
  <c r="AF130" i="56" s="1"/>
  <c r="Z60" i="63"/>
  <c r="AF131" i="56" s="1"/>
  <c r="Z61" i="63"/>
  <c r="AF132" i="56" s="1"/>
  <c r="Z62" i="63"/>
  <c r="AF133" i="56" s="1"/>
  <c r="Z63" i="63"/>
  <c r="AF134" i="56" s="1"/>
  <c r="Z64" i="63"/>
  <c r="AF135" i="56" s="1"/>
  <c r="Z65" i="63"/>
  <c r="AF136" i="56" s="1"/>
  <c r="Z66" i="63"/>
  <c r="AF137" i="56" s="1"/>
  <c r="Z67" i="63"/>
  <c r="AF138" i="56" s="1"/>
  <c r="Z14" i="63"/>
  <c r="AF85" i="56" s="1"/>
  <c r="Z15" i="63"/>
  <c r="AF86" i="56" s="1"/>
  <c r="Z16" i="63"/>
  <c r="AF87" i="56" s="1"/>
  <c r="Z17" i="63"/>
  <c r="AF88" i="56" s="1"/>
  <c r="Z18" i="63"/>
  <c r="AF89" i="56" s="1"/>
  <c r="Z19" i="63"/>
  <c r="AF90" i="56" s="1"/>
  <c r="Z20" i="63"/>
  <c r="AF91" i="56" s="1"/>
  <c r="Z21" i="63"/>
  <c r="AF92" i="56" s="1"/>
  <c r="Z22" i="63"/>
  <c r="AF93" i="56" s="1"/>
  <c r="Z23" i="63"/>
  <c r="AF94" i="56" s="1"/>
  <c r="Z24" i="63"/>
  <c r="AF95" i="56" s="1"/>
  <c r="Z25" i="63"/>
  <c r="AF96" i="56" s="1"/>
  <c r="AJ60" i="49"/>
  <c r="AF56" i="63"/>
  <c r="AL127" i="56" s="1"/>
  <c r="AF57" i="63"/>
  <c r="AL128" i="56" s="1"/>
  <c r="AF58" i="63"/>
  <c r="AL129" i="56" s="1"/>
  <c r="AF59" i="63"/>
  <c r="AL130" i="56" s="1"/>
  <c r="AF60" i="63"/>
  <c r="AL131" i="56" s="1"/>
  <c r="AF61" i="63"/>
  <c r="AL132" i="56" s="1"/>
  <c r="AF62" i="63"/>
  <c r="AL133" i="56" s="1"/>
  <c r="AF63" i="63"/>
  <c r="AL134" i="56" s="1"/>
  <c r="AF64" i="63"/>
  <c r="AL135" i="56" s="1"/>
  <c r="AF65" i="63"/>
  <c r="AL136" i="56" s="1"/>
  <c r="AF66" i="63"/>
  <c r="AL137" i="56" s="1"/>
  <c r="AF67" i="63"/>
  <c r="AL138" i="56" s="1"/>
  <c r="AF14" i="63"/>
  <c r="AL85" i="56" s="1"/>
  <c r="AF15" i="63"/>
  <c r="AL86" i="56" s="1"/>
  <c r="AF16" i="63"/>
  <c r="AL87" i="56" s="1"/>
  <c r="AF17" i="63"/>
  <c r="AL88" i="56" s="1"/>
  <c r="AF18" i="63"/>
  <c r="AL89" i="56" s="1"/>
  <c r="AF19" i="63"/>
  <c r="AL90" i="56" s="1"/>
  <c r="AF20" i="63"/>
  <c r="AL91" i="56" s="1"/>
  <c r="AF21" i="63"/>
  <c r="AL92" i="56" s="1"/>
  <c r="AF22" i="63"/>
  <c r="AL93" i="56" s="1"/>
  <c r="AF23" i="63"/>
  <c r="AL94" i="56" s="1"/>
  <c r="AF24" i="63"/>
  <c r="AL95" i="56" s="1"/>
  <c r="AF25" i="63"/>
  <c r="AL96" i="56" s="1"/>
  <c r="AB60" i="49"/>
  <c r="X56" i="63"/>
  <c r="AD127" i="56" s="1"/>
  <c r="X57" i="63"/>
  <c r="AD128" i="56" s="1"/>
  <c r="X58" i="63"/>
  <c r="AD129" i="56" s="1"/>
  <c r="X59" i="63"/>
  <c r="AD130" i="56" s="1"/>
  <c r="X60" i="63"/>
  <c r="AD131" i="56" s="1"/>
  <c r="X61" i="63"/>
  <c r="AD132" i="56" s="1"/>
  <c r="X62" i="63"/>
  <c r="AD133" i="56" s="1"/>
  <c r="X63" i="63"/>
  <c r="AD134" i="56" s="1"/>
  <c r="X64" i="63"/>
  <c r="AD135" i="56" s="1"/>
  <c r="X65" i="63"/>
  <c r="AD136" i="56" s="1"/>
  <c r="X66" i="63"/>
  <c r="AD137" i="56" s="1"/>
  <c r="X67" i="63"/>
  <c r="AD138" i="56" s="1"/>
  <c r="X14" i="63"/>
  <c r="AD85" i="56" s="1"/>
  <c r="X15" i="63"/>
  <c r="AD86" i="56" s="1"/>
  <c r="X16" i="63"/>
  <c r="AD87" i="56" s="1"/>
  <c r="X17" i="63"/>
  <c r="AD88" i="56" s="1"/>
  <c r="X18" i="63"/>
  <c r="AD89" i="56" s="1"/>
  <c r="X19" i="63"/>
  <c r="AD90" i="56" s="1"/>
  <c r="X20" i="63"/>
  <c r="AD91" i="56" s="1"/>
  <c r="X21" i="63"/>
  <c r="AD92" i="56" s="1"/>
  <c r="X22" i="63"/>
  <c r="AD93" i="56" s="1"/>
  <c r="X23" i="63"/>
  <c r="AD94" i="56" s="1"/>
  <c r="X24" i="63"/>
  <c r="AD95" i="56" s="1"/>
  <c r="X25" i="63"/>
  <c r="AD96" i="56" s="1"/>
  <c r="T60" i="49"/>
  <c r="P56" i="63"/>
  <c r="V127" i="56" s="1"/>
  <c r="P57" i="63"/>
  <c r="V128" i="56" s="1"/>
  <c r="P58" i="63"/>
  <c r="V129" i="56" s="1"/>
  <c r="P59" i="63"/>
  <c r="V130" i="56" s="1"/>
  <c r="P60" i="63"/>
  <c r="V131" i="56" s="1"/>
  <c r="P61" i="63"/>
  <c r="V132" i="56" s="1"/>
  <c r="P62" i="63"/>
  <c r="V133" i="56" s="1"/>
  <c r="P63" i="63"/>
  <c r="V134" i="56" s="1"/>
  <c r="P64" i="63"/>
  <c r="V135" i="56" s="1"/>
  <c r="P65" i="63"/>
  <c r="V136" i="56" s="1"/>
  <c r="P66" i="63"/>
  <c r="V137" i="56" s="1"/>
  <c r="P67" i="63"/>
  <c r="V138" i="56" s="1"/>
  <c r="P14" i="63"/>
  <c r="V85" i="56" s="1"/>
  <c r="P15" i="63"/>
  <c r="V86" i="56" s="1"/>
  <c r="P16" i="63"/>
  <c r="V87" i="56" s="1"/>
  <c r="P17" i="63"/>
  <c r="V88" i="56" s="1"/>
  <c r="P18" i="63"/>
  <c r="V89" i="56" s="1"/>
  <c r="P19" i="63"/>
  <c r="V90" i="56" s="1"/>
  <c r="P20" i="63"/>
  <c r="V91" i="56" s="1"/>
  <c r="P21" i="63"/>
  <c r="V92" i="56" s="1"/>
  <c r="P22" i="63"/>
  <c r="V93" i="56" s="1"/>
  <c r="P23" i="63"/>
  <c r="V94" i="56" s="1"/>
  <c r="P24" i="63"/>
  <c r="V95" i="56" s="1"/>
  <c r="P25" i="63"/>
  <c r="V96" i="56" s="1"/>
  <c r="AR179" i="56"/>
  <c r="AR178" i="56"/>
  <c r="AR177" i="56"/>
  <c r="AR176" i="56"/>
  <c r="AR175" i="56"/>
  <c r="AR174" i="56"/>
  <c r="AQ179" i="56"/>
  <c r="AQ178" i="56"/>
  <c r="AQ177" i="56"/>
  <c r="AQ176" i="56"/>
  <c r="AQ175" i="56"/>
  <c r="AQ174" i="56"/>
  <c r="AP179" i="56"/>
  <c r="AP178" i="56"/>
  <c r="AP177" i="56"/>
  <c r="AP176" i="56"/>
  <c r="AP175" i="56"/>
  <c r="AP174" i="56"/>
  <c r="AO179" i="56"/>
  <c r="AO178" i="56"/>
  <c r="AO177" i="56"/>
  <c r="AO176" i="56"/>
  <c r="AO175" i="56"/>
  <c r="AO174" i="56"/>
  <c r="AN179" i="56"/>
  <c r="AN178" i="56"/>
  <c r="AN177" i="56"/>
  <c r="AN176" i="56"/>
  <c r="AN175" i="56"/>
  <c r="AN174" i="56"/>
  <c r="AM179" i="56"/>
  <c r="AM178" i="56"/>
  <c r="AM177" i="56"/>
  <c r="AM176" i="56"/>
  <c r="AM175" i="56"/>
  <c r="AM174" i="56"/>
  <c r="AL179" i="56"/>
  <c r="AL178" i="56"/>
  <c r="AL177" i="56"/>
  <c r="AL176" i="56"/>
  <c r="AL175" i="56"/>
  <c r="AL174" i="56"/>
  <c r="AK179" i="56"/>
  <c r="AK178" i="56"/>
  <c r="AK177" i="56"/>
  <c r="AK176" i="56"/>
  <c r="AK175" i="56"/>
  <c r="AK174" i="56"/>
  <c r="AJ179" i="56"/>
  <c r="AJ178" i="56"/>
  <c r="AJ177" i="56"/>
  <c r="AJ176" i="56"/>
  <c r="AJ175" i="56"/>
  <c r="AJ174" i="56"/>
  <c r="AI179" i="56"/>
  <c r="AI178" i="56"/>
  <c r="AI177" i="56"/>
  <c r="AI176" i="56"/>
  <c r="AI175" i="56"/>
  <c r="AI174" i="56"/>
  <c r="AH179" i="56"/>
  <c r="AH178" i="56"/>
  <c r="AH177" i="56"/>
  <c r="AH176" i="56"/>
  <c r="AH175" i="56"/>
  <c r="AH174" i="56"/>
  <c r="AG179" i="56"/>
  <c r="AG178" i="56"/>
  <c r="AG177" i="56"/>
  <c r="AG176" i="56"/>
  <c r="AG175" i="56"/>
  <c r="AG174" i="56"/>
  <c r="AF179" i="56"/>
  <c r="AF178" i="56"/>
  <c r="AF177" i="56"/>
  <c r="AF176" i="56"/>
  <c r="AF175" i="56"/>
  <c r="AF174" i="56"/>
  <c r="AE179" i="56"/>
  <c r="AE178" i="56"/>
  <c r="AE177" i="56"/>
  <c r="AE176" i="56"/>
  <c r="AE175" i="56"/>
  <c r="AE174" i="56"/>
  <c r="AD179" i="56"/>
  <c r="AD178" i="56"/>
  <c r="AD177" i="56"/>
  <c r="AD176" i="56"/>
  <c r="AD175" i="56"/>
  <c r="AD174" i="56"/>
  <c r="AC179" i="56"/>
  <c r="AC178" i="56"/>
  <c r="AC177" i="56"/>
  <c r="AC176" i="56"/>
  <c r="AC175" i="56"/>
  <c r="AC174" i="56"/>
  <c r="AB179" i="56"/>
  <c r="AB178" i="56"/>
  <c r="AB177" i="56"/>
  <c r="AB176" i="56"/>
  <c r="AB175" i="56"/>
  <c r="AB174" i="56"/>
  <c r="AA179" i="56"/>
  <c r="AA178" i="56"/>
  <c r="AA177" i="56"/>
  <c r="AA176" i="56"/>
  <c r="AA175" i="56"/>
  <c r="AA174" i="56"/>
  <c r="Z179" i="56"/>
  <c r="Z178" i="56"/>
  <c r="Z177" i="56"/>
  <c r="Z176" i="56"/>
  <c r="Z175" i="56"/>
  <c r="Z174" i="56"/>
  <c r="Y179" i="56"/>
  <c r="Y178" i="56"/>
  <c r="Y177" i="56"/>
  <c r="Y176" i="56"/>
  <c r="Y175" i="56"/>
  <c r="Y174" i="56"/>
  <c r="X179" i="56"/>
  <c r="X178" i="56"/>
  <c r="X177" i="56"/>
  <c r="X176" i="56"/>
  <c r="X175" i="56"/>
  <c r="X174" i="56"/>
  <c r="W179" i="56"/>
  <c r="W178" i="56"/>
  <c r="W177" i="56"/>
  <c r="W176" i="56"/>
  <c r="W175" i="56"/>
  <c r="W174" i="56"/>
  <c r="V179" i="56"/>
  <c r="V178" i="56"/>
  <c r="V177" i="56"/>
  <c r="V176" i="56"/>
  <c r="V175" i="56"/>
  <c r="V174" i="56"/>
  <c r="U179" i="56"/>
  <c r="U178" i="56"/>
  <c r="U177" i="56"/>
  <c r="U176" i="56"/>
  <c r="U175" i="56"/>
  <c r="U174" i="56"/>
  <c r="T179" i="56"/>
  <c r="T178" i="56"/>
  <c r="T177" i="56"/>
  <c r="T176" i="56"/>
  <c r="T175" i="56"/>
  <c r="T174" i="56"/>
  <c r="S179" i="56"/>
  <c r="S178" i="56"/>
  <c r="S177" i="56"/>
  <c r="S176" i="56"/>
  <c r="S175" i="56"/>
  <c r="S174" i="56"/>
  <c r="R179" i="56"/>
  <c r="R178" i="56"/>
  <c r="R177" i="56"/>
  <c r="R176" i="56"/>
  <c r="R175" i="56"/>
  <c r="R174" i="56"/>
  <c r="Q174" i="56"/>
  <c r="Q179" i="56"/>
  <c r="Q178" i="56"/>
  <c r="Q177" i="56"/>
  <c r="Q176" i="56"/>
  <c r="Q175" i="56"/>
  <c r="Y121" i="62"/>
  <c r="AE146" i="49" s="1"/>
  <c r="AH143" i="62"/>
  <c r="R142" i="62"/>
  <c r="I142" i="62"/>
  <c r="AB121" i="62"/>
  <c r="AH146" i="49" s="1"/>
  <c r="AB111" i="62"/>
  <c r="AI131" i="62"/>
  <c r="V111" i="62"/>
  <c r="AF121" i="62"/>
  <c r="AL146" i="49" s="1"/>
  <c r="Q121" i="62"/>
  <c r="W146" i="49" s="1"/>
  <c r="W111" i="62"/>
  <c r="T111" i="62"/>
  <c r="T121" i="62"/>
  <c r="Z146" i="49" s="1"/>
  <c r="R133" i="62"/>
  <c r="X149" i="49" s="1"/>
  <c r="O9" i="50"/>
  <c r="Q133" i="62"/>
  <c r="W149" i="49" s="1"/>
  <c r="N9" i="50"/>
  <c r="Z133" i="62"/>
  <c r="AF149" i="49" s="1"/>
  <c r="X143" i="62"/>
  <c r="AE143" i="62"/>
  <c r="M121" i="62"/>
  <c r="S146" i="49" s="1"/>
  <c r="Y133" i="62"/>
  <c r="AE149" i="49" s="1"/>
  <c r="AF143" i="62"/>
  <c r="W133" i="62"/>
  <c r="AC149" i="49" s="1"/>
  <c r="T9" i="50"/>
  <c r="N131" i="62"/>
  <c r="T133" i="62"/>
  <c r="Z149" i="49" s="1"/>
  <c r="Q9" i="50"/>
  <c r="W121" i="62"/>
  <c r="AC146" i="49" s="1"/>
  <c r="K142" i="62"/>
  <c r="I171" i="49"/>
  <c r="I170" i="49"/>
  <c r="M111" i="62"/>
  <c r="W63" i="62"/>
  <c r="S121" i="62"/>
  <c r="Y146" i="49" s="1"/>
  <c r="X121" i="62"/>
  <c r="AD146" i="49" s="1"/>
  <c r="T131" i="62"/>
  <c r="S133" i="62"/>
  <c r="Y149" i="49" s="1"/>
  <c r="P9" i="50"/>
  <c r="Z143" i="62"/>
  <c r="AF142" i="62"/>
  <c r="AD133" i="62"/>
  <c r="AJ149" i="49" s="1"/>
  <c r="AA9" i="50"/>
  <c r="N133" i="62"/>
  <c r="T149" i="49" s="1"/>
  <c r="AD142" i="62"/>
  <c r="N143" i="62"/>
  <c r="AA142" i="62"/>
  <c r="S143" i="62"/>
  <c r="I131" i="62"/>
  <c r="J121" i="62"/>
  <c r="P146" i="49" s="1"/>
  <c r="I143" i="62"/>
  <c r="AD121" i="62"/>
  <c r="AJ146" i="49" s="1"/>
  <c r="W131" i="62"/>
  <c r="AE142" i="62"/>
  <c r="L142" i="62"/>
  <c r="AH131" i="62"/>
  <c r="Q131" i="62"/>
  <c r="AG142" i="62"/>
  <c r="AB133" i="62"/>
  <c r="AH149" i="49" s="1"/>
  <c r="Y9" i="50"/>
  <c r="S142" i="62"/>
  <c r="AG121" i="62"/>
  <c r="AM146" i="49" s="1"/>
  <c r="AH133" i="62"/>
  <c r="AN149" i="49" s="1"/>
  <c r="AE9" i="50"/>
  <c r="O143" i="62"/>
  <c r="AI121" i="62"/>
  <c r="AO146" i="49" s="1"/>
  <c r="R121" i="62"/>
  <c r="X146" i="49" s="1"/>
  <c r="AC121" i="62"/>
  <c r="AI146" i="49" s="1"/>
  <c r="P131" i="62"/>
  <c r="AG143" i="62"/>
  <c r="AC142" i="62"/>
  <c r="U143" i="62"/>
  <c r="AB131" i="62"/>
  <c r="AE111" i="62"/>
  <c r="AA143" i="62"/>
  <c r="S131" i="62"/>
  <c r="Q111" i="62"/>
  <c r="M133" i="62"/>
  <c r="S149" i="49" s="1"/>
  <c r="J9" i="50"/>
  <c r="AE121" i="62"/>
  <c r="AK146" i="49" s="1"/>
  <c r="AA131" i="62"/>
  <c r="R300" i="61"/>
  <c r="S90" i="62" s="1"/>
  <c r="S140" i="62" s="1"/>
  <c r="AB211" i="61"/>
  <c r="AB268" i="61" s="1"/>
  <c r="AC60" i="62" s="1"/>
  <c r="O310" i="61"/>
  <c r="P99" i="62" s="1"/>
  <c r="W62" i="62"/>
  <c r="W113" i="62" s="1"/>
  <c r="AC129" i="49" s="1"/>
  <c r="AA300" i="61"/>
  <c r="AB90" i="62" s="1"/>
  <c r="AB140" i="62" s="1"/>
  <c r="I276" i="61"/>
  <c r="J69" i="62" s="1"/>
  <c r="J120" i="62" s="1"/>
  <c r="H248" i="61"/>
  <c r="T286" i="61"/>
  <c r="U79" i="62" s="1"/>
  <c r="U130" i="62" s="1"/>
  <c r="AA145" i="49" s="1"/>
  <c r="AA271" i="61"/>
  <c r="AB64" i="62" s="1"/>
  <c r="AB115" i="62" s="1"/>
  <c r="AA286" i="61"/>
  <c r="AB79" i="62" s="1"/>
  <c r="AB130" i="62" s="1"/>
  <c r="AH145" i="49" s="1"/>
  <c r="V276" i="61"/>
  <c r="W69" i="62" s="1"/>
  <c r="W120" i="62" s="1"/>
  <c r="AD248" i="61"/>
  <c r="AC290" i="61"/>
  <c r="Z248" i="61"/>
  <c r="S310" i="61"/>
  <c r="T99" i="62" s="1"/>
  <c r="X290" i="61"/>
  <c r="O307" i="61"/>
  <c r="P96" i="62" s="1"/>
  <c r="AC231" i="61"/>
  <c r="L310" i="61"/>
  <c r="M99" i="62" s="1"/>
  <c r="Z246" i="61"/>
  <c r="AB286" i="61"/>
  <c r="AC79" i="62" s="1"/>
  <c r="AC130" i="62" s="1"/>
  <c r="AI145" i="49" s="1"/>
  <c r="AF300" i="61"/>
  <c r="AG90" i="62" s="1"/>
  <c r="AG140" i="62" s="1"/>
  <c r="S297" i="61"/>
  <c r="T87" i="62" s="1"/>
  <c r="T138" i="62" s="1"/>
  <c r="M300" i="61"/>
  <c r="N90" i="62" s="1"/>
  <c r="N140" i="62" s="1"/>
  <c r="AI310" i="61"/>
  <c r="AJ99" i="62" s="1"/>
  <c r="Y248" i="61"/>
  <c r="AG300" i="61"/>
  <c r="AH90" i="62" s="1"/>
  <c r="AH140" i="62" s="1"/>
  <c r="Z297" i="61"/>
  <c r="AA87" i="62" s="1"/>
  <c r="AA138" i="62" s="1"/>
  <c r="H300" i="61"/>
  <c r="I90" i="62" s="1"/>
  <c r="I140" i="62" s="1"/>
  <c r="H246" i="61"/>
  <c r="AB310" i="61"/>
  <c r="AC99" i="62" s="1"/>
  <c r="J310" i="61"/>
  <c r="K99" i="62" s="1"/>
  <c r="Q271" i="61"/>
  <c r="R64" i="62" s="1"/>
  <c r="R115" i="62" s="1"/>
  <c r="AF248" i="61"/>
  <c r="L228" i="61"/>
  <c r="R307" i="61"/>
  <c r="S96" i="62" s="1"/>
  <c r="P300" i="61"/>
  <c r="Q90" i="62" s="1"/>
  <c r="Q140" i="62" s="1"/>
  <c r="AI281" i="61"/>
  <c r="AJ74" i="62" s="1"/>
  <c r="AJ125" i="62" s="1"/>
  <c r="AP141" i="49" s="1"/>
  <c r="AE307" i="61"/>
  <c r="AF96" i="62" s="1"/>
  <c r="AC286" i="61"/>
  <c r="AD79" i="62" s="1"/>
  <c r="AD130" i="62" s="1"/>
  <c r="AJ145" i="49" s="1"/>
  <c r="AH228" i="61"/>
  <c r="U300" i="61"/>
  <c r="V90" i="62" s="1"/>
  <c r="V140" i="62" s="1"/>
  <c r="R286" i="61"/>
  <c r="S79" i="62" s="1"/>
  <c r="S130" i="62" s="1"/>
  <c r="Y145" i="49" s="1"/>
  <c r="P297" i="61"/>
  <c r="Q87" i="62" s="1"/>
  <c r="Q138" i="62" s="1"/>
  <c r="P231" i="61"/>
  <c r="L276" i="61"/>
  <c r="M69" i="62" s="1"/>
  <c r="M120" i="62" s="1"/>
  <c r="N297" i="61"/>
  <c r="O87" i="62" s="1"/>
  <c r="O138" i="62" s="1"/>
  <c r="S228" i="61"/>
  <c r="P310" i="61"/>
  <c r="Q99" i="62" s="1"/>
  <c r="T307" i="61"/>
  <c r="U96" i="62" s="1"/>
  <c r="AI300" i="61"/>
  <c r="AJ90" i="62" s="1"/>
  <c r="AJ140" i="62" s="1"/>
  <c r="Q307" i="61"/>
  <c r="R96" i="62" s="1"/>
  <c r="AG310" i="61"/>
  <c r="AH99" i="62" s="1"/>
  <c r="W300" i="61"/>
  <c r="X90" i="62" s="1"/>
  <c r="X140" i="62" s="1"/>
  <c r="L300" i="61"/>
  <c r="M90" i="62" s="1"/>
  <c r="M140" i="62" s="1"/>
  <c r="AE297" i="61"/>
  <c r="AF87" i="62" s="1"/>
  <c r="AF138" i="62" s="1"/>
  <c r="N248" i="61"/>
  <c r="I310" i="61"/>
  <c r="J99" i="62" s="1"/>
  <c r="AB290" i="61"/>
  <c r="AD300" i="61"/>
  <c r="AE90" i="62" s="1"/>
  <c r="AE140" i="62" s="1"/>
  <c r="AB300" i="61"/>
  <c r="AC90" i="62" s="1"/>
  <c r="AC140" i="62" s="1"/>
  <c r="AH286" i="61"/>
  <c r="AI79" i="62" s="1"/>
  <c r="AI130" i="62" s="1"/>
  <c r="AO145" i="49" s="1"/>
  <c r="M286" i="61"/>
  <c r="N79" i="62" s="1"/>
  <c r="N130" i="62" s="1"/>
  <c r="T145" i="49" s="1"/>
  <c r="AB276" i="61"/>
  <c r="AC69" i="62" s="1"/>
  <c r="AC120" i="62" s="1"/>
  <c r="AB307" i="61"/>
  <c r="AC96" i="62" s="1"/>
  <c r="AH310" i="61"/>
  <c r="AI99" i="62" s="1"/>
  <c r="AF246" i="61"/>
  <c r="X297" i="61"/>
  <c r="Y87" i="62" s="1"/>
  <c r="Y138" i="62" s="1"/>
  <c r="V297" i="61"/>
  <c r="W87" i="62" s="1"/>
  <c r="W138" i="62" s="1"/>
  <c r="AD246" i="61"/>
  <c r="X307" i="61"/>
  <c r="Y96" i="62" s="1"/>
  <c r="AI307" i="61"/>
  <c r="AJ96" i="62" s="1"/>
  <c r="AE246" i="61"/>
  <c r="AE310" i="61"/>
  <c r="AF99" i="62" s="1"/>
  <c r="AB228" i="61"/>
  <c r="AC310" i="61"/>
  <c r="AD99" i="62" s="1"/>
  <c r="AC271" i="61"/>
  <c r="AD64" i="62" s="1"/>
  <c r="AD115" i="62" s="1"/>
  <c r="AA276" i="61"/>
  <c r="AB69" i="62" s="1"/>
  <c r="AB120" i="62" s="1"/>
  <c r="AH300" i="61"/>
  <c r="AI90" i="62" s="1"/>
  <c r="AI140" i="62" s="1"/>
  <c r="T310" i="61"/>
  <c r="U99" i="62" s="1"/>
  <c r="T297" i="61"/>
  <c r="U87" i="62" s="1"/>
  <c r="U138" i="62" s="1"/>
  <c r="U307" i="61"/>
  <c r="V96" i="62" s="1"/>
  <c r="R231" i="61"/>
  <c r="AG248" i="61"/>
  <c r="M281" i="61"/>
  <c r="N74" i="62" s="1"/>
  <c r="N125" i="62" s="1"/>
  <c r="T141" i="49" s="1"/>
  <c r="AF310" i="61"/>
  <c r="AG99" i="62" s="1"/>
  <c r="J300" i="61"/>
  <c r="K90" i="62" s="1"/>
  <c r="K140" i="62" s="1"/>
  <c r="AI297" i="61"/>
  <c r="AJ87" i="62" s="1"/>
  <c r="AJ138" i="62" s="1"/>
  <c r="AJ93" i="62"/>
  <c r="AJ94" i="62"/>
  <c r="AJ95" i="62"/>
  <c r="AJ98" i="62"/>
  <c r="AJ97" i="62"/>
  <c r="AF97" i="62"/>
  <c r="AD80" i="62"/>
  <c r="AE98" i="62"/>
  <c r="AD94" i="62"/>
  <c r="AE97" i="62"/>
  <c r="AD95" i="62"/>
  <c r="AB297" i="61"/>
  <c r="AC87" i="62" s="1"/>
  <c r="AC138" i="62" s="1"/>
  <c r="AC97" i="62"/>
  <c r="AC94" i="62"/>
  <c r="AC80" i="62"/>
  <c r="AA228" i="61"/>
  <c r="AH297" i="61"/>
  <c r="AI87" i="62" s="1"/>
  <c r="AI138" i="62" s="1"/>
  <c r="AA297" i="61"/>
  <c r="AB87" i="62" s="1"/>
  <c r="AB138" i="62" s="1"/>
  <c r="AI95" i="62"/>
  <c r="AA231" i="61"/>
  <c r="AB95" i="62"/>
  <c r="AI97" i="62"/>
  <c r="AI93" i="62"/>
  <c r="AA290" i="61"/>
  <c r="AB93" i="62"/>
  <c r="AI98" i="62"/>
  <c r="Y95" i="62"/>
  <c r="Y98" i="62"/>
  <c r="Y93" i="62"/>
  <c r="Y80" i="62"/>
  <c r="X300" i="61"/>
  <c r="Y90" i="62" s="1"/>
  <c r="Y140" i="62" s="1"/>
  <c r="Y94" i="62"/>
  <c r="Y97" i="62"/>
  <c r="W310" i="61"/>
  <c r="X99" i="62" s="1"/>
  <c r="W95" i="62"/>
  <c r="W98" i="62"/>
  <c r="W94" i="62"/>
  <c r="W97" i="62"/>
  <c r="W93" i="62"/>
  <c r="V97" i="62"/>
  <c r="V93" i="62"/>
  <c r="V94" i="62"/>
  <c r="V95" i="62"/>
  <c r="U94" i="62"/>
  <c r="U95" i="62"/>
  <c r="U97" i="62"/>
  <c r="U80" i="62"/>
  <c r="S98" i="62"/>
  <c r="R246" i="61"/>
  <c r="R281" i="61"/>
  <c r="S74" i="62" s="1"/>
  <c r="S125" i="62" s="1"/>
  <c r="Y141" i="49" s="1"/>
  <c r="S95" i="62"/>
  <c r="R248" i="61"/>
  <c r="S97" i="62"/>
  <c r="R97" i="62"/>
  <c r="R95" i="62"/>
  <c r="R93" i="62"/>
  <c r="R98" i="62"/>
  <c r="Q231" i="61"/>
  <c r="Q297" i="61"/>
  <c r="R87" i="62" s="1"/>
  <c r="R138" i="62" s="1"/>
  <c r="P271" i="61"/>
  <c r="Q64" i="62" s="1"/>
  <c r="Q115" i="62" s="1"/>
  <c r="Q95" i="62"/>
  <c r="Q98" i="62"/>
  <c r="Q94" i="62"/>
  <c r="Y300" i="61"/>
  <c r="Z90" i="62" s="1"/>
  <c r="Z140" i="62" s="1"/>
  <c r="N94" i="62"/>
  <c r="AH98" i="62"/>
  <c r="AG293" i="61"/>
  <c r="S307" i="61"/>
  <c r="T96" i="62" s="1"/>
  <c r="AH94" i="62"/>
  <c r="T94" i="62"/>
  <c r="AH95" i="62"/>
  <c r="O95" i="62"/>
  <c r="M310" i="61"/>
  <c r="N99" i="62" s="1"/>
  <c r="Y307" i="61"/>
  <c r="Z96" i="62" s="1"/>
  <c r="Z97" i="62"/>
  <c r="T95" i="62"/>
  <c r="P95" i="62"/>
  <c r="M297" i="61"/>
  <c r="N87" i="62" s="1"/>
  <c r="N138" i="62" s="1"/>
  <c r="AA98" i="62"/>
  <c r="T98" i="62"/>
  <c r="O98" i="62"/>
  <c r="P98" i="62"/>
  <c r="M97" i="62"/>
  <c r="M94" i="62"/>
  <c r="M95" i="62"/>
  <c r="M98" i="62"/>
  <c r="L281" i="61"/>
  <c r="M74" i="62" s="1"/>
  <c r="M125" i="62" s="1"/>
  <c r="S141" i="49" s="1"/>
  <c r="L290" i="61"/>
  <c r="M80" i="62"/>
  <c r="L271" i="61"/>
  <c r="M64" i="62" s="1"/>
  <c r="M115" i="62" s="1"/>
  <c r="K300" i="61"/>
  <c r="L90" i="62" s="1"/>
  <c r="L140" i="62" s="1"/>
  <c r="K246" i="61"/>
  <c r="J93" i="62"/>
  <c r="K98" i="62"/>
  <c r="K95" i="62"/>
  <c r="L94" i="62"/>
  <c r="J98" i="62"/>
  <c r="AG94" i="62"/>
  <c r="AG93" i="62"/>
  <c r="AG97" i="62"/>
  <c r="K97" i="62"/>
  <c r="I95" i="62"/>
  <c r="I97" i="62"/>
  <c r="Q63" i="62"/>
  <c r="Q114" i="62" s="1"/>
  <c r="W130" i="49" s="1"/>
  <c r="Y63" i="62"/>
  <c r="Y114" i="62" s="1"/>
  <c r="AE130" i="49" s="1"/>
  <c r="J63" i="62"/>
  <c r="J114" i="62" s="1"/>
  <c r="P130" i="49" s="1"/>
  <c r="M63" i="62"/>
  <c r="M114" i="62" s="1"/>
  <c r="S130" i="49" s="1"/>
  <c r="X63" i="62"/>
  <c r="X114" i="62" s="1"/>
  <c r="AD130" i="49" s="1"/>
  <c r="J114" i="49"/>
  <c r="J149" i="49"/>
  <c r="I114" i="49"/>
  <c r="I149" i="49"/>
  <c r="J115" i="49"/>
  <c r="J150" i="49"/>
  <c r="I115" i="49"/>
  <c r="I150" i="49"/>
  <c r="J111" i="49"/>
  <c r="J146" i="49"/>
  <c r="J107" i="49"/>
  <c r="J142" i="49"/>
  <c r="J110" i="49"/>
  <c r="J145" i="49"/>
  <c r="I103" i="49"/>
  <c r="I138" i="49"/>
  <c r="I105" i="49"/>
  <c r="I140" i="49"/>
  <c r="J103" i="49"/>
  <c r="J138" i="49"/>
  <c r="J105" i="49"/>
  <c r="J140" i="49"/>
  <c r="I102" i="49"/>
  <c r="I137" i="49"/>
  <c r="J108" i="49"/>
  <c r="J143" i="49"/>
  <c r="J102" i="49"/>
  <c r="J137" i="49"/>
  <c r="I110" i="49"/>
  <c r="I145" i="49"/>
  <c r="J104" i="49"/>
  <c r="J139" i="49"/>
  <c r="I107" i="49"/>
  <c r="I142" i="49"/>
  <c r="I108" i="49"/>
  <c r="I143" i="49"/>
  <c r="I109" i="49"/>
  <c r="I144" i="49"/>
  <c r="I106" i="49"/>
  <c r="I141" i="49"/>
  <c r="I104" i="49"/>
  <c r="I139" i="49"/>
  <c r="I111" i="49"/>
  <c r="I146" i="49"/>
  <c r="J109" i="49"/>
  <c r="J144" i="49"/>
  <c r="J106" i="49"/>
  <c r="J141" i="49"/>
  <c r="L37" i="10"/>
  <c r="I74" i="49"/>
  <c r="M39" i="10"/>
  <c r="J76" i="49"/>
  <c r="M38" i="10"/>
  <c r="J75" i="49"/>
  <c r="L33" i="10"/>
  <c r="I70" i="49"/>
  <c r="M31" i="10"/>
  <c r="J68" i="49"/>
  <c r="M33" i="10"/>
  <c r="J70" i="49"/>
  <c r="L30" i="10"/>
  <c r="I67" i="49"/>
  <c r="M35" i="10"/>
  <c r="J72" i="49"/>
  <c r="L31" i="10"/>
  <c r="I68" i="49"/>
  <c r="M36" i="10"/>
  <c r="J73" i="49"/>
  <c r="M30" i="10"/>
  <c r="J67" i="49"/>
  <c r="L42" i="10"/>
  <c r="I79" i="49"/>
  <c r="L38" i="10"/>
  <c r="I75" i="49"/>
  <c r="M32" i="10"/>
  <c r="J69" i="49"/>
  <c r="L35" i="10"/>
  <c r="I72" i="49"/>
  <c r="M43" i="10"/>
  <c r="J80" i="49"/>
  <c r="M42" i="10"/>
  <c r="J79" i="49"/>
  <c r="L36" i="10"/>
  <c r="I73" i="49"/>
  <c r="L34" i="10"/>
  <c r="I71" i="49"/>
  <c r="L32" i="10"/>
  <c r="I69" i="49"/>
  <c r="L43" i="10"/>
  <c r="I80" i="49"/>
  <c r="L39" i="10"/>
  <c r="I76" i="49"/>
  <c r="M37" i="10"/>
  <c r="J74" i="49"/>
  <c r="M34" i="10"/>
  <c r="J71" i="49"/>
  <c r="AE248" i="61"/>
  <c r="O290" i="61"/>
  <c r="U310" i="61"/>
  <c r="V99" i="62" s="1"/>
  <c r="AC307" i="61"/>
  <c r="AD96" i="62" s="1"/>
  <c r="AD297" i="61"/>
  <c r="AE87" i="62" s="1"/>
  <c r="AE138" i="62" s="1"/>
  <c r="L293" i="61"/>
  <c r="R297" i="61"/>
  <c r="S87" i="62" s="1"/>
  <c r="S138" i="62" s="1"/>
  <c r="AC228" i="61"/>
  <c r="T228" i="61"/>
  <c r="U297" i="61"/>
  <c r="V87" i="62" s="1"/>
  <c r="V138" i="62" s="1"/>
  <c r="AG307" i="61"/>
  <c r="AH96" i="62" s="1"/>
  <c r="X310" i="61"/>
  <c r="Y99" i="62" s="1"/>
  <c r="L307" i="61"/>
  <c r="M96" i="62" s="1"/>
  <c r="O300" i="61"/>
  <c r="P90" i="62" s="1"/>
  <c r="P140" i="62" s="1"/>
  <c r="AA225" i="61"/>
  <c r="AI276" i="61"/>
  <c r="AJ69" i="62" s="1"/>
  <c r="AJ120" i="62" s="1"/>
  <c r="X62" i="62"/>
  <c r="X113" i="62" s="1"/>
  <c r="AD129" i="49" s="1"/>
  <c r="Y286" i="61"/>
  <c r="Z79" i="62" s="1"/>
  <c r="Z130" i="62" s="1"/>
  <c r="AF145" i="49" s="1"/>
  <c r="I300" i="61"/>
  <c r="J90" i="62" s="1"/>
  <c r="J140" i="62" s="1"/>
  <c r="S290" i="61"/>
  <c r="W114" i="62"/>
  <c r="AC130" i="49" s="1"/>
  <c r="S231" i="61"/>
  <c r="L286" i="61"/>
  <c r="M79" i="62" s="1"/>
  <c r="M130" i="62" s="1"/>
  <c r="S145" i="49" s="1"/>
  <c r="O112" i="61"/>
  <c r="O230" i="61" s="1"/>
  <c r="O292" i="61" s="1"/>
  <c r="P83" i="62" s="1"/>
  <c r="P134" i="62" s="1"/>
  <c r="V150" i="49" s="1"/>
  <c r="L231" i="61"/>
  <c r="AA293" i="61"/>
  <c r="T98" i="61"/>
  <c r="T216" i="61" s="1"/>
  <c r="T285" i="61" s="1"/>
  <c r="U78" i="62" s="1"/>
  <c r="U129" i="62" s="1"/>
  <c r="AA138" i="49" s="1"/>
  <c r="T203" i="61"/>
  <c r="T275" i="61" s="1"/>
  <c r="U68" i="62" s="1"/>
  <c r="U119" i="62" s="1"/>
  <c r="AD72" i="62"/>
  <c r="AD123" i="62" s="1"/>
  <c r="AJ139" i="49" s="1"/>
  <c r="AD73" i="62"/>
  <c r="AD124" i="62" s="1"/>
  <c r="AJ140" i="49" s="1"/>
  <c r="Y297" i="61"/>
  <c r="Z87" i="62" s="1"/>
  <c r="Z138" i="62" s="1"/>
  <c r="O134" i="61"/>
  <c r="O229" i="61" s="1"/>
  <c r="O291" i="61" s="1"/>
  <c r="P82" i="62" s="1"/>
  <c r="J281" i="61"/>
  <c r="K74" i="62" s="1"/>
  <c r="K125" i="62" s="1"/>
  <c r="Q141" i="49" s="1"/>
  <c r="AH73" i="62"/>
  <c r="AH124" i="62" s="1"/>
  <c r="AN140" i="49" s="1"/>
  <c r="AH72" i="62"/>
  <c r="AH123" i="62" s="1"/>
  <c r="AN139" i="49" s="1"/>
  <c r="Z227" i="61"/>
  <c r="Z228" i="61" s="1"/>
  <c r="Z112" i="61"/>
  <c r="Z230" i="61" s="1"/>
  <c r="Z292" i="61" s="1"/>
  <c r="AA83" i="62" s="1"/>
  <c r="AA134" i="62" s="1"/>
  <c r="AG150" i="49" s="1"/>
  <c r="O72" i="62"/>
  <c r="O123" i="62" s="1"/>
  <c r="U139" i="49" s="1"/>
  <c r="O73" i="62"/>
  <c r="O124" i="62" s="1"/>
  <c r="U140" i="49" s="1"/>
  <c r="Z73" i="62"/>
  <c r="Z124" i="62" s="1"/>
  <c r="AF140" i="49" s="1"/>
  <c r="Z72" i="62"/>
  <c r="Z123" i="62" s="1"/>
  <c r="AF139" i="49" s="1"/>
  <c r="V231" i="61"/>
  <c r="S62" i="62"/>
  <c r="S113" i="62" s="1"/>
  <c r="Y129" i="49" s="1"/>
  <c r="S63" i="62"/>
  <c r="S114" i="62" s="1"/>
  <c r="Y130" i="49" s="1"/>
  <c r="M73" i="62"/>
  <c r="M124" i="62" s="1"/>
  <c r="S140" i="49" s="1"/>
  <c r="M72" i="62"/>
  <c r="M123" i="62" s="1"/>
  <c r="S139" i="49" s="1"/>
  <c r="AD63" i="62"/>
  <c r="AD114" i="62" s="1"/>
  <c r="AJ130" i="49" s="1"/>
  <c r="AD62" i="62"/>
  <c r="AD113" i="62" s="1"/>
  <c r="AJ129" i="49" s="1"/>
  <c r="M292" i="61"/>
  <c r="N83" i="62" s="1"/>
  <c r="M231" i="61"/>
  <c r="Q72" i="62"/>
  <c r="Q123" i="62" s="1"/>
  <c r="W139" i="49" s="1"/>
  <c r="Q73" i="62"/>
  <c r="Q124" i="62" s="1"/>
  <c r="W140" i="49" s="1"/>
  <c r="AA73" i="62"/>
  <c r="AA124" i="62" s="1"/>
  <c r="AG140" i="49" s="1"/>
  <c r="AA72" i="62"/>
  <c r="AA123" i="62" s="1"/>
  <c r="AG139" i="49" s="1"/>
  <c r="Y72" i="62"/>
  <c r="Y123" i="62" s="1"/>
  <c r="AE139" i="49" s="1"/>
  <c r="Y73" i="62"/>
  <c r="Y124" i="62" s="1"/>
  <c r="AE140" i="49" s="1"/>
  <c r="U62" i="62"/>
  <c r="U113" i="62" s="1"/>
  <c r="AA129" i="49" s="1"/>
  <c r="U63" i="62"/>
  <c r="U114" i="62" s="1"/>
  <c r="AA130" i="49" s="1"/>
  <c r="AC62" i="62"/>
  <c r="AC113" i="62" s="1"/>
  <c r="AI129" i="49" s="1"/>
  <c r="AC63" i="62"/>
  <c r="AC114" i="62" s="1"/>
  <c r="AI130" i="49" s="1"/>
  <c r="U73" i="62"/>
  <c r="U124" i="62" s="1"/>
  <c r="AA140" i="49" s="1"/>
  <c r="U72" i="62"/>
  <c r="U123" i="62" s="1"/>
  <c r="AA139" i="49" s="1"/>
  <c r="S73" i="62"/>
  <c r="S124" i="62" s="1"/>
  <c r="Y140" i="49" s="1"/>
  <c r="S72" i="62"/>
  <c r="S123" i="62" s="1"/>
  <c r="Y139" i="49" s="1"/>
  <c r="K73" i="62"/>
  <c r="K124" i="62" s="1"/>
  <c r="Q140" i="49" s="1"/>
  <c r="K72" i="62"/>
  <c r="K123" i="62" s="1"/>
  <c r="Q139" i="49" s="1"/>
  <c r="AG72" i="62"/>
  <c r="AG123" i="62" s="1"/>
  <c r="AM139" i="49" s="1"/>
  <c r="AG73" i="62"/>
  <c r="AG124" i="62" s="1"/>
  <c r="AM140" i="49" s="1"/>
  <c r="X228" i="61"/>
  <c r="AC281" i="61"/>
  <c r="AD74" i="62" s="1"/>
  <c r="AD125" i="62" s="1"/>
  <c r="AJ141" i="49" s="1"/>
  <c r="AB281" i="61"/>
  <c r="AC74" i="62" s="1"/>
  <c r="AC125" i="62" s="1"/>
  <c r="AI141" i="49" s="1"/>
  <c r="AJ62" i="62"/>
  <c r="AJ113" i="62" s="1"/>
  <c r="AP129" i="49" s="1"/>
  <c r="AJ63" i="62"/>
  <c r="AJ114" i="62" s="1"/>
  <c r="AP130" i="49" s="1"/>
  <c r="AC73" i="62"/>
  <c r="AC124" i="62" s="1"/>
  <c r="AI140" i="49" s="1"/>
  <c r="AC72" i="62"/>
  <c r="AC123" i="62" s="1"/>
  <c r="AI139" i="49" s="1"/>
  <c r="T73" i="62"/>
  <c r="T124" i="62" s="1"/>
  <c r="Z140" i="49" s="1"/>
  <c r="T72" i="62"/>
  <c r="T123" i="62" s="1"/>
  <c r="Z139" i="49" s="1"/>
  <c r="R276" i="61"/>
  <c r="S69" i="62" s="1"/>
  <c r="S120" i="62" s="1"/>
  <c r="U286" i="61"/>
  <c r="V79" i="62" s="1"/>
  <c r="V130" i="62" s="1"/>
  <c r="AB145" i="49" s="1"/>
  <c r="J73" i="62"/>
  <c r="J124" i="62" s="1"/>
  <c r="P140" i="49" s="1"/>
  <c r="J72" i="62"/>
  <c r="J123" i="62" s="1"/>
  <c r="P139" i="49" s="1"/>
  <c r="AI271" i="61"/>
  <c r="AJ64" i="62" s="1"/>
  <c r="AJ115" i="62" s="1"/>
  <c r="AA281" i="61"/>
  <c r="AB74" i="62" s="1"/>
  <c r="AB125" i="62" s="1"/>
  <c r="AH141" i="49" s="1"/>
  <c r="AB73" i="62"/>
  <c r="AB124" i="62" s="1"/>
  <c r="AH140" i="49" s="1"/>
  <c r="AB72" i="62"/>
  <c r="AB123" i="62" s="1"/>
  <c r="AH139" i="49" s="1"/>
  <c r="AI73" i="62"/>
  <c r="AI124" i="62" s="1"/>
  <c r="AO140" i="49" s="1"/>
  <c r="AI72" i="62"/>
  <c r="AI123" i="62" s="1"/>
  <c r="AO139" i="49" s="1"/>
  <c r="R73" i="62"/>
  <c r="R124" i="62" s="1"/>
  <c r="X140" i="49" s="1"/>
  <c r="R72" i="62"/>
  <c r="R123" i="62" s="1"/>
  <c r="X139" i="49" s="1"/>
  <c r="V307" i="61"/>
  <c r="Z307" i="61"/>
  <c r="AA96" i="62" s="1"/>
  <c r="N63" i="62"/>
  <c r="N114" i="62" s="1"/>
  <c r="T130" i="49" s="1"/>
  <c r="N62" i="62"/>
  <c r="N113" i="62" s="1"/>
  <c r="T129" i="49" s="1"/>
  <c r="AC293" i="61"/>
  <c r="AB62" i="62"/>
  <c r="AB113" i="62" s="1"/>
  <c r="AH129" i="49" s="1"/>
  <c r="AB63" i="62"/>
  <c r="AB114" i="62" s="1"/>
  <c r="AH130" i="49" s="1"/>
  <c r="AJ73" i="62"/>
  <c r="AJ124" i="62" s="1"/>
  <c r="AP140" i="49" s="1"/>
  <c r="AJ72" i="62"/>
  <c r="AJ123" i="62" s="1"/>
  <c r="AP139" i="49" s="1"/>
  <c r="AI62" i="62"/>
  <c r="AI113" i="62" s="1"/>
  <c r="AO129" i="49" s="1"/>
  <c r="AI63" i="62"/>
  <c r="AI114" i="62" s="1"/>
  <c r="AO130" i="49" s="1"/>
  <c r="R293" i="61"/>
  <c r="T62" i="62"/>
  <c r="T113" i="62" s="1"/>
  <c r="Z129" i="49" s="1"/>
  <c r="T63" i="62"/>
  <c r="T114" i="62" s="1"/>
  <c r="Z130" i="49" s="1"/>
  <c r="V63" i="62"/>
  <c r="V114" i="62" s="1"/>
  <c r="AB130" i="49" s="1"/>
  <c r="V62" i="62"/>
  <c r="V113" i="62" s="1"/>
  <c r="AB129" i="49" s="1"/>
  <c r="AB271" i="61"/>
  <c r="AC64" i="62" s="1"/>
  <c r="AC115" i="62" s="1"/>
  <c r="R62" i="62"/>
  <c r="R113" i="62" s="1"/>
  <c r="X129" i="49" s="1"/>
  <c r="R63" i="62"/>
  <c r="R114" i="62" s="1"/>
  <c r="X130" i="49" s="1"/>
  <c r="P293" i="61"/>
  <c r="W72" i="62"/>
  <c r="W123" i="62" s="1"/>
  <c r="AC139" i="49" s="1"/>
  <c r="W73" i="62"/>
  <c r="W124" i="62" s="1"/>
  <c r="AC140" i="49" s="1"/>
  <c r="M271" i="61"/>
  <c r="N64" i="62" s="1"/>
  <c r="N115" i="62" s="1"/>
  <c r="X72" i="62"/>
  <c r="X123" i="62" s="1"/>
  <c r="AD139" i="49" s="1"/>
  <c r="X73" i="62"/>
  <c r="X124" i="62" s="1"/>
  <c r="AD140" i="49" s="1"/>
  <c r="V72" i="62"/>
  <c r="V123" i="62" s="1"/>
  <c r="AB139" i="49" s="1"/>
  <c r="V73" i="62"/>
  <c r="V124" i="62" s="1"/>
  <c r="AB140" i="49" s="1"/>
  <c r="N72" i="62"/>
  <c r="N123" i="62" s="1"/>
  <c r="T139" i="49" s="1"/>
  <c r="N73" i="62"/>
  <c r="N124" i="62" s="1"/>
  <c r="T140" i="49" s="1"/>
  <c r="T231" i="61"/>
  <c r="T291" i="61"/>
  <c r="W231" i="61"/>
  <c r="W291" i="61"/>
  <c r="W228" i="61"/>
  <c r="W288" i="61"/>
  <c r="P228" i="61"/>
  <c r="P289" i="61"/>
  <c r="Q81" i="62" s="1"/>
  <c r="Q132" i="62" s="1"/>
  <c r="S286" i="61"/>
  <c r="T79" i="62" s="1"/>
  <c r="T130" i="62" s="1"/>
  <c r="Z145" i="49" s="1"/>
  <c r="O246" i="61"/>
  <c r="O302" i="61"/>
  <c r="Y310" i="61"/>
  <c r="Z99" i="62" s="1"/>
  <c r="M307" i="61"/>
  <c r="N96" i="62" s="1"/>
  <c r="AC303" i="61"/>
  <c r="AD92" i="62" s="1"/>
  <c r="M228" i="61"/>
  <c r="M289" i="61"/>
  <c r="N81" i="62" s="1"/>
  <c r="N132" i="62" s="1"/>
  <c r="X286" i="61"/>
  <c r="Y79" i="62" s="1"/>
  <c r="Y130" i="62" s="1"/>
  <c r="AE145" i="49" s="1"/>
  <c r="P281" i="61"/>
  <c r="Q74" i="62" s="1"/>
  <c r="Q125" i="62" s="1"/>
  <c r="W141" i="49" s="1"/>
  <c r="AA303" i="61"/>
  <c r="AB92" i="62" s="1"/>
  <c r="AH231" i="61"/>
  <c r="AH291" i="61"/>
  <c r="AF228" i="61"/>
  <c r="AF288" i="61"/>
  <c r="I303" i="61"/>
  <c r="J92" i="62" s="1"/>
  <c r="J286" i="61"/>
  <c r="K79" i="62" s="1"/>
  <c r="K130" i="62" s="1"/>
  <c r="Q145" i="49" s="1"/>
  <c r="Q286" i="61"/>
  <c r="R79" i="62" s="1"/>
  <c r="R130" i="62" s="1"/>
  <c r="X145" i="49" s="1"/>
  <c r="U231" i="61"/>
  <c r="U291" i="61"/>
  <c r="X276" i="61"/>
  <c r="Y69" i="62" s="1"/>
  <c r="Y120" i="62" s="1"/>
  <c r="AB303" i="61"/>
  <c r="AC92" i="62" s="1"/>
  <c r="O286" i="61"/>
  <c r="P79" i="62" s="1"/>
  <c r="P130" i="62" s="1"/>
  <c r="V145" i="49" s="1"/>
  <c r="AI303" i="61"/>
  <c r="AJ92" i="62" s="1"/>
  <c r="S302" i="61"/>
  <c r="AH246" i="61"/>
  <c r="AH302" i="61"/>
  <c r="R290" i="61"/>
  <c r="P307" i="61"/>
  <c r="Q96" i="62" s="1"/>
  <c r="X231" i="61"/>
  <c r="X292" i="61"/>
  <c r="Y83" i="62" s="1"/>
  <c r="Y134" i="62" s="1"/>
  <c r="AE150" i="49" s="1"/>
  <c r="V302" i="61"/>
  <c r="T300" i="61"/>
  <c r="U90" i="62" s="1"/>
  <c r="U140" i="62" s="1"/>
  <c r="AI231" i="61"/>
  <c r="AI291" i="61"/>
  <c r="AA302" i="61"/>
  <c r="V286" i="61"/>
  <c r="W79" i="62" s="1"/>
  <c r="W130" i="62" s="1"/>
  <c r="AC145" i="49" s="1"/>
  <c r="Q303" i="61"/>
  <c r="R92" i="62" s="1"/>
  <c r="V225" i="61"/>
  <c r="V285" i="61"/>
  <c r="W78" i="62" s="1"/>
  <c r="W129" i="62" s="1"/>
  <c r="AC138" i="49" s="1"/>
  <c r="Y281" i="61"/>
  <c r="Z74" i="62" s="1"/>
  <c r="Z125" i="62" s="1"/>
  <c r="AF141" i="49" s="1"/>
  <c r="V293" i="61"/>
  <c r="P286" i="61"/>
  <c r="Q79" i="62" s="1"/>
  <c r="Q130" i="62" s="1"/>
  <c r="W145" i="49" s="1"/>
  <c r="AB231" i="61"/>
  <c r="AB291" i="61"/>
  <c r="L297" i="61"/>
  <c r="M87" i="62" s="1"/>
  <c r="M138" i="62" s="1"/>
  <c r="AE286" i="61"/>
  <c r="AF79" i="62" s="1"/>
  <c r="AF130" i="62" s="1"/>
  <c r="AL145" i="49" s="1"/>
  <c r="AI228" i="61"/>
  <c r="AI288" i="61"/>
  <c r="W307" i="61"/>
  <c r="AI302" i="61"/>
  <c r="AJ91" i="62" s="1"/>
  <c r="K303" i="61"/>
  <c r="L92" i="62" s="1"/>
  <c r="AH290" i="61"/>
  <c r="AG286" i="61"/>
  <c r="AH79" i="62" s="1"/>
  <c r="AH130" i="62" s="1"/>
  <c r="AN145" i="49" s="1"/>
  <c r="I281" i="61"/>
  <c r="J74" i="62" s="1"/>
  <c r="J125" i="62" s="1"/>
  <c r="P141" i="49" s="1"/>
  <c r="Q228" i="61"/>
  <c r="Q288" i="61"/>
  <c r="P302" i="61"/>
  <c r="Q91" i="62" s="1"/>
  <c r="W302" i="61"/>
  <c r="M302" i="61"/>
  <c r="X271" i="61"/>
  <c r="Y64" i="62" s="1"/>
  <c r="Y115" i="62" s="1"/>
  <c r="AE300" i="61"/>
  <c r="AF90" i="62" s="1"/>
  <c r="AF140" i="62" s="1"/>
  <c r="S293" i="61"/>
  <c r="AH248" i="61"/>
  <c r="AH303" i="61"/>
  <c r="AI92" i="62" s="1"/>
  <c r="V281" i="61"/>
  <c r="W74" i="62" s="1"/>
  <c r="W125" i="62" s="1"/>
  <c r="AC141" i="49" s="1"/>
  <c r="Y302" i="61"/>
  <c r="Z91" i="62" s="1"/>
  <c r="I231" i="61"/>
  <c r="I291" i="61"/>
  <c r="I228" i="61"/>
  <c r="I288" i="61"/>
  <c r="AG302" i="61"/>
  <c r="AH91" i="62" s="1"/>
  <c r="X302" i="61"/>
  <c r="Y91" i="62" s="1"/>
  <c r="P303" i="61"/>
  <c r="Q92" i="62" s="1"/>
  <c r="I286" i="61"/>
  <c r="J79" i="62" s="1"/>
  <c r="J130" i="62" s="1"/>
  <c r="P145" i="49" s="1"/>
  <c r="Q281" i="61"/>
  <c r="R74" i="62" s="1"/>
  <c r="R125" i="62" s="1"/>
  <c r="X141" i="49" s="1"/>
  <c r="U302" i="61"/>
  <c r="AF286" i="61"/>
  <c r="AG79" i="62" s="1"/>
  <c r="AG130" i="62" s="1"/>
  <c r="AM145" i="49" s="1"/>
  <c r="X281" i="61"/>
  <c r="Y74" i="62" s="1"/>
  <c r="Y125" i="62" s="1"/>
  <c r="AE141" i="49" s="1"/>
  <c r="V271" i="61"/>
  <c r="W64" i="62" s="1"/>
  <c r="W115" i="62" s="1"/>
  <c r="AC276" i="61"/>
  <c r="AD69" i="62" s="1"/>
  <c r="AD120" i="62" s="1"/>
  <c r="T281" i="61"/>
  <c r="U74" i="62" s="1"/>
  <c r="U125" i="62" s="1"/>
  <c r="AA141" i="49" s="1"/>
  <c r="U228" i="61"/>
  <c r="U288" i="61"/>
  <c r="Q293" i="61"/>
  <c r="X303" i="61"/>
  <c r="Y92" i="62" s="1"/>
  <c r="W297" i="61"/>
  <c r="X87" i="62" s="1"/>
  <c r="X138" i="62" s="1"/>
  <c r="O303" i="61"/>
  <c r="P92" i="62" s="1"/>
  <c r="V228" i="61"/>
  <c r="V289" i="61"/>
  <c r="N302" i="61"/>
  <c r="O91" i="62" s="1"/>
  <c r="N307" i="61"/>
  <c r="O96" i="62" s="1"/>
  <c r="O276" i="61"/>
  <c r="P69" i="62" s="1"/>
  <c r="P120" i="62" s="1"/>
  <c r="L302" i="61"/>
  <c r="M91" i="62" s="1"/>
  <c r="W286" i="61"/>
  <c r="X79" i="62" s="1"/>
  <c r="X130" i="62" s="1"/>
  <c r="AD145" i="49" s="1"/>
  <c r="U271" i="61"/>
  <c r="V64" i="62" s="1"/>
  <c r="V115" i="62" s="1"/>
  <c r="AD286" i="61"/>
  <c r="AE79" i="62" s="1"/>
  <c r="AE130" i="62" s="1"/>
  <c r="AK145" i="49" s="1"/>
  <c r="Z291" i="61"/>
  <c r="I302" i="61"/>
  <c r="V303" i="61"/>
  <c r="W92" i="62" s="1"/>
  <c r="U303" i="61"/>
  <c r="V92" i="62" s="1"/>
  <c r="W276" i="61"/>
  <c r="X69" i="62" s="1"/>
  <c r="X120" i="62" s="1"/>
  <c r="H286" i="61"/>
  <c r="I79" i="62" s="1"/>
  <c r="I130" i="62" s="1"/>
  <c r="O145" i="49" s="1"/>
  <c r="T302" i="61"/>
  <c r="L303" i="61"/>
  <c r="M92" i="62" s="1"/>
  <c r="S303" i="61"/>
  <c r="T92" i="62" s="1"/>
  <c r="U281" i="61"/>
  <c r="V74" i="62" s="1"/>
  <c r="V125" i="62" s="1"/>
  <c r="AB141" i="49" s="1"/>
  <c r="R271" i="61"/>
  <c r="S64" i="62" s="1"/>
  <c r="S115" i="62" s="1"/>
  <c r="N310" i="61"/>
  <c r="O99" i="62" s="1"/>
  <c r="J303" i="61"/>
  <c r="K92" i="62" s="1"/>
  <c r="O248" i="61"/>
  <c r="AG204" i="61"/>
  <c r="AG270" i="61" s="1"/>
  <c r="Y200" i="61"/>
  <c r="W206" i="61"/>
  <c r="Q211" i="61"/>
  <c r="Q268" i="61" s="1"/>
  <c r="R60" i="62" s="1"/>
  <c r="AE203" i="61"/>
  <c r="AE275" i="61" s="1"/>
  <c r="AF68" i="62" s="1"/>
  <c r="AF119" i="62" s="1"/>
  <c r="AC300" i="61"/>
  <c r="AD90" i="62" s="1"/>
  <c r="AD140" i="62" s="1"/>
  <c r="O297" i="61"/>
  <c r="P87" i="62" s="1"/>
  <c r="P138" i="62" s="1"/>
  <c r="AH211" i="61"/>
  <c r="AH268" i="61" s="1"/>
  <c r="AI60" i="62" s="1"/>
  <c r="N246" i="61"/>
  <c r="K248" i="61"/>
  <c r="J248" i="61"/>
  <c r="AG231" i="61"/>
  <c r="K205" i="61"/>
  <c r="AD307" i="61"/>
  <c r="AE96" i="62" s="1"/>
  <c r="AC248" i="61"/>
  <c r="Q225" i="61"/>
  <c r="I211" i="61"/>
  <c r="I268" i="61" s="1"/>
  <c r="J60" i="62" s="1"/>
  <c r="Y202" i="61"/>
  <c r="AF210" i="61"/>
  <c r="AF272" i="61" s="1"/>
  <c r="AG65" i="62" s="1"/>
  <c r="AG116" i="62" s="1"/>
  <c r="J205" i="61"/>
  <c r="AA307" i="61"/>
  <c r="T205" i="61"/>
  <c r="Y246" i="61"/>
  <c r="I297" i="61"/>
  <c r="AA310" i="61"/>
  <c r="AB99" i="62" s="1"/>
  <c r="AE201" i="61"/>
  <c r="AE269" i="61" s="1"/>
  <c r="AF61" i="62" s="1"/>
  <c r="AF112" i="62" s="1"/>
  <c r="J202" i="61"/>
  <c r="J276" i="61" s="1"/>
  <c r="K69" i="62" s="1"/>
  <c r="K120" i="62" s="1"/>
  <c r="AH307" i="61"/>
  <c r="AI96" i="62" s="1"/>
  <c r="R228" i="61"/>
  <c r="Q248" i="61"/>
  <c r="AF204" i="61"/>
  <c r="AF270" i="61" s="1"/>
  <c r="R225" i="61"/>
  <c r="AC211" i="61"/>
  <c r="AC268" i="61" s="1"/>
  <c r="AD60" i="62" s="1"/>
  <c r="O210" i="61"/>
  <c r="O272" i="61" s="1"/>
  <c r="P65" i="62" s="1"/>
  <c r="P116" i="62" s="1"/>
  <c r="Q207" i="61"/>
  <c r="Q273" i="61" s="1"/>
  <c r="R66" i="62" s="1"/>
  <c r="R117" i="62" s="1"/>
  <c r="AC297" i="61"/>
  <c r="AD87" i="62" s="1"/>
  <c r="AD138" i="62" s="1"/>
  <c r="AI210" i="61"/>
  <c r="AI272" i="61" s="1"/>
  <c r="AJ65" i="62" s="1"/>
  <c r="AJ116" i="62" s="1"/>
  <c r="N300" i="61"/>
  <c r="O90" i="62" s="1"/>
  <c r="O140" i="62" s="1"/>
  <c r="AG260" i="61"/>
  <c r="AG261" i="61" s="1"/>
  <c r="H235" i="61"/>
  <c r="H299" i="61" s="1"/>
  <c r="I89" i="62" s="1"/>
  <c r="I136" i="62" s="1"/>
  <c r="O243" i="61"/>
  <c r="O244" i="61" s="1"/>
  <c r="Q246" i="61"/>
  <c r="AC225" i="61"/>
  <c r="J243" i="61"/>
  <c r="J294" i="61" s="1"/>
  <c r="K84" i="62" s="1"/>
  <c r="K141" i="62" s="1"/>
  <c r="AC246" i="61"/>
  <c r="M248" i="61"/>
  <c r="W248" i="61"/>
  <c r="AA212" i="61"/>
  <c r="AB246" i="61"/>
  <c r="T248" i="61"/>
  <c r="P225" i="61"/>
  <c r="Y243" i="61"/>
  <c r="Y244" i="61" s="1"/>
  <c r="H243" i="61"/>
  <c r="H294" i="61" s="1"/>
  <c r="I84" i="62" s="1"/>
  <c r="I141" i="62" s="1"/>
  <c r="AE260" i="61"/>
  <c r="AE304" i="61" s="1"/>
  <c r="AF131" i="61"/>
  <c r="AF219" i="61" s="1"/>
  <c r="AF206" i="61"/>
  <c r="AD260" i="61"/>
  <c r="N175" i="61"/>
  <c r="N223" i="61" s="1"/>
  <c r="N282" i="61" s="1"/>
  <c r="O75" i="62" s="1"/>
  <c r="O126" i="62" s="1"/>
  <c r="U142" i="49" s="1"/>
  <c r="N210" i="61"/>
  <c r="N272" i="61" s="1"/>
  <c r="O65" i="62" s="1"/>
  <c r="O116" i="62" s="1"/>
  <c r="AE109" i="61"/>
  <c r="AE217" i="61" s="1"/>
  <c r="AE280" i="61" s="1"/>
  <c r="AE204" i="61"/>
  <c r="AE270" i="61" s="1"/>
  <c r="N65" i="61"/>
  <c r="N213" i="61" s="1"/>
  <c r="N200" i="61"/>
  <c r="W120" i="61"/>
  <c r="W218" i="61" s="1"/>
  <c r="W281" i="61" s="1"/>
  <c r="X74" i="62" s="1"/>
  <c r="X125" i="62" s="1"/>
  <c r="AD141" i="49" s="1"/>
  <c r="W205" i="61"/>
  <c r="AG76" i="61"/>
  <c r="AG214" i="61" s="1"/>
  <c r="AG279" i="61" s="1"/>
  <c r="AH71" i="62" s="1"/>
  <c r="AH122" i="62" s="1"/>
  <c r="AN137" i="49" s="1"/>
  <c r="AG201" i="61"/>
  <c r="AG269" i="61" s="1"/>
  <c r="AH61" i="62" s="1"/>
  <c r="AH112" i="62" s="1"/>
  <c r="AD120" i="61"/>
  <c r="AD218" i="61" s="1"/>
  <c r="AD281" i="61" s="1"/>
  <c r="AE74" i="62" s="1"/>
  <c r="AE125" i="62" s="1"/>
  <c r="AK141" i="49" s="1"/>
  <c r="AD205" i="61"/>
  <c r="I175" i="61"/>
  <c r="I223" i="61" s="1"/>
  <c r="I210" i="61"/>
  <c r="I272" i="61" s="1"/>
  <c r="J65" i="62" s="1"/>
  <c r="J116" i="62" s="1"/>
  <c r="S65" i="61"/>
  <c r="S213" i="61" s="1"/>
  <c r="S281" i="61" s="1"/>
  <c r="T74" i="62" s="1"/>
  <c r="T125" i="62" s="1"/>
  <c r="Z141" i="49" s="1"/>
  <c r="S200" i="61"/>
  <c r="S271" i="61" s="1"/>
  <c r="T64" i="62" s="1"/>
  <c r="T115" i="62" s="1"/>
  <c r="K109" i="61"/>
  <c r="K217" i="61" s="1"/>
  <c r="K280" i="61" s="1"/>
  <c r="K204" i="61"/>
  <c r="K270" i="61" s="1"/>
  <c r="N76" i="61"/>
  <c r="N214" i="61" s="1"/>
  <c r="N279" i="61" s="1"/>
  <c r="O71" i="62" s="1"/>
  <c r="O122" i="62" s="1"/>
  <c r="U137" i="49" s="1"/>
  <c r="N201" i="61"/>
  <c r="N269" i="61" s="1"/>
  <c r="O61" i="62" s="1"/>
  <c r="O112" i="62" s="1"/>
  <c r="M186" i="61"/>
  <c r="M224" i="61" s="1"/>
  <c r="M211" i="61"/>
  <c r="M268" i="61" s="1"/>
  <c r="N60" i="62" s="1"/>
  <c r="H98" i="61"/>
  <c r="H216" i="61" s="1"/>
  <c r="H285" i="61" s="1"/>
  <c r="I78" i="62" s="1"/>
  <c r="I129" i="62" s="1"/>
  <c r="O138" i="49" s="1"/>
  <c r="H203" i="61"/>
  <c r="H275" i="61" s="1"/>
  <c r="I68" i="62" s="1"/>
  <c r="I119" i="62" s="1"/>
  <c r="O131" i="61"/>
  <c r="O219" i="61" s="1"/>
  <c r="O206" i="61"/>
  <c r="K153" i="61"/>
  <c r="K221" i="61" s="1"/>
  <c r="K284" i="61" s="1"/>
  <c r="L77" i="62" s="1"/>
  <c r="L128" i="62" s="1"/>
  <c r="R144" i="49" s="1"/>
  <c r="K208" i="61"/>
  <c r="K274" i="61" s="1"/>
  <c r="L67" i="62" s="1"/>
  <c r="L118" i="62" s="1"/>
  <c r="S76" i="61"/>
  <c r="S214" i="61" s="1"/>
  <c r="S279" i="61" s="1"/>
  <c r="T71" i="62" s="1"/>
  <c r="T122" i="62" s="1"/>
  <c r="Z137" i="49" s="1"/>
  <c r="S201" i="61"/>
  <c r="S269" i="61" s="1"/>
  <c r="T61" i="62" s="1"/>
  <c r="T112" i="62" s="1"/>
  <c r="AG120" i="61"/>
  <c r="AG218" i="61" s="1"/>
  <c r="AG281" i="61" s="1"/>
  <c r="AH74" i="62" s="1"/>
  <c r="AH125" i="62" s="1"/>
  <c r="AN141" i="49" s="1"/>
  <c r="AG205" i="61"/>
  <c r="Y112" i="61"/>
  <c r="Y230" i="61" s="1"/>
  <c r="Y227" i="61"/>
  <c r="Y289" i="61" s="1"/>
  <c r="Z81" i="62" s="1"/>
  <c r="Z132" i="62" s="1"/>
  <c r="AE134" i="61"/>
  <c r="AE229" i="61" s="1"/>
  <c r="AE226" i="61"/>
  <c r="AE288" i="61" s="1"/>
  <c r="AF80" i="62" s="1"/>
  <c r="AD134" i="61"/>
  <c r="AD229" i="61" s="1"/>
  <c r="AD226" i="61"/>
  <c r="K112" i="61"/>
  <c r="K230" i="61" s="1"/>
  <c r="K292" i="61" s="1"/>
  <c r="L83" i="62" s="1"/>
  <c r="L134" i="62" s="1"/>
  <c r="R150" i="49" s="1"/>
  <c r="K227" i="61"/>
  <c r="K289" i="61" s="1"/>
  <c r="L81" i="62" s="1"/>
  <c r="L132" i="62" s="1"/>
  <c r="K260" i="61"/>
  <c r="K304" i="61" s="1"/>
  <c r="K142" i="61"/>
  <c r="K220" i="61" s="1"/>
  <c r="K283" i="61" s="1"/>
  <c r="L76" i="62" s="1"/>
  <c r="L127" i="62" s="1"/>
  <c r="R143" i="49" s="1"/>
  <c r="K207" i="61"/>
  <c r="K273" i="61" s="1"/>
  <c r="L66" i="62" s="1"/>
  <c r="L117" i="62" s="1"/>
  <c r="O109" i="61"/>
  <c r="O217" i="61" s="1"/>
  <c r="O280" i="61" s="1"/>
  <c r="O204" i="61"/>
  <c r="O270" i="61" s="1"/>
  <c r="AG186" i="61"/>
  <c r="AG224" i="61" s="1"/>
  <c r="AG278" i="61" s="1"/>
  <c r="AH70" i="62" s="1"/>
  <c r="AG211" i="61"/>
  <c r="AG268" i="61" s="1"/>
  <c r="AH60" i="62" s="1"/>
  <c r="O120" i="61"/>
  <c r="O218" i="61" s="1"/>
  <c r="O205" i="61"/>
  <c r="Y76" i="61"/>
  <c r="Y214" i="61" s="1"/>
  <c r="Y279" i="61" s="1"/>
  <c r="Z71" i="62" s="1"/>
  <c r="Z122" i="62" s="1"/>
  <c r="AF137" i="49" s="1"/>
  <c r="Y201" i="61"/>
  <c r="Y269" i="61" s="1"/>
  <c r="Z61" i="62" s="1"/>
  <c r="Z112" i="62" s="1"/>
  <c r="N120" i="61"/>
  <c r="N218" i="61" s="1"/>
  <c r="N205" i="61"/>
  <c r="AB142" i="61"/>
  <c r="AB220" i="61" s="1"/>
  <c r="AB283" i="61" s="1"/>
  <c r="AC76" i="62" s="1"/>
  <c r="AC127" i="62" s="1"/>
  <c r="AI143" i="49" s="1"/>
  <c r="AB207" i="61"/>
  <c r="K65" i="61"/>
  <c r="K213" i="61" s="1"/>
  <c r="K281" i="61" s="1"/>
  <c r="L74" i="62" s="1"/>
  <c r="L125" i="62" s="1"/>
  <c r="R141" i="49" s="1"/>
  <c r="K200" i="61"/>
  <c r="AG98" i="61"/>
  <c r="AG216" i="61" s="1"/>
  <c r="AG285" i="61" s="1"/>
  <c r="AH78" i="62" s="1"/>
  <c r="AH129" i="62" s="1"/>
  <c r="AN138" i="49" s="1"/>
  <c r="AG203" i="61"/>
  <c r="AG275" i="61" s="1"/>
  <c r="AH68" i="62" s="1"/>
  <c r="AH119" i="62" s="1"/>
  <c r="AH65" i="61"/>
  <c r="AH213" i="61" s="1"/>
  <c r="AH281" i="61" s="1"/>
  <c r="AI74" i="62" s="1"/>
  <c r="AI125" i="62" s="1"/>
  <c r="AO141" i="49" s="1"/>
  <c r="AH200" i="61"/>
  <c r="AH271" i="61" s="1"/>
  <c r="AI64" i="62" s="1"/>
  <c r="AI115" i="62" s="1"/>
  <c r="AH142" i="61"/>
  <c r="AH220" i="61" s="1"/>
  <c r="AH283" i="61" s="1"/>
  <c r="AI76" i="62" s="1"/>
  <c r="AI127" i="62" s="1"/>
  <c r="AO143" i="49" s="1"/>
  <c r="AH207" i="61"/>
  <c r="AH273" i="61" s="1"/>
  <c r="AI66" i="62" s="1"/>
  <c r="AI117" i="62" s="1"/>
  <c r="Z87" i="61"/>
  <c r="Z215" i="61" s="1"/>
  <c r="Z286" i="61" s="1"/>
  <c r="AA79" i="62" s="1"/>
  <c r="AA130" i="62" s="1"/>
  <c r="AG145" i="49" s="1"/>
  <c r="Z202" i="61"/>
  <c r="Z276" i="61" s="1"/>
  <c r="AA69" i="62" s="1"/>
  <c r="AA120" i="62" s="1"/>
  <c r="W98" i="61"/>
  <c r="W216" i="61" s="1"/>
  <c r="W285" i="61" s="1"/>
  <c r="X78" i="62" s="1"/>
  <c r="X129" i="62" s="1"/>
  <c r="AD138" i="49" s="1"/>
  <c r="W203" i="61"/>
  <c r="W275" i="61" s="1"/>
  <c r="X68" i="62" s="1"/>
  <c r="X119" i="62" s="1"/>
  <c r="Z120" i="61"/>
  <c r="Z218" i="61" s="1"/>
  <c r="Z281" i="61" s="1"/>
  <c r="AA74" i="62" s="1"/>
  <c r="AA125" i="62" s="1"/>
  <c r="AG141" i="49" s="1"/>
  <c r="Z205" i="61"/>
  <c r="T186" i="61"/>
  <c r="T224" i="61" s="1"/>
  <c r="T211" i="61"/>
  <c r="T268" i="61" s="1"/>
  <c r="U60" i="62" s="1"/>
  <c r="X142" i="61"/>
  <c r="X220" i="61" s="1"/>
  <c r="X207" i="61"/>
  <c r="X273" i="61" s="1"/>
  <c r="Y66" i="62" s="1"/>
  <c r="Y117" i="62" s="1"/>
  <c r="N226" i="61"/>
  <c r="N288" i="61" s="1"/>
  <c r="O80" i="62" s="1"/>
  <c r="N134" i="61"/>
  <c r="N229" i="61" s="1"/>
  <c r="J112" i="61"/>
  <c r="J230" i="61" s="1"/>
  <c r="J292" i="61" s="1"/>
  <c r="K83" i="62" s="1"/>
  <c r="K134" i="62" s="1"/>
  <c r="Q150" i="49" s="1"/>
  <c r="J227" i="61"/>
  <c r="J289" i="61" s="1"/>
  <c r="K81" i="62" s="1"/>
  <c r="K132" i="62" s="1"/>
  <c r="U225" i="61"/>
  <c r="AF235" i="61"/>
  <c r="AF299" i="61" s="1"/>
  <c r="AG89" i="62" s="1"/>
  <c r="AG136" i="62" s="1"/>
  <c r="AE243" i="61"/>
  <c r="AE294" i="61" s="1"/>
  <c r="K235" i="61"/>
  <c r="K299" i="61" s="1"/>
  <c r="L89" i="62" s="1"/>
  <c r="L136" i="62" s="1"/>
  <c r="O228" i="61"/>
  <c r="AD109" i="61"/>
  <c r="AD217" i="61" s="1"/>
  <c r="AD280" i="61" s="1"/>
  <c r="AD204" i="61"/>
  <c r="AD270" i="61" s="1"/>
  <c r="N208" i="61"/>
  <c r="N274" i="61" s="1"/>
  <c r="O67" i="62" s="1"/>
  <c r="O118" i="62" s="1"/>
  <c r="J207" i="61"/>
  <c r="J273" i="61" s="1"/>
  <c r="K66" i="62" s="1"/>
  <c r="K117" i="62" s="1"/>
  <c r="AH201" i="61"/>
  <c r="AH269" i="61" s="1"/>
  <c r="AI61" i="62" s="1"/>
  <c r="AI112" i="62" s="1"/>
  <c r="AD200" i="61"/>
  <c r="AF201" i="61"/>
  <c r="AF269" i="61" s="1"/>
  <c r="AG61" i="62" s="1"/>
  <c r="AG112" i="62" s="1"/>
  <c r="AC210" i="61"/>
  <c r="N203" i="61"/>
  <c r="N275" i="61" s="1"/>
  <c r="O68" i="62" s="1"/>
  <c r="O119" i="62" s="1"/>
  <c r="Z200" i="61"/>
  <c r="AC261" i="61"/>
  <c r="H227" i="61"/>
  <c r="X211" i="61"/>
  <c r="X268" i="61" s="1"/>
  <c r="Y60" i="62" s="1"/>
  <c r="H201" i="61"/>
  <c r="AF207" i="61"/>
  <c r="AF273" i="61" s="1"/>
  <c r="AG66" i="62" s="1"/>
  <c r="AG117" i="62" s="1"/>
  <c r="K202" i="61"/>
  <c r="K276" i="61" s="1"/>
  <c r="L69" i="62" s="1"/>
  <c r="L120" i="62" s="1"/>
  <c r="AE252" i="61"/>
  <c r="AE309" i="61" s="1"/>
  <c r="R211" i="61"/>
  <c r="R268" i="61" s="1"/>
  <c r="S60" i="62" s="1"/>
  <c r="M210" i="61"/>
  <c r="J208" i="61"/>
  <c r="J274" i="61" s="1"/>
  <c r="K67" i="62" s="1"/>
  <c r="K118" i="62" s="1"/>
  <c r="J206" i="61"/>
  <c r="L203" i="61"/>
  <c r="L275" i="61" s="1"/>
  <c r="M68" i="62" s="1"/>
  <c r="M119" i="62" s="1"/>
  <c r="AG210" i="61"/>
  <c r="AG272" i="61" s="1"/>
  <c r="AH65" i="62" s="1"/>
  <c r="AH116" i="62" s="1"/>
  <c r="I203" i="61"/>
  <c r="I275" i="61" s="1"/>
  <c r="J68" i="62" s="1"/>
  <c r="J119" i="62" s="1"/>
  <c r="Y205" i="61"/>
  <c r="J260" i="61"/>
  <c r="J304" i="61" s="1"/>
  <c r="N227" i="61"/>
  <c r="N289" i="61" s="1"/>
  <c r="O81" i="62" s="1"/>
  <c r="O132" i="62" s="1"/>
  <c r="AF211" i="61"/>
  <c r="AF268" i="61" s="1"/>
  <c r="AG60" i="62" s="1"/>
  <c r="AI203" i="61"/>
  <c r="AI275" i="61" s="1"/>
  <c r="AJ68" i="62" s="1"/>
  <c r="AJ119" i="62" s="1"/>
  <c r="AG209" i="61"/>
  <c r="Z208" i="61"/>
  <c r="Z274" i="61" s="1"/>
  <c r="AA67" i="62" s="1"/>
  <c r="AA118" i="62" s="1"/>
  <c r="AF200" i="61"/>
  <c r="Y208" i="61"/>
  <c r="Y274" i="61" s="1"/>
  <c r="Z67" i="62" s="1"/>
  <c r="Z118" i="62" s="1"/>
  <c r="I205" i="61"/>
  <c r="AG202" i="61"/>
  <c r="AG200" i="61"/>
  <c r="AH203" i="61"/>
  <c r="AH275" i="61" s="1"/>
  <c r="AI68" i="62" s="1"/>
  <c r="AI119" i="62" s="1"/>
  <c r="R207" i="61"/>
  <c r="H207" i="61"/>
  <c r="H273" i="61" s="1"/>
  <c r="I66" i="62" s="1"/>
  <c r="I117" i="62" s="1"/>
  <c r="AE211" i="61"/>
  <c r="AE268" i="61" s="1"/>
  <c r="AF60" i="62" s="1"/>
  <c r="W211" i="61"/>
  <c r="W268" i="61" s="1"/>
  <c r="X60" i="62" s="1"/>
  <c r="J235" i="61"/>
  <c r="J299" i="61" s="1"/>
  <c r="K89" i="62" s="1"/>
  <c r="K136" i="62" s="1"/>
  <c r="S202" i="61"/>
  <c r="S276" i="61" s="1"/>
  <c r="T69" i="62" s="1"/>
  <c r="T120" i="62" s="1"/>
  <c r="Y260" i="61"/>
  <c r="K206" i="61"/>
  <c r="O260" i="61"/>
  <c r="AE202" i="61"/>
  <c r="AE276" i="61" s="1"/>
  <c r="AF69" i="62" s="1"/>
  <c r="AF120" i="62" s="1"/>
  <c r="Y209" i="61"/>
  <c r="Y210" i="61"/>
  <c r="Y272" i="61" s="1"/>
  <c r="Z65" i="62" s="1"/>
  <c r="Z116" i="62" s="1"/>
  <c r="V203" i="61"/>
  <c r="AD201" i="61"/>
  <c r="AD269" i="61" s="1"/>
  <c r="AE61" i="62" s="1"/>
  <c r="AE112" i="62" s="1"/>
  <c r="J200" i="61"/>
  <c r="J204" i="61"/>
  <c r="J270" i="61" s="1"/>
  <c r="I206" i="61"/>
  <c r="L175" i="61"/>
  <c r="L223" i="61" s="1"/>
  <c r="L210" i="61"/>
  <c r="L272" i="61" s="1"/>
  <c r="M65" i="62" s="1"/>
  <c r="M116" i="62" s="1"/>
  <c r="H109" i="61"/>
  <c r="H217" i="61" s="1"/>
  <c r="H280" i="61" s="1"/>
  <c r="H204" i="61"/>
  <c r="H270" i="61" s="1"/>
  <c r="K252" i="61"/>
  <c r="K309" i="61" s="1"/>
  <c r="O203" i="61"/>
  <c r="O275" i="61" s="1"/>
  <c r="P68" i="62" s="1"/>
  <c r="P119" i="62" s="1"/>
  <c r="Z260" i="61"/>
  <c r="Z203" i="61"/>
  <c r="Z275" i="61" s="1"/>
  <c r="AA68" i="62" s="1"/>
  <c r="AA119" i="62" s="1"/>
  <c r="Z201" i="61"/>
  <c r="Z269" i="61" s="1"/>
  <c r="AA61" i="62" s="1"/>
  <c r="AA112" i="62" s="1"/>
  <c r="P203" i="61"/>
  <c r="H202" i="61"/>
  <c r="H276" i="61" s="1"/>
  <c r="I69" i="62" s="1"/>
  <c r="I120" i="62" s="1"/>
  <c r="X203" i="61"/>
  <c r="X275" i="61" s="1"/>
  <c r="Y68" i="62" s="1"/>
  <c r="Y119" i="62" s="1"/>
  <c r="N204" i="61"/>
  <c r="N270" i="61" s="1"/>
  <c r="Y207" i="61"/>
  <c r="Y273" i="61" s="1"/>
  <c r="Z66" i="62" s="1"/>
  <c r="Z117" i="62" s="1"/>
  <c r="Z204" i="61"/>
  <c r="Z270" i="61" s="1"/>
  <c r="AD203" i="61"/>
  <c r="AD275" i="61" s="1"/>
  <c r="AE68" i="62" s="1"/>
  <c r="AE119" i="62" s="1"/>
  <c r="AG227" i="61"/>
  <c r="W142" i="61"/>
  <c r="W220" i="61" s="1"/>
  <c r="W283" i="61" s="1"/>
  <c r="X76" i="62" s="1"/>
  <c r="X127" i="62" s="1"/>
  <c r="AD143" i="49" s="1"/>
  <c r="W207" i="61"/>
  <c r="W273" i="61" s="1"/>
  <c r="X66" i="62" s="1"/>
  <c r="X117" i="62" s="1"/>
  <c r="AE120" i="61"/>
  <c r="AE218" i="61" s="1"/>
  <c r="AE281" i="61" s="1"/>
  <c r="AF74" i="62" s="1"/>
  <c r="AF125" i="62" s="1"/>
  <c r="AL141" i="49" s="1"/>
  <c r="AE205" i="61"/>
  <c r="AE271" i="61" s="1"/>
  <c r="AF64" i="62" s="1"/>
  <c r="AF115" i="62" s="1"/>
  <c r="N87" i="61"/>
  <c r="N215" i="61" s="1"/>
  <c r="N286" i="61" s="1"/>
  <c r="O79" i="62" s="1"/>
  <c r="O130" i="62" s="1"/>
  <c r="U145" i="49" s="1"/>
  <c r="N202" i="61"/>
  <c r="N276" i="61" s="1"/>
  <c r="O69" i="62" s="1"/>
  <c r="O120" i="62" s="1"/>
  <c r="AI186" i="61"/>
  <c r="AI224" i="61" s="1"/>
  <c r="AI211" i="61"/>
  <c r="AI268" i="61" s="1"/>
  <c r="AJ60" i="62" s="1"/>
  <c r="Y226" i="61"/>
  <c r="Y288" i="61" s="1"/>
  <c r="J201" i="61"/>
  <c r="J269" i="61" s="1"/>
  <c r="K61" i="62" s="1"/>
  <c r="K112" i="62" s="1"/>
  <c r="H252" i="61"/>
  <c r="K210" i="61"/>
  <c r="K272" i="61" s="1"/>
  <c r="L65" i="62" s="1"/>
  <c r="L116" i="62" s="1"/>
  <c r="K201" i="61"/>
  <c r="K269" i="61" s="1"/>
  <c r="L61" i="62" s="1"/>
  <c r="L112" i="62" s="1"/>
  <c r="Q203" i="61"/>
  <c r="U203" i="61"/>
  <c r="Y204" i="61"/>
  <c r="Y270" i="61" s="1"/>
  <c r="T206" i="61"/>
  <c r="AE227" i="61"/>
  <c r="AE289" i="61" s="1"/>
  <c r="AF81" i="62" s="1"/>
  <c r="AF132" i="62" s="1"/>
  <c r="AD202" i="61"/>
  <c r="AD276" i="61" s="1"/>
  <c r="AE69" i="62" s="1"/>
  <c r="AE120" i="62" s="1"/>
  <c r="O201" i="61"/>
  <c r="O269" i="61" s="1"/>
  <c r="P61" i="62" s="1"/>
  <c r="P112" i="62" s="1"/>
  <c r="S207" i="61"/>
  <c r="S273" i="61" s="1"/>
  <c r="T66" i="62" s="1"/>
  <c r="T117" i="62" s="1"/>
  <c r="AF202" i="61"/>
  <c r="AF276" i="61" s="1"/>
  <c r="AG69" i="62" s="1"/>
  <c r="AG120" i="62" s="1"/>
  <c r="Y203" i="61"/>
  <c r="Y275" i="61" s="1"/>
  <c r="Z68" i="62" s="1"/>
  <c r="Z119" i="62" s="1"/>
  <c r="L207" i="61"/>
  <c r="L273" i="61" s="1"/>
  <c r="M66" i="62" s="1"/>
  <c r="M117" i="62" s="1"/>
  <c r="AG208" i="61"/>
  <c r="AG274" i="61" s="1"/>
  <c r="AH67" i="62" s="1"/>
  <c r="AH118" i="62" s="1"/>
  <c r="T207" i="61"/>
  <c r="T273" i="61" s="1"/>
  <c r="U66" i="62" s="1"/>
  <c r="U117" i="62" s="1"/>
  <c r="I244" i="61"/>
  <c r="AF188" i="61"/>
  <c r="AF189" i="61" s="1"/>
  <c r="K133" i="61"/>
  <c r="K100" i="61"/>
  <c r="K101" i="61" s="1"/>
  <c r="J133" i="61"/>
  <c r="J226" i="61" s="1"/>
  <c r="J122" i="61"/>
  <c r="J123" i="61" s="1"/>
  <c r="R244" i="61"/>
  <c r="AF261" i="61"/>
  <c r="H307" i="61"/>
  <c r="I96" i="62" s="1"/>
  <c r="J134" i="61"/>
  <c r="J229" i="61" s="1"/>
  <c r="AE178" i="61"/>
  <c r="J307" i="61"/>
  <c r="K96" i="62" s="1"/>
  <c r="H297" i="61"/>
  <c r="I87" i="62" s="1"/>
  <c r="I138" i="62" s="1"/>
  <c r="AF297" i="61"/>
  <c r="AG87" i="62" s="1"/>
  <c r="AG138" i="62" s="1"/>
  <c r="H174" i="61"/>
  <c r="K185" i="61"/>
  <c r="AF97" i="61"/>
  <c r="K97" i="61"/>
  <c r="Y185" i="61"/>
  <c r="J185" i="61"/>
  <c r="H185" i="61"/>
  <c r="AE141" i="61"/>
  <c r="Z141" i="61"/>
  <c r="H119" i="61"/>
  <c r="O141" i="61"/>
  <c r="AF119" i="61"/>
  <c r="AG141" i="61"/>
  <c r="N141" i="61"/>
  <c r="Z185" i="61"/>
  <c r="K297" i="61"/>
  <c r="L87" i="62" s="1"/>
  <c r="L138" i="62" s="1"/>
  <c r="O185" i="61"/>
  <c r="AD141" i="61"/>
  <c r="J97" i="61"/>
  <c r="N185" i="61"/>
  <c r="AH244" i="61"/>
  <c r="AH261" i="61"/>
  <c r="J297" i="61"/>
  <c r="K87" i="62" s="1"/>
  <c r="K138" i="62" s="1"/>
  <c r="AF307" i="61"/>
  <c r="AG301" i="61"/>
  <c r="AD145" i="61"/>
  <c r="H106" i="61"/>
  <c r="H145" i="61"/>
  <c r="R261" i="61"/>
  <c r="AF145" i="61"/>
  <c r="O194" i="61"/>
  <c r="K106" i="61"/>
  <c r="O150" i="61"/>
  <c r="H128" i="61"/>
  <c r="Y194" i="61"/>
  <c r="R310" i="61"/>
  <c r="O183" i="61"/>
  <c r="X301" i="61"/>
  <c r="I307" i="61"/>
  <c r="AD244" i="61"/>
  <c r="AF128" i="61"/>
  <c r="I261" i="61"/>
  <c r="V244" i="61"/>
  <c r="V261" i="61"/>
  <c r="AD183" i="61"/>
  <c r="T244" i="61"/>
  <c r="N244" i="61"/>
  <c r="U244" i="61"/>
  <c r="U261" i="61"/>
  <c r="AG150" i="61"/>
  <c r="N194" i="61"/>
  <c r="M261" i="61"/>
  <c r="L244" i="61"/>
  <c r="S244" i="61"/>
  <c r="M244" i="61"/>
  <c r="AA244" i="61"/>
  <c r="AA261" i="61"/>
  <c r="J106" i="61"/>
  <c r="P261" i="61"/>
  <c r="K307" i="61"/>
  <c r="L96" i="62" s="1"/>
  <c r="Z183" i="61"/>
  <c r="H194" i="61"/>
  <c r="AI261" i="61"/>
  <c r="K183" i="61"/>
  <c r="S301" i="61"/>
  <c r="AG244" i="61"/>
  <c r="S261" i="61"/>
  <c r="AB261" i="61"/>
  <c r="AG194" i="61"/>
  <c r="N261" i="61"/>
  <c r="X261" i="61"/>
  <c r="T261" i="61"/>
  <c r="AC244" i="61"/>
  <c r="X244" i="61"/>
  <c r="AB244" i="61"/>
  <c r="Q261" i="61"/>
  <c r="W244" i="61"/>
  <c r="AI244" i="61"/>
  <c r="L261" i="61"/>
  <c r="W261" i="61"/>
  <c r="Q244" i="61"/>
  <c r="P244" i="61"/>
  <c r="Z301" i="61"/>
  <c r="AG178" i="61"/>
  <c r="J145" i="61"/>
  <c r="O189" i="61"/>
  <c r="AE145" i="61"/>
  <c r="H150" i="61"/>
  <c r="J178" i="61"/>
  <c r="H123" i="61"/>
  <c r="J150" i="61"/>
  <c r="J128" i="61"/>
  <c r="N178" i="61"/>
  <c r="Y189" i="61"/>
  <c r="H134" i="61"/>
  <c r="H229" i="61" s="1"/>
  <c r="K128" i="61"/>
  <c r="Z145" i="61"/>
  <c r="J139" i="61"/>
  <c r="J101" i="61"/>
  <c r="Z244" i="61"/>
  <c r="AG183" i="61"/>
  <c r="AD189" i="61"/>
  <c r="AE183" i="61"/>
  <c r="AE194" i="61"/>
  <c r="K178" i="61"/>
  <c r="AD194" i="61"/>
  <c r="AD150" i="61"/>
  <c r="J189" i="61"/>
  <c r="H178" i="61"/>
  <c r="AE189" i="61"/>
  <c r="J194" i="61"/>
  <c r="N183" i="61"/>
  <c r="K189" i="61"/>
  <c r="K194" i="61"/>
  <c r="Y178" i="61"/>
  <c r="Z189" i="61"/>
  <c r="K139" i="61"/>
  <c r="Z150" i="61"/>
  <c r="N145" i="61"/>
  <c r="K150" i="61"/>
  <c r="Y150" i="61"/>
  <c r="Y145" i="61"/>
  <c r="AF183" i="61"/>
  <c r="O178" i="61"/>
  <c r="Z194" i="61"/>
  <c r="H139" i="61"/>
  <c r="AE106" i="61"/>
  <c r="AG145" i="61"/>
  <c r="Z178" i="61"/>
  <c r="AE101" i="61"/>
  <c r="J183" i="61"/>
  <c r="N150" i="61"/>
  <c r="AF194" i="61"/>
  <c r="N189" i="61"/>
  <c r="AF178" i="61"/>
  <c r="K123" i="61"/>
  <c r="AE150" i="61"/>
  <c r="AH79" i="61"/>
  <c r="AF150" i="61"/>
  <c r="H183" i="61"/>
  <c r="AG189" i="61"/>
  <c r="Y183" i="61"/>
  <c r="AF101" i="61"/>
  <c r="AF139" i="61"/>
  <c r="AF134" i="61"/>
  <c r="AF229" i="61" s="1"/>
  <c r="O145" i="61"/>
  <c r="AF106" i="61"/>
  <c r="AJ18" i="61"/>
  <c r="AK13" i="61" s="1"/>
  <c r="N134" i="62" l="1"/>
  <c r="T150" i="49" s="1"/>
  <c r="K9" i="50"/>
  <c r="AF7" i="50"/>
  <c r="U111" i="62"/>
  <c r="AH111" i="62"/>
  <c r="M131" i="62"/>
  <c r="O7" i="50"/>
  <c r="AD131" i="62"/>
  <c r="Y111" i="62"/>
  <c r="AI111" i="62"/>
  <c r="AG111" i="62"/>
  <c r="AH121" i="62"/>
  <c r="AN146" i="49" s="1"/>
  <c r="N111" i="62"/>
  <c r="K143" i="62"/>
  <c r="M142" i="62"/>
  <c r="Y143" i="62"/>
  <c r="R143" i="62"/>
  <c r="AC143" i="62"/>
  <c r="AD143" i="62"/>
  <c r="V143" i="62"/>
  <c r="U131" i="62"/>
  <c r="Y7" i="50"/>
  <c r="S111" i="62"/>
  <c r="AF131" i="62"/>
  <c r="W143" i="62"/>
  <c r="L143" i="62"/>
  <c r="Y131" i="62"/>
  <c r="S7" i="50"/>
  <c r="P7" i="50"/>
  <c r="N7" i="50"/>
  <c r="AC131" i="62"/>
  <c r="X111" i="62"/>
  <c r="R111" i="62"/>
  <c r="O142" i="62"/>
  <c r="Z142" i="62"/>
  <c r="AJ142" i="62"/>
  <c r="AB143" i="62"/>
  <c r="T7" i="50"/>
  <c r="AF111" i="62"/>
  <c r="O131" i="62"/>
  <c r="T143" i="62"/>
  <c r="Q143" i="62"/>
  <c r="Q142" i="62"/>
  <c r="P133" i="62"/>
  <c r="V149" i="49" s="1"/>
  <c r="M9" i="50"/>
  <c r="V9" i="50"/>
  <c r="Q7" i="50"/>
  <c r="AJ111" i="62"/>
  <c r="M143" i="62"/>
  <c r="Y142" i="62"/>
  <c r="AI143" i="62"/>
  <c r="Z7" i="50"/>
  <c r="AA7" i="50"/>
  <c r="AD111" i="62"/>
  <c r="J111" i="62"/>
  <c r="P143" i="62"/>
  <c r="AH142" i="62"/>
  <c r="AJ143" i="62"/>
  <c r="J143" i="62"/>
  <c r="AC111" i="62"/>
  <c r="U7" i="50"/>
  <c r="R301" i="61"/>
  <c r="AH311" i="61"/>
  <c r="Q311" i="61"/>
  <c r="T311" i="61"/>
  <c r="AA301" i="61"/>
  <c r="U311" i="61"/>
  <c r="L311" i="61"/>
  <c r="N301" i="61"/>
  <c r="V301" i="61"/>
  <c r="P301" i="61"/>
  <c r="M311" i="61"/>
  <c r="AD301" i="61"/>
  <c r="Q301" i="61"/>
  <c r="M301" i="61"/>
  <c r="S311" i="61"/>
  <c r="AI311" i="61"/>
  <c r="AB301" i="61"/>
  <c r="Z289" i="61"/>
  <c r="AA81" i="62" s="1"/>
  <c r="J261" i="61"/>
  <c r="W301" i="61"/>
  <c r="R144" i="62"/>
  <c r="X160" i="49" s="1"/>
  <c r="AC144" i="62"/>
  <c r="AI160" i="49" s="1"/>
  <c r="U144" i="62"/>
  <c r="AA160" i="49" s="1"/>
  <c r="AI301" i="61"/>
  <c r="AB311" i="61"/>
  <c r="P311" i="61"/>
  <c r="U301" i="61"/>
  <c r="AD144" i="62"/>
  <c r="AJ160" i="49" s="1"/>
  <c r="AI144" i="62"/>
  <c r="AO160" i="49" s="1"/>
  <c r="X311" i="61"/>
  <c r="T301" i="61"/>
  <c r="O271" i="61"/>
  <c r="P64" i="62" s="1"/>
  <c r="P115" i="62" s="1"/>
  <c r="Z231" i="61"/>
  <c r="M293" i="61"/>
  <c r="L301" i="61"/>
  <c r="M144" i="62"/>
  <c r="S160" i="49" s="1"/>
  <c r="Y144" i="62"/>
  <c r="AE160" i="49" s="1"/>
  <c r="AJ144" i="62"/>
  <c r="AP160" i="49" s="1"/>
  <c r="AC301" i="61"/>
  <c r="AH301" i="61"/>
  <c r="V144" i="62"/>
  <c r="AB160" i="49" s="1"/>
  <c r="Q144" i="62"/>
  <c r="W160" i="49" s="1"/>
  <c r="T144" i="62"/>
  <c r="Z160" i="49" s="1"/>
  <c r="O144" i="62"/>
  <c r="U160" i="49" s="1"/>
  <c r="N144" i="62"/>
  <c r="T160" i="49" s="1"/>
  <c r="AI290" i="61"/>
  <c r="AJ80" i="62"/>
  <c r="AE301" i="61"/>
  <c r="AF84" i="62"/>
  <c r="AF141" i="62" s="1"/>
  <c r="AF93" i="62"/>
  <c r="AF98" i="62"/>
  <c r="AI293" i="61"/>
  <c r="AJ82" i="62"/>
  <c r="AE244" i="61"/>
  <c r="AC311" i="61"/>
  <c r="AB293" i="61"/>
  <c r="AC82" i="62"/>
  <c r="AB96" i="62"/>
  <c r="AB144" i="62" s="1"/>
  <c r="AH160" i="49" s="1"/>
  <c r="AA311" i="61"/>
  <c r="AH293" i="61"/>
  <c r="AI82" i="62"/>
  <c r="W311" i="61"/>
  <c r="X96" i="62"/>
  <c r="W293" i="61"/>
  <c r="X82" i="62"/>
  <c r="W271" i="61"/>
  <c r="X64" i="62" s="1"/>
  <c r="X115" i="62" s="1"/>
  <c r="W290" i="61"/>
  <c r="X80" i="62"/>
  <c r="V311" i="61"/>
  <c r="W96" i="62"/>
  <c r="W144" i="62" s="1"/>
  <c r="AC160" i="49" s="1"/>
  <c r="U290" i="61"/>
  <c r="V80" i="62"/>
  <c r="U293" i="61"/>
  <c r="V82" i="62"/>
  <c r="T293" i="61"/>
  <c r="U82" i="62"/>
  <c r="R311" i="61"/>
  <c r="S99" i="62"/>
  <c r="S144" i="62" s="1"/>
  <c r="Y160" i="49" s="1"/>
  <c r="Q290" i="61"/>
  <c r="R80" i="62"/>
  <c r="Y290" i="61"/>
  <c r="Z80" i="62"/>
  <c r="Z293" i="61"/>
  <c r="AA82" i="62"/>
  <c r="AG276" i="61"/>
  <c r="AH69" i="62" s="1"/>
  <c r="AH120" i="62" s="1"/>
  <c r="N311" i="61"/>
  <c r="N271" i="61"/>
  <c r="O64" i="62" s="1"/>
  <c r="O115" i="62" s="1"/>
  <c r="N281" i="61"/>
  <c r="O74" i="62" s="1"/>
  <c r="O125" i="62" s="1"/>
  <c r="U141" i="49" s="1"/>
  <c r="L93" i="62"/>
  <c r="H269" i="61"/>
  <c r="I61" i="62" s="1"/>
  <c r="I112" i="62" s="1"/>
  <c r="I301" i="61"/>
  <c r="J87" i="62"/>
  <c r="J138" i="62" s="1"/>
  <c r="I311" i="61"/>
  <c r="J96" i="62"/>
  <c r="I290" i="61"/>
  <c r="J80" i="62"/>
  <c r="L98" i="62"/>
  <c r="K93" i="62"/>
  <c r="I293" i="61"/>
  <c r="J82" i="62"/>
  <c r="AF290" i="61"/>
  <c r="AG80" i="62"/>
  <c r="AF311" i="61"/>
  <c r="AG96" i="62"/>
  <c r="AG144" i="62" s="1"/>
  <c r="AM160" i="49" s="1"/>
  <c r="O281" i="61"/>
  <c r="P74" i="62" s="1"/>
  <c r="P125" i="62" s="1"/>
  <c r="V141" i="49" s="1"/>
  <c r="Y271" i="61"/>
  <c r="Z64" i="62" s="1"/>
  <c r="Z115" i="62" s="1"/>
  <c r="O293" i="61"/>
  <c r="Y276" i="61"/>
  <c r="Z69" i="62" s="1"/>
  <c r="Z120" i="62" s="1"/>
  <c r="AF72" i="62"/>
  <c r="AF73" i="62"/>
  <c r="AF124" i="62" s="1"/>
  <c r="AL140" i="49" s="1"/>
  <c r="L62" i="62"/>
  <c r="L113" i="62" s="1"/>
  <c r="R129" i="49" s="1"/>
  <c r="L63" i="62"/>
  <c r="L114" i="62" s="1"/>
  <c r="R130" i="49" s="1"/>
  <c r="AG62" i="62"/>
  <c r="AG113" i="62" s="1"/>
  <c r="AM129" i="49" s="1"/>
  <c r="AG63" i="62"/>
  <c r="AG114" i="62" s="1"/>
  <c r="AM130" i="49" s="1"/>
  <c r="X293" i="61"/>
  <c r="AI91" i="62"/>
  <c r="V290" i="61"/>
  <c r="W81" i="62"/>
  <c r="AA62" i="62"/>
  <c r="AA113" i="62" s="1"/>
  <c r="AG129" i="49" s="1"/>
  <c r="AA63" i="62"/>
  <c r="AA114" i="62" s="1"/>
  <c r="AG130" i="49" s="1"/>
  <c r="K62" i="62"/>
  <c r="K113" i="62" s="1"/>
  <c r="Q129" i="49" s="1"/>
  <c r="K63" i="62"/>
  <c r="K114" i="62" s="1"/>
  <c r="Q130" i="49" s="1"/>
  <c r="L73" i="62"/>
  <c r="L124" i="62" s="1"/>
  <c r="R140" i="49" s="1"/>
  <c r="L72" i="62"/>
  <c r="L123" i="62" s="1"/>
  <c r="R139" i="49" s="1"/>
  <c r="O231" i="61"/>
  <c r="N91" i="62"/>
  <c r="M290" i="61"/>
  <c r="O63" i="62"/>
  <c r="O114" i="62" s="1"/>
  <c r="U130" i="49" s="1"/>
  <c r="O62" i="62"/>
  <c r="O113" i="62" s="1"/>
  <c r="U129" i="49" s="1"/>
  <c r="AB225" i="61"/>
  <c r="J91" i="62"/>
  <c r="W91" i="62"/>
  <c r="T91" i="62"/>
  <c r="I62" i="62"/>
  <c r="I113" i="62" s="1"/>
  <c r="O129" i="49" s="1"/>
  <c r="I63" i="62"/>
  <c r="I114" i="62" s="1"/>
  <c r="O130" i="49" s="1"/>
  <c r="AE63" i="62"/>
  <c r="AE114" i="62" s="1"/>
  <c r="AK130" i="49" s="1"/>
  <c r="AE62" i="62"/>
  <c r="AE113" i="62" s="1"/>
  <c r="AK129" i="49" s="1"/>
  <c r="P290" i="61"/>
  <c r="X91" i="62"/>
  <c r="P91" i="62"/>
  <c r="K244" i="61"/>
  <c r="T212" i="61"/>
  <c r="I72" i="62"/>
  <c r="I123" i="62" s="1"/>
  <c r="O139" i="49" s="1"/>
  <c r="I73" i="62"/>
  <c r="I124" i="62" s="1"/>
  <c r="O140" i="49" s="1"/>
  <c r="AE72" i="62"/>
  <c r="AE73" i="62"/>
  <c r="AE124" i="62" s="1"/>
  <c r="AK140" i="49" s="1"/>
  <c r="Z271" i="61"/>
  <c r="AA64" i="62" s="1"/>
  <c r="AA115" i="62" s="1"/>
  <c r="P63" i="62"/>
  <c r="P114" i="62" s="1"/>
  <c r="V130" i="49" s="1"/>
  <c r="P62" i="62"/>
  <c r="P113" i="62" s="1"/>
  <c r="V129" i="49" s="1"/>
  <c r="V91" i="62"/>
  <c r="Z62" i="62"/>
  <c r="Z113" i="62" s="1"/>
  <c r="AF129" i="49" s="1"/>
  <c r="Z63" i="62"/>
  <c r="Z114" i="62" s="1"/>
  <c r="AF130" i="49" s="1"/>
  <c r="P72" i="62"/>
  <c r="P123" i="62" s="1"/>
  <c r="V139" i="49" s="1"/>
  <c r="P73" i="62"/>
  <c r="P124" i="62" s="1"/>
  <c r="V140" i="49" s="1"/>
  <c r="AF63" i="62"/>
  <c r="AF114" i="62" s="1"/>
  <c r="AL130" i="49" s="1"/>
  <c r="AF62" i="62"/>
  <c r="AF113" i="62" s="1"/>
  <c r="AL129" i="49" s="1"/>
  <c r="AH62" i="62"/>
  <c r="AH113" i="62" s="1"/>
  <c r="AN129" i="49" s="1"/>
  <c r="AH63" i="62"/>
  <c r="AH114" i="62" s="1"/>
  <c r="AN130" i="49" s="1"/>
  <c r="U91" i="62"/>
  <c r="AB91" i="62"/>
  <c r="H261" i="61"/>
  <c r="H309" i="61"/>
  <c r="H311" i="61" s="1"/>
  <c r="M212" i="61"/>
  <c r="M272" i="61"/>
  <c r="N65" i="62" s="1"/>
  <c r="N116" i="62" s="1"/>
  <c r="AB212" i="61"/>
  <c r="AB273" i="61"/>
  <c r="AC66" i="62" s="1"/>
  <c r="AC117" i="62" s="1"/>
  <c r="AG304" i="61"/>
  <c r="AF231" i="61"/>
  <c r="AF291" i="61"/>
  <c r="V212" i="61"/>
  <c r="V262" i="61" s="1"/>
  <c r="V275" i="61"/>
  <c r="W68" i="62" s="1"/>
  <c r="W119" i="62" s="1"/>
  <c r="I271" i="61"/>
  <c r="J64" i="62" s="1"/>
  <c r="J115" i="62" s="1"/>
  <c r="T225" i="61"/>
  <c r="T278" i="61"/>
  <c r="U70" i="62" s="1"/>
  <c r="AD228" i="61"/>
  <c r="AD288" i="61"/>
  <c r="T271" i="61"/>
  <c r="U64" i="62" s="1"/>
  <c r="U115" i="62" s="1"/>
  <c r="AG271" i="61"/>
  <c r="AH64" i="62" s="1"/>
  <c r="AH115" i="62" s="1"/>
  <c r="J228" i="61"/>
  <c r="J288" i="61"/>
  <c r="AD231" i="61"/>
  <c r="AD291" i="61"/>
  <c r="M225" i="61"/>
  <c r="M278" i="61"/>
  <c r="N70" i="62" s="1"/>
  <c r="I225" i="61"/>
  <c r="I282" i="61"/>
  <c r="J75" i="62" s="1"/>
  <c r="J126" i="62" s="1"/>
  <c r="P142" i="49" s="1"/>
  <c r="K271" i="61"/>
  <c r="L64" i="62" s="1"/>
  <c r="L115" i="62" s="1"/>
  <c r="Y304" i="61"/>
  <c r="H228" i="61"/>
  <c r="H289" i="61"/>
  <c r="AD304" i="61"/>
  <c r="AF244" i="61"/>
  <c r="P212" i="61"/>
  <c r="P262" i="61" s="1"/>
  <c r="P275" i="61"/>
  <c r="Q68" i="62" s="1"/>
  <c r="Q119" i="62" s="1"/>
  <c r="AC212" i="61"/>
  <c r="AC262" i="61" s="1"/>
  <c r="AC272" i="61"/>
  <c r="AD65" i="62" s="1"/>
  <c r="AD116" i="62" s="1"/>
  <c r="AE290" i="61"/>
  <c r="AD271" i="61"/>
  <c r="AE64" i="62" s="1"/>
  <c r="AE115" i="62" s="1"/>
  <c r="J271" i="61"/>
  <c r="K64" i="62" s="1"/>
  <c r="K115" i="62" s="1"/>
  <c r="AI225" i="61"/>
  <c r="AI278" i="61"/>
  <c r="AJ70" i="62" s="1"/>
  <c r="L225" i="61"/>
  <c r="L282" i="61"/>
  <c r="M75" i="62" s="1"/>
  <c r="M126" i="62" s="1"/>
  <c r="S142" i="49" s="1"/>
  <c r="N231" i="61"/>
  <c r="N291" i="61"/>
  <c r="AE231" i="61"/>
  <c r="AE291" i="61"/>
  <c r="Y294" i="61"/>
  <c r="X225" i="61"/>
  <c r="X283" i="61"/>
  <c r="Y76" i="62" s="1"/>
  <c r="Y261" i="61"/>
  <c r="J231" i="61"/>
  <c r="J291" i="61"/>
  <c r="U212" i="61"/>
  <c r="U262" i="61" s="1"/>
  <c r="U275" i="61"/>
  <c r="V68" i="62" s="1"/>
  <c r="V119" i="62" s="1"/>
  <c r="AG228" i="61"/>
  <c r="AG289" i="61"/>
  <c r="H231" i="61"/>
  <c r="H291" i="61"/>
  <c r="AD261" i="61"/>
  <c r="Q212" i="61"/>
  <c r="Q262" i="61" s="1"/>
  <c r="Q275" i="61"/>
  <c r="R68" i="62" s="1"/>
  <c r="R119" i="62" s="1"/>
  <c r="O304" i="61"/>
  <c r="R212" i="61"/>
  <c r="R262" i="61" s="1"/>
  <c r="R273" i="61"/>
  <c r="S66" i="62" s="1"/>
  <c r="S117" i="62" s="1"/>
  <c r="N290" i="61"/>
  <c r="Z304" i="61"/>
  <c r="Y231" i="61"/>
  <c r="Y292" i="61"/>
  <c r="O294" i="61"/>
  <c r="P84" i="62" s="1"/>
  <c r="P141" i="62" s="1"/>
  <c r="W212" i="61"/>
  <c r="X212" i="61"/>
  <c r="N228" i="61"/>
  <c r="J244" i="61"/>
  <c r="AI212" i="61"/>
  <c r="K261" i="61"/>
  <c r="AH225" i="61"/>
  <c r="AE311" i="61"/>
  <c r="H244" i="61"/>
  <c r="O261" i="61"/>
  <c r="J301" i="61"/>
  <c r="AD142" i="61"/>
  <c r="AD220" i="61" s="1"/>
  <c r="AD207" i="61"/>
  <c r="O142" i="61"/>
  <c r="O220" i="61" s="1"/>
  <c r="O283" i="61" s="1"/>
  <c r="P76" i="62" s="1"/>
  <c r="P127" i="62" s="1"/>
  <c r="V143" i="49" s="1"/>
  <c r="O207" i="61"/>
  <c r="O273" i="61" s="1"/>
  <c r="P66" i="62" s="1"/>
  <c r="P117" i="62" s="1"/>
  <c r="Y186" i="61"/>
  <c r="Y224" i="61" s="1"/>
  <c r="Y211" i="61"/>
  <c r="J311" i="61"/>
  <c r="L212" i="61"/>
  <c r="H301" i="61"/>
  <c r="AF120" i="61"/>
  <c r="AF218" i="61" s="1"/>
  <c r="AF281" i="61" s="1"/>
  <c r="AG74" i="62" s="1"/>
  <c r="AG125" i="62" s="1"/>
  <c r="AM141" i="49" s="1"/>
  <c r="AF205" i="61"/>
  <c r="AF271" i="61" s="1"/>
  <c r="AG64" i="62" s="1"/>
  <c r="AG115" i="62" s="1"/>
  <c r="J186" i="61"/>
  <c r="J224" i="61" s="1"/>
  <c r="J278" i="61" s="1"/>
  <c r="K70" i="62" s="1"/>
  <c r="J211" i="61"/>
  <c r="J268" i="61" s="1"/>
  <c r="K60" i="62" s="1"/>
  <c r="O186" i="61"/>
  <c r="O224" i="61" s="1"/>
  <c r="O278" i="61" s="1"/>
  <c r="P70" i="62" s="1"/>
  <c r="O211" i="61"/>
  <c r="K98" i="61"/>
  <c r="K216" i="61" s="1"/>
  <c r="K285" i="61" s="1"/>
  <c r="L78" i="62" s="1"/>
  <c r="L129" i="62" s="1"/>
  <c r="R138" i="49" s="1"/>
  <c r="K203" i="61"/>
  <c r="AH212" i="61"/>
  <c r="S212" i="61"/>
  <c r="S225" i="61"/>
  <c r="H120" i="61"/>
  <c r="H218" i="61" s="1"/>
  <c r="H281" i="61" s="1"/>
  <c r="I74" i="62" s="1"/>
  <c r="I125" i="62" s="1"/>
  <c r="O141" i="49" s="1"/>
  <c r="H205" i="61"/>
  <c r="H271" i="61" s="1"/>
  <c r="I64" i="62" s="1"/>
  <c r="I115" i="62" s="1"/>
  <c r="Z261" i="61"/>
  <c r="AE261" i="61"/>
  <c r="K301" i="61"/>
  <c r="K186" i="61"/>
  <c r="K224" i="61" s="1"/>
  <c r="K278" i="61" s="1"/>
  <c r="L70" i="62" s="1"/>
  <c r="K211" i="61"/>
  <c r="K268" i="61" s="1"/>
  <c r="L60" i="62" s="1"/>
  <c r="Y228" i="61"/>
  <c r="K311" i="61"/>
  <c r="J98" i="61"/>
  <c r="J216" i="61" s="1"/>
  <c r="J203" i="61"/>
  <c r="J275" i="61" s="1"/>
  <c r="K68" i="62" s="1"/>
  <c r="K119" i="62" s="1"/>
  <c r="AF98" i="61"/>
  <c r="AF216" i="61" s="1"/>
  <c r="AF203" i="61"/>
  <c r="AF275" i="61" s="1"/>
  <c r="AG68" i="62" s="1"/>
  <c r="AG119" i="62" s="1"/>
  <c r="Z186" i="61"/>
  <c r="Z224" i="61" s="1"/>
  <c r="Z278" i="61" s="1"/>
  <c r="AA70" i="62" s="1"/>
  <c r="Z211" i="61"/>
  <c r="Z268" i="61" s="1"/>
  <c r="AA60" i="62" s="1"/>
  <c r="Z142" i="61"/>
  <c r="Z220" i="61" s="1"/>
  <c r="Z283" i="61" s="1"/>
  <c r="AA76" i="62" s="1"/>
  <c r="AA127" i="62" s="1"/>
  <c r="AG143" i="49" s="1"/>
  <c r="Z207" i="61"/>
  <c r="W225" i="61"/>
  <c r="K134" i="61"/>
  <c r="K229" i="61" s="1"/>
  <c r="K226" i="61"/>
  <c r="N142" i="61"/>
  <c r="N220" i="61" s="1"/>
  <c r="N283" i="61" s="1"/>
  <c r="O76" i="62" s="1"/>
  <c r="O127" i="62" s="1"/>
  <c r="U143" i="49" s="1"/>
  <c r="N207" i="61"/>
  <c r="N273" i="61" s="1"/>
  <c r="O66" i="62" s="1"/>
  <c r="O117" i="62" s="1"/>
  <c r="AE142" i="61"/>
  <c r="AE220" i="61" s="1"/>
  <c r="AE207" i="61"/>
  <c r="H175" i="61"/>
  <c r="H223" i="61" s="1"/>
  <c r="H282" i="61" s="1"/>
  <c r="I75" i="62" s="1"/>
  <c r="I126" i="62" s="1"/>
  <c r="O142" i="49" s="1"/>
  <c r="H210" i="61"/>
  <c r="AF301" i="61"/>
  <c r="AE228" i="61"/>
  <c r="N186" i="61"/>
  <c r="N224" i="61" s="1"/>
  <c r="N278" i="61" s="1"/>
  <c r="O70" i="62" s="1"/>
  <c r="N211" i="61"/>
  <c r="N268" i="61" s="1"/>
  <c r="O60" i="62" s="1"/>
  <c r="AG142" i="61"/>
  <c r="AG220" i="61" s="1"/>
  <c r="AG207" i="61"/>
  <c r="H186" i="61"/>
  <c r="H224" i="61" s="1"/>
  <c r="H278" i="61" s="1"/>
  <c r="I70" i="62" s="1"/>
  <c r="H211" i="61"/>
  <c r="H268" i="61" s="1"/>
  <c r="I60" i="62" s="1"/>
  <c r="I212" i="61"/>
  <c r="AA262" i="61"/>
  <c r="L277" i="61"/>
  <c r="AK10" i="61"/>
  <c r="AG79" i="61"/>
  <c r="AG84" i="61"/>
  <c r="AK12" i="61"/>
  <c r="AK6" i="61"/>
  <c r="AK15" i="61"/>
  <c r="AK14" i="61"/>
  <c r="AK17" i="61"/>
  <c r="AK11" i="61"/>
  <c r="AK8" i="61"/>
  <c r="AK16" i="61"/>
  <c r="AK7" i="61"/>
  <c r="AK9" i="61"/>
  <c r="B38" i="47"/>
  <c r="J144" i="62" l="1"/>
  <c r="P160" i="49" s="1"/>
  <c r="O111" i="62"/>
  <c r="AA121" i="62"/>
  <c r="AG146" i="49" s="1"/>
  <c r="X7" i="50"/>
  <c r="L121" i="62"/>
  <c r="R146" i="49" s="1"/>
  <c r="I7" i="50"/>
  <c r="X142" i="62"/>
  <c r="J142" i="62"/>
  <c r="AA133" i="62"/>
  <c r="AG149" i="49" s="1"/>
  <c r="X9" i="50"/>
  <c r="AI133" i="62"/>
  <c r="AO149" i="49" s="1"/>
  <c r="AF9" i="50"/>
  <c r="L111" i="62"/>
  <c r="O121" i="62"/>
  <c r="U146" i="49" s="1"/>
  <c r="L7" i="50"/>
  <c r="Y127" i="62"/>
  <c r="AE143" i="49" s="1"/>
  <c r="V7" i="50"/>
  <c r="K144" i="62"/>
  <c r="Q160" i="49" s="1"/>
  <c r="V133" i="62"/>
  <c r="AB149" i="49" s="1"/>
  <c r="S9" i="50"/>
  <c r="X131" i="62"/>
  <c r="AA132" i="62"/>
  <c r="J7" i="50"/>
  <c r="Z131" i="62"/>
  <c r="AJ133" i="62"/>
  <c r="AP149" i="49" s="1"/>
  <c r="AG9" i="50"/>
  <c r="AJ131" i="62"/>
  <c r="G7" i="50"/>
  <c r="AA111" i="62"/>
  <c r="W142" i="62"/>
  <c r="J133" i="62"/>
  <c r="P149" i="49" s="1"/>
  <c r="G9" i="50"/>
  <c r="AB142" i="62"/>
  <c r="J131" i="62"/>
  <c r="V131" i="62"/>
  <c r="X133" i="62"/>
  <c r="AD149" i="49" s="1"/>
  <c r="U9" i="50"/>
  <c r="AC133" i="62"/>
  <c r="AI149" i="49" s="1"/>
  <c r="Z9" i="50"/>
  <c r="P142" i="62"/>
  <c r="AI142" i="62"/>
  <c r="AE123" i="62"/>
  <c r="AK139" i="49" s="1"/>
  <c r="N121" i="62"/>
  <c r="T146" i="49" s="1"/>
  <c r="K7" i="50"/>
  <c r="I111" i="62"/>
  <c r="P121" i="62"/>
  <c r="V146" i="49" s="1"/>
  <c r="M7" i="50"/>
  <c r="U142" i="62"/>
  <c r="I121" i="62"/>
  <c r="O146" i="49" s="1"/>
  <c r="F7" i="50"/>
  <c r="V142" i="62"/>
  <c r="N142" i="62"/>
  <c r="W132" i="62"/>
  <c r="AG131" i="62"/>
  <c r="U133" i="62"/>
  <c r="AA149" i="49" s="1"/>
  <c r="R9" i="50"/>
  <c r="X144" i="62"/>
  <c r="AD160" i="49" s="1"/>
  <c r="AJ121" i="62"/>
  <c r="AP146" i="49" s="1"/>
  <c r="AG7" i="50"/>
  <c r="K111" i="62"/>
  <c r="U121" i="62"/>
  <c r="AA146" i="49" s="1"/>
  <c r="R7" i="50"/>
  <c r="K121" i="62"/>
  <c r="Q146" i="49" s="1"/>
  <c r="T142" i="62"/>
  <c r="AF123" i="62"/>
  <c r="AL139" i="49" s="1"/>
  <c r="R131" i="62"/>
  <c r="M262" i="61"/>
  <c r="I262" i="61"/>
  <c r="Z290" i="61"/>
  <c r="AH262" i="61"/>
  <c r="L262" i="61"/>
  <c r="AB262" i="61"/>
  <c r="X262" i="61"/>
  <c r="O301" i="61"/>
  <c r="P277" i="61"/>
  <c r="AI262" i="61"/>
  <c r="AF144" i="62"/>
  <c r="AL160" i="49" s="1"/>
  <c r="AE293" i="61"/>
  <c r="AF82" i="62"/>
  <c r="AD311" i="61"/>
  <c r="AE93" i="62"/>
  <c r="AD290" i="61"/>
  <c r="AE80" i="62"/>
  <c r="AD293" i="61"/>
  <c r="AE82" i="62"/>
  <c r="T262" i="61"/>
  <c r="N293" i="61"/>
  <c r="O82" i="62"/>
  <c r="Y311" i="61"/>
  <c r="Z93" i="62"/>
  <c r="Z311" i="61"/>
  <c r="AA93" i="62"/>
  <c r="Y301" i="61"/>
  <c r="Z84" i="62"/>
  <c r="Z141" i="62" s="1"/>
  <c r="O311" i="61"/>
  <c r="P93" i="62"/>
  <c r="AG311" i="61"/>
  <c r="AH93" i="62"/>
  <c r="K225" i="61"/>
  <c r="J293" i="61"/>
  <c r="K82" i="62"/>
  <c r="J290" i="61"/>
  <c r="K80" i="62"/>
  <c r="H212" i="61"/>
  <c r="H293" i="61"/>
  <c r="I82" i="62"/>
  <c r="AF293" i="61"/>
  <c r="AG82" i="62"/>
  <c r="L144" i="62"/>
  <c r="R160" i="49" s="1"/>
  <c r="I98" i="62"/>
  <c r="AF212" i="61"/>
  <c r="AG290" i="61"/>
  <c r="AH81" i="62"/>
  <c r="Y293" i="61"/>
  <c r="Z83" i="62"/>
  <c r="H290" i="61"/>
  <c r="I81" i="62"/>
  <c r="W262" i="61"/>
  <c r="J212" i="61"/>
  <c r="J225" i="61"/>
  <c r="J285" i="61"/>
  <c r="K78" i="62" s="1"/>
  <c r="K129" i="62" s="1"/>
  <c r="Q138" i="49" s="1"/>
  <c r="AG212" i="61"/>
  <c r="AG273" i="61"/>
  <c r="AH66" i="62" s="1"/>
  <c r="AH117" i="62" s="1"/>
  <c r="AE212" i="61"/>
  <c r="AE273" i="61"/>
  <c r="AF66" i="62" s="1"/>
  <c r="AF117" i="62" s="1"/>
  <c r="Z212" i="61"/>
  <c r="Z273" i="61"/>
  <c r="AA66" i="62" s="1"/>
  <c r="AA117" i="62" s="1"/>
  <c r="Y212" i="61"/>
  <c r="Y268" i="61"/>
  <c r="Z60" i="62" s="1"/>
  <c r="AG225" i="61"/>
  <c r="AG283" i="61"/>
  <c r="AH76" i="62" s="1"/>
  <c r="AE225" i="61"/>
  <c r="AE283" i="61"/>
  <c r="AF76" i="62" s="1"/>
  <c r="AF127" i="62" s="1"/>
  <c r="AL143" i="49" s="1"/>
  <c r="Y225" i="61"/>
  <c r="Y278" i="61"/>
  <c r="Z70" i="62" s="1"/>
  <c r="K228" i="61"/>
  <c r="K288" i="61"/>
  <c r="K212" i="61"/>
  <c r="K275" i="61"/>
  <c r="L68" i="62" s="1"/>
  <c r="L119" i="62" s="1"/>
  <c r="AD212" i="61"/>
  <c r="AD273" i="61"/>
  <c r="AE66" i="62" s="1"/>
  <c r="AE117" i="62" s="1"/>
  <c r="AF225" i="61"/>
  <c r="AF285" i="61"/>
  <c r="AG78" i="62" s="1"/>
  <c r="AG129" i="62" s="1"/>
  <c r="AM138" i="49" s="1"/>
  <c r="AD225" i="61"/>
  <c r="AD283" i="61"/>
  <c r="AE76" i="62" s="1"/>
  <c r="AE127" i="62" s="1"/>
  <c r="AK143" i="49" s="1"/>
  <c r="K231" i="61"/>
  <c r="K291" i="61"/>
  <c r="H272" i="61"/>
  <c r="O212" i="61"/>
  <c r="O268" i="61"/>
  <c r="P60" i="62" s="1"/>
  <c r="N212" i="61"/>
  <c r="O225" i="61"/>
  <c r="N225" i="61"/>
  <c r="H225" i="61"/>
  <c r="Z225" i="61"/>
  <c r="S262" i="61"/>
  <c r="L287" i="61"/>
  <c r="L313" i="61" s="1"/>
  <c r="Q277" i="61"/>
  <c r="S277" i="61"/>
  <c r="P287" i="61"/>
  <c r="N277" i="61"/>
  <c r="AK18" i="61"/>
  <c r="I277" i="61"/>
  <c r="M277" i="61"/>
  <c r="M287" i="61"/>
  <c r="AF79" i="61"/>
  <c r="AF84" i="61"/>
  <c r="I191" i="49"/>
  <c r="D65" i="56"/>
  <c r="E65" i="56" s="1"/>
  <c r="D17" i="56"/>
  <c r="D18" i="56"/>
  <c r="D19" i="56"/>
  <c r="E19" i="56" s="1"/>
  <c r="O68" i="10" s="1"/>
  <c r="D20" i="56"/>
  <c r="D21" i="56"/>
  <c r="D22" i="56"/>
  <c r="D16" i="56"/>
  <c r="D321" i="56" s="1"/>
  <c r="C14" i="10"/>
  <c r="D14" i="10"/>
  <c r="C15" i="10"/>
  <c r="D15" i="10"/>
  <c r="B176" i="49"/>
  <c r="B177" i="49"/>
  <c r="B178" i="49"/>
  <c r="B179" i="49"/>
  <c r="B180" i="49"/>
  <c r="B181" i="49"/>
  <c r="B182" i="49"/>
  <c r="B183" i="49"/>
  <c r="B184" i="49"/>
  <c r="B185" i="49"/>
  <c r="B175" i="49"/>
  <c r="D25" i="56"/>
  <c r="D330" i="56" s="1"/>
  <c r="C25" i="56"/>
  <c r="C330" i="56" s="1"/>
  <c r="D24" i="56"/>
  <c r="D329" i="56" s="1"/>
  <c r="C24" i="56"/>
  <c r="C329" i="56" s="1"/>
  <c r="D23" i="56"/>
  <c r="D328" i="56" s="1"/>
  <c r="C23" i="56"/>
  <c r="I25" i="56"/>
  <c r="H25" i="56"/>
  <c r="I24" i="56"/>
  <c r="H24" i="56"/>
  <c r="H23" i="56"/>
  <c r="I23" i="56"/>
  <c r="I30" i="56"/>
  <c r="H30" i="56"/>
  <c r="I28" i="56"/>
  <c r="H28" i="56"/>
  <c r="I27" i="56"/>
  <c r="H27" i="56"/>
  <c r="I26" i="56"/>
  <c r="H26" i="56"/>
  <c r="I22" i="56"/>
  <c r="H22" i="56"/>
  <c r="I21" i="56"/>
  <c r="H21" i="56"/>
  <c r="I20" i="56"/>
  <c r="H20" i="56"/>
  <c r="I19" i="56"/>
  <c r="H19" i="56"/>
  <c r="I18" i="56"/>
  <c r="H18" i="56"/>
  <c r="I17" i="56"/>
  <c r="H17" i="56"/>
  <c r="I16" i="56"/>
  <c r="H16" i="56"/>
  <c r="I15" i="56"/>
  <c r="H15" i="56"/>
  <c r="I14" i="56"/>
  <c r="H14" i="56"/>
  <c r="I13" i="56"/>
  <c r="H13" i="56"/>
  <c r="I12" i="56"/>
  <c r="H12" i="56"/>
  <c r="I11" i="56"/>
  <c r="H11" i="56"/>
  <c r="I10" i="56"/>
  <c r="H10" i="56"/>
  <c r="I9" i="56"/>
  <c r="H9" i="56"/>
  <c r="I8" i="56"/>
  <c r="H8" i="56"/>
  <c r="I7" i="56"/>
  <c r="H7" i="56"/>
  <c r="I6" i="56"/>
  <c r="H6" i="56"/>
  <c r="G15" i="49"/>
  <c r="F15" i="49"/>
  <c r="G12" i="49"/>
  <c r="F12" i="49"/>
  <c r="G11" i="49"/>
  <c r="F11" i="49"/>
  <c r="G13" i="49"/>
  <c r="F13" i="49"/>
  <c r="G14" i="49"/>
  <c r="F14" i="49"/>
  <c r="G10" i="49"/>
  <c r="F10" i="49"/>
  <c r="G8" i="49"/>
  <c r="F8" i="49"/>
  <c r="G9" i="49"/>
  <c r="F9" i="49"/>
  <c r="G7" i="49"/>
  <c r="F7" i="49"/>
  <c r="G6" i="49"/>
  <c r="F6" i="49"/>
  <c r="G379" i="56"/>
  <c r="F379" i="56"/>
  <c r="G378" i="56"/>
  <c r="F378" i="56"/>
  <c r="G377" i="56"/>
  <c r="F377" i="56"/>
  <c r="G373" i="56"/>
  <c r="F373" i="56"/>
  <c r="G371" i="56"/>
  <c r="F371" i="56"/>
  <c r="G370" i="56"/>
  <c r="F370" i="56"/>
  <c r="G369" i="56"/>
  <c r="F369" i="56"/>
  <c r="G365" i="56"/>
  <c r="F365" i="56"/>
  <c r="G364" i="56"/>
  <c r="F364" i="56"/>
  <c r="G363" i="56"/>
  <c r="F363" i="56"/>
  <c r="G335" i="56"/>
  <c r="F335" i="56"/>
  <c r="G333" i="56"/>
  <c r="F333" i="56"/>
  <c r="G332" i="56"/>
  <c r="F332" i="56"/>
  <c r="G331" i="56"/>
  <c r="F331" i="56"/>
  <c r="G330" i="56"/>
  <c r="F330" i="56"/>
  <c r="G329" i="56"/>
  <c r="F329" i="56"/>
  <c r="G328" i="56"/>
  <c r="F328" i="56"/>
  <c r="G327" i="56"/>
  <c r="F327" i="56"/>
  <c r="G326" i="56"/>
  <c r="F326" i="56"/>
  <c r="G325" i="56"/>
  <c r="F325" i="56"/>
  <c r="G324" i="56"/>
  <c r="F324" i="56"/>
  <c r="G323" i="56"/>
  <c r="F323" i="56"/>
  <c r="G322" i="56"/>
  <c r="F322" i="56"/>
  <c r="G321" i="56"/>
  <c r="F321" i="56"/>
  <c r="G320" i="56"/>
  <c r="F320" i="56"/>
  <c r="G319" i="56"/>
  <c r="F319" i="56"/>
  <c r="G318" i="56"/>
  <c r="F318" i="56"/>
  <c r="G317" i="56"/>
  <c r="F317" i="56"/>
  <c r="G316" i="56"/>
  <c r="F316" i="56"/>
  <c r="G315" i="56"/>
  <c r="F315" i="56"/>
  <c r="G314" i="56"/>
  <c r="F314" i="56"/>
  <c r="G313" i="56"/>
  <c r="F313" i="56"/>
  <c r="G312" i="56"/>
  <c r="F312" i="56"/>
  <c r="G311" i="56"/>
  <c r="F311" i="56"/>
  <c r="N120" i="10"/>
  <c r="O118" i="10"/>
  <c r="E42" i="17"/>
  <c r="E41" i="17"/>
  <c r="E26" i="17"/>
  <c r="E23" i="17"/>
  <c r="D397" i="56"/>
  <c r="M397" i="56" s="1"/>
  <c r="D396" i="56"/>
  <c r="M396" i="56" s="1"/>
  <c r="D68" i="56"/>
  <c r="D373" i="56" s="1"/>
  <c r="C68" i="56"/>
  <c r="D30" i="56"/>
  <c r="D335" i="56" s="1"/>
  <c r="C30" i="56"/>
  <c r="C335" i="56" s="1"/>
  <c r="D28" i="56"/>
  <c r="D333" i="56" s="1"/>
  <c r="C28" i="56"/>
  <c r="D27" i="56"/>
  <c r="M27" i="56" s="1"/>
  <c r="C27" i="56"/>
  <c r="C26" i="56"/>
  <c r="C331" i="56" s="1"/>
  <c r="C14" i="49"/>
  <c r="D8" i="56"/>
  <c r="D7" i="56"/>
  <c r="D312" i="56" s="1"/>
  <c r="D6" i="56"/>
  <c r="D311" i="56" s="1"/>
  <c r="C8" i="56"/>
  <c r="C313" i="56" s="1"/>
  <c r="C7" i="56"/>
  <c r="C312" i="56" s="1"/>
  <c r="C6" i="56"/>
  <c r="D26" i="56"/>
  <c r="D331" i="56" s="1"/>
  <c r="A185" i="49"/>
  <c r="A184" i="49"/>
  <c r="A183" i="49"/>
  <c r="A182" i="49"/>
  <c r="A181" i="49"/>
  <c r="A180" i="49"/>
  <c r="A179" i="49"/>
  <c r="A178" i="49"/>
  <c r="A177" i="49"/>
  <c r="A176" i="49"/>
  <c r="A175" i="49"/>
  <c r="A39" i="49"/>
  <c r="D185" i="49"/>
  <c r="E185" i="49" s="1"/>
  <c r="C185" i="49"/>
  <c r="D184" i="49"/>
  <c r="C184" i="49"/>
  <c r="D183" i="49"/>
  <c r="E183" i="49" s="1"/>
  <c r="C183" i="49"/>
  <c r="D182" i="49"/>
  <c r="E182" i="49" s="1"/>
  <c r="C182" i="49"/>
  <c r="D181" i="49"/>
  <c r="C181" i="49"/>
  <c r="D180" i="49"/>
  <c r="E180" i="49" s="1"/>
  <c r="C180" i="49"/>
  <c r="D179" i="49"/>
  <c r="C179" i="49"/>
  <c r="D178" i="49"/>
  <c r="E178" i="49" s="1"/>
  <c r="C178" i="49"/>
  <c r="D177" i="49"/>
  <c r="C177" i="49"/>
  <c r="D176" i="49"/>
  <c r="E176" i="49" s="1"/>
  <c r="C176" i="49"/>
  <c r="D175" i="49"/>
  <c r="E175" i="49" s="1"/>
  <c r="C175" i="49"/>
  <c r="D49" i="49"/>
  <c r="K49" i="49" s="1"/>
  <c r="D48" i="49"/>
  <c r="D47" i="49"/>
  <c r="K47" i="49" s="1"/>
  <c r="D46" i="49"/>
  <c r="K46" i="49" s="1"/>
  <c r="D45" i="49"/>
  <c r="K45" i="49" s="1"/>
  <c r="D44" i="49"/>
  <c r="K44" i="49" s="1"/>
  <c r="D43" i="49"/>
  <c r="D42" i="49"/>
  <c r="K42" i="49" s="1"/>
  <c r="C49" i="49"/>
  <c r="C48" i="49"/>
  <c r="C47" i="49"/>
  <c r="C46" i="49"/>
  <c r="C45" i="49"/>
  <c r="C44" i="49"/>
  <c r="C43" i="49"/>
  <c r="C42" i="49"/>
  <c r="D174" i="49"/>
  <c r="E174" i="49" s="1"/>
  <c r="C174" i="49"/>
  <c r="D166" i="49"/>
  <c r="E166" i="49" s="1"/>
  <c r="C166" i="49"/>
  <c r="E162" i="49"/>
  <c r="I56" i="49"/>
  <c r="E160" i="49"/>
  <c r="D159" i="49"/>
  <c r="C159" i="49"/>
  <c r="D158" i="49"/>
  <c r="C158" i="49"/>
  <c r="D157" i="49"/>
  <c r="C157" i="49"/>
  <c r="D156" i="49"/>
  <c r="C156" i="49"/>
  <c r="D155" i="49"/>
  <c r="C155" i="49"/>
  <c r="D153" i="49"/>
  <c r="C153" i="49"/>
  <c r="D152" i="49"/>
  <c r="O152" i="49" s="1"/>
  <c r="C152" i="49"/>
  <c r="D151" i="49"/>
  <c r="O151" i="49" s="1"/>
  <c r="C151" i="49"/>
  <c r="D148" i="49"/>
  <c r="C148" i="49"/>
  <c r="D136" i="49"/>
  <c r="C136" i="49"/>
  <c r="D135" i="49"/>
  <c r="C135" i="49"/>
  <c r="D134" i="49"/>
  <c r="C134" i="49"/>
  <c r="D133" i="49"/>
  <c r="C133" i="49"/>
  <c r="D132" i="49"/>
  <c r="C132" i="49"/>
  <c r="D130" i="49"/>
  <c r="E130" i="49" s="1"/>
  <c r="C130" i="49"/>
  <c r="D129" i="49"/>
  <c r="E129" i="49" s="1"/>
  <c r="C129" i="49"/>
  <c r="D128" i="49"/>
  <c r="C128" i="49"/>
  <c r="D127" i="49"/>
  <c r="C127" i="49"/>
  <c r="E125" i="49"/>
  <c r="D124" i="49"/>
  <c r="E124" i="49" s="1"/>
  <c r="C124" i="49"/>
  <c r="D122" i="49"/>
  <c r="E122" i="49" s="1"/>
  <c r="C122" i="49"/>
  <c r="D121" i="49"/>
  <c r="E121" i="49" s="1"/>
  <c r="C121" i="49"/>
  <c r="D120" i="49"/>
  <c r="E120" i="49" s="1"/>
  <c r="C120" i="49"/>
  <c r="E119" i="49"/>
  <c r="D118" i="49"/>
  <c r="E118" i="49" s="1"/>
  <c r="C118" i="49"/>
  <c r="D117" i="49"/>
  <c r="E117" i="49" s="1"/>
  <c r="C117" i="49"/>
  <c r="D116" i="49"/>
  <c r="E116" i="49" s="1"/>
  <c r="C116" i="49"/>
  <c r="D113" i="49"/>
  <c r="E113" i="49" s="1"/>
  <c r="C113" i="49"/>
  <c r="E112" i="49"/>
  <c r="D101" i="49"/>
  <c r="E101" i="49" s="1"/>
  <c r="C101" i="49"/>
  <c r="D100" i="49"/>
  <c r="E100" i="49" s="1"/>
  <c r="C100" i="49"/>
  <c r="D99" i="49"/>
  <c r="E99" i="49" s="1"/>
  <c r="C99" i="49"/>
  <c r="D98" i="49"/>
  <c r="E98" i="49" s="1"/>
  <c r="C98" i="49"/>
  <c r="D97" i="49"/>
  <c r="E97" i="49" s="1"/>
  <c r="C97" i="49"/>
  <c r="E96" i="49"/>
  <c r="D95" i="49"/>
  <c r="E95" i="49" s="1"/>
  <c r="C95" i="49"/>
  <c r="D94" i="49"/>
  <c r="E94" i="49" s="1"/>
  <c r="C94" i="49"/>
  <c r="D93" i="49"/>
  <c r="E93" i="49" s="1"/>
  <c r="C93" i="49"/>
  <c r="D92" i="49"/>
  <c r="E92" i="49" s="1"/>
  <c r="C92" i="49"/>
  <c r="D89" i="49"/>
  <c r="C89" i="49"/>
  <c r="D88" i="49"/>
  <c r="C88" i="49"/>
  <c r="D87" i="49"/>
  <c r="C87" i="49"/>
  <c r="D86" i="49"/>
  <c r="C86" i="49"/>
  <c r="D85" i="49"/>
  <c r="C85" i="49"/>
  <c r="D83" i="49"/>
  <c r="C83" i="49"/>
  <c r="D82" i="49"/>
  <c r="C82" i="49"/>
  <c r="D81" i="49"/>
  <c r="C81" i="49"/>
  <c r="D78" i="49"/>
  <c r="C78" i="49"/>
  <c r="D66" i="49"/>
  <c r="C66" i="49"/>
  <c r="D65" i="49"/>
  <c r="C65" i="49"/>
  <c r="D64" i="49"/>
  <c r="C64" i="49"/>
  <c r="D63" i="49"/>
  <c r="C63" i="49"/>
  <c r="D62" i="49"/>
  <c r="C62" i="49"/>
  <c r="D60" i="49"/>
  <c r="E60" i="49" s="1"/>
  <c r="C60" i="49"/>
  <c r="D59" i="49"/>
  <c r="E59" i="49" s="1"/>
  <c r="C59" i="49"/>
  <c r="D58" i="49"/>
  <c r="C58" i="49"/>
  <c r="D57" i="49"/>
  <c r="C57" i="49"/>
  <c r="D27" i="49"/>
  <c r="E27" i="49" s="1"/>
  <c r="C27" i="49"/>
  <c r="A27" i="49"/>
  <c r="M27" i="49" s="1"/>
  <c r="A26" i="49"/>
  <c r="M26" i="49" s="1"/>
  <c r="D36" i="49"/>
  <c r="E36" i="49" s="1"/>
  <c r="C36" i="49"/>
  <c r="D35" i="49"/>
  <c r="E35" i="49" s="1"/>
  <c r="C35" i="49"/>
  <c r="D34" i="49"/>
  <c r="K34" i="49" s="1"/>
  <c r="C34" i="49"/>
  <c r="D32" i="49"/>
  <c r="E32" i="49" s="1"/>
  <c r="C32" i="49"/>
  <c r="D31" i="49"/>
  <c r="E31" i="49" s="1"/>
  <c r="C31" i="49"/>
  <c r="D30" i="49"/>
  <c r="C30" i="49"/>
  <c r="D15" i="49"/>
  <c r="K15" i="49" s="1"/>
  <c r="C15" i="49"/>
  <c r="D14" i="49"/>
  <c r="K14" i="49" s="1"/>
  <c r="K166" i="49" s="1"/>
  <c r="D7" i="49"/>
  <c r="K7" i="49" s="1"/>
  <c r="C7" i="49"/>
  <c r="D6" i="49"/>
  <c r="C6" i="49"/>
  <c r="C8" i="49"/>
  <c r="D8" i="49"/>
  <c r="K8" i="49" s="1"/>
  <c r="C9" i="49"/>
  <c r="D9" i="49"/>
  <c r="K9" i="49" s="1"/>
  <c r="K10" i="49"/>
  <c r="C11" i="49"/>
  <c r="D11" i="49"/>
  <c r="C12" i="49"/>
  <c r="D12" i="49"/>
  <c r="K12" i="49" s="1"/>
  <c r="C13" i="49"/>
  <c r="D13" i="49"/>
  <c r="K13" i="49" s="1"/>
  <c r="B30" i="49"/>
  <c r="B31" i="49"/>
  <c r="B32" i="49"/>
  <c r="B33" i="49"/>
  <c r="B34" i="49"/>
  <c r="B35" i="49"/>
  <c r="B36" i="49"/>
  <c r="B37" i="49"/>
  <c r="C37" i="49"/>
  <c r="D37" i="49"/>
  <c r="E37" i="49" s="1"/>
  <c r="B38" i="49"/>
  <c r="C38" i="49"/>
  <c r="D38" i="49"/>
  <c r="E38" i="49" s="1"/>
  <c r="B39" i="49"/>
  <c r="C39" i="49"/>
  <c r="C40" i="49"/>
  <c r="C41" i="49"/>
  <c r="D39" i="49"/>
  <c r="K39" i="49" s="1"/>
  <c r="D40" i="49"/>
  <c r="K40" i="49" s="1"/>
  <c r="D41" i="49"/>
  <c r="K41" i="49" s="1"/>
  <c r="C22" i="56"/>
  <c r="C21" i="56"/>
  <c r="C326" i="56" s="1"/>
  <c r="C20" i="56"/>
  <c r="C325" i="56" s="1"/>
  <c r="C19" i="56"/>
  <c r="C324" i="56" s="1"/>
  <c r="C18" i="56"/>
  <c r="C323" i="56" s="1"/>
  <c r="C17" i="56"/>
  <c r="C16" i="56"/>
  <c r="C321" i="56" s="1"/>
  <c r="C65" i="56"/>
  <c r="D66" i="56"/>
  <c r="D371" i="56" s="1"/>
  <c r="C66" i="56"/>
  <c r="C371" i="56" s="1"/>
  <c r="D74" i="56"/>
  <c r="C74" i="56"/>
  <c r="C379" i="56" s="1"/>
  <c r="D73" i="56"/>
  <c r="D378" i="56" s="1"/>
  <c r="C73" i="56"/>
  <c r="C378" i="56" s="1"/>
  <c r="D72" i="56"/>
  <c r="E72" i="56" s="1"/>
  <c r="O121" i="10" s="1"/>
  <c r="C72" i="56"/>
  <c r="D71" i="56"/>
  <c r="C71" i="56"/>
  <c r="C376" i="56" s="1"/>
  <c r="D70" i="56"/>
  <c r="C70" i="56"/>
  <c r="C375" i="56" s="1"/>
  <c r="D69" i="56"/>
  <c r="D374" i="56" s="1"/>
  <c r="E374" i="56" s="1"/>
  <c r="C69" i="56"/>
  <c r="C374" i="56" s="1"/>
  <c r="D64" i="56"/>
  <c r="D369" i="56" s="1"/>
  <c r="C64" i="56"/>
  <c r="C369" i="56" s="1"/>
  <c r="D60" i="56"/>
  <c r="D365" i="56" s="1"/>
  <c r="C60" i="56"/>
  <c r="D59" i="56"/>
  <c r="D364" i="56" s="1"/>
  <c r="C59" i="56"/>
  <c r="C364" i="56" s="1"/>
  <c r="D58" i="56"/>
  <c r="D363" i="56" s="1"/>
  <c r="C58" i="56"/>
  <c r="D15" i="56"/>
  <c r="D320" i="56" s="1"/>
  <c r="C15" i="56"/>
  <c r="C320" i="56" s="1"/>
  <c r="D14" i="56"/>
  <c r="D319" i="56" s="1"/>
  <c r="C14" i="56"/>
  <c r="C319" i="56" s="1"/>
  <c r="D13" i="56"/>
  <c r="D318" i="56" s="1"/>
  <c r="C13" i="56"/>
  <c r="C318" i="56" s="1"/>
  <c r="D12" i="56"/>
  <c r="D317" i="56" s="1"/>
  <c r="C12" i="56"/>
  <c r="C317" i="56" s="1"/>
  <c r="D11" i="56"/>
  <c r="D316" i="56" s="1"/>
  <c r="C11" i="56"/>
  <c r="C316" i="56" s="1"/>
  <c r="D10" i="56"/>
  <c r="D315" i="56" s="1"/>
  <c r="C10" i="56"/>
  <c r="C315" i="56" s="1"/>
  <c r="D9" i="56"/>
  <c r="D314" i="56" s="1"/>
  <c r="C9" i="56"/>
  <c r="C314" i="56" s="1"/>
  <c r="E31" i="17"/>
  <c r="E32" i="17"/>
  <c r="E33" i="17"/>
  <c r="E34" i="17"/>
  <c r="E37" i="17"/>
  <c r="E38" i="17"/>
  <c r="L13" i="10"/>
  <c r="B12" i="17" s="1"/>
  <c r="B34" i="17" s="1"/>
  <c r="M13" i="10"/>
  <c r="C12" i="17" s="1"/>
  <c r="C34" i="17" s="1"/>
  <c r="L14" i="10"/>
  <c r="B13" i="17" s="1"/>
  <c r="B37" i="17" s="1"/>
  <c r="M14" i="10"/>
  <c r="C13" i="17" s="1"/>
  <c r="C37" i="17" s="1"/>
  <c r="L15" i="10"/>
  <c r="B14" i="17" s="1"/>
  <c r="B38" i="17" s="1"/>
  <c r="M15" i="10"/>
  <c r="C14" i="17" s="1"/>
  <c r="C38" i="17" s="1"/>
  <c r="C16" i="10"/>
  <c r="D16" i="10"/>
  <c r="C17" i="10"/>
  <c r="D17" i="10"/>
  <c r="C18" i="10"/>
  <c r="D18" i="10"/>
  <c r="D8" i="10"/>
  <c r="D9" i="10"/>
  <c r="D10" i="10"/>
  <c r="D11" i="10"/>
  <c r="D12" i="10"/>
  <c r="D13" i="10"/>
  <c r="E90" i="49"/>
  <c r="M8" i="10"/>
  <c r="C7" i="17" s="1"/>
  <c r="C42" i="17" s="1"/>
  <c r="M9" i="10"/>
  <c r="C8" i="17" s="1"/>
  <c r="C23" i="17" s="1"/>
  <c r="M10" i="10"/>
  <c r="C9" i="17" s="1"/>
  <c r="C31" i="17" s="1"/>
  <c r="M11" i="10"/>
  <c r="C10" i="17" s="1"/>
  <c r="C32" i="17" s="1"/>
  <c r="A74" i="56"/>
  <c r="P74" i="56" s="1"/>
  <c r="B74" i="56"/>
  <c r="N74" i="56" s="1"/>
  <c r="A71" i="56"/>
  <c r="B71" i="56"/>
  <c r="A73" i="56"/>
  <c r="P73" i="56" s="1"/>
  <c r="B73" i="56"/>
  <c r="N73" i="56" s="1"/>
  <c r="B70" i="56"/>
  <c r="A70" i="56"/>
  <c r="A9" i="49"/>
  <c r="I161" i="49"/>
  <c r="I1" i="49"/>
  <c r="M416" i="56"/>
  <c r="D387" i="56"/>
  <c r="M387" i="56" s="1"/>
  <c r="B66" i="56"/>
  <c r="B68" i="56"/>
  <c r="N68" i="56" s="1"/>
  <c r="A66" i="56"/>
  <c r="A68" i="56"/>
  <c r="A28" i="56"/>
  <c r="N28" i="56"/>
  <c r="N19" i="56"/>
  <c r="A19" i="56"/>
  <c r="A324" i="56" s="1"/>
  <c r="A8" i="56"/>
  <c r="P8" i="56" s="1"/>
  <c r="R310" i="56"/>
  <c r="D383" i="56"/>
  <c r="M383" i="56" s="1"/>
  <c r="D384" i="56"/>
  <c r="M384" i="56" s="1"/>
  <c r="D385" i="56"/>
  <c r="M386" i="56" s="1"/>
  <c r="D386" i="56"/>
  <c r="D382" i="56"/>
  <c r="M382" i="56" s="1"/>
  <c r="D381" i="56"/>
  <c r="M381" i="56" s="1"/>
  <c r="A72" i="56"/>
  <c r="A69" i="56"/>
  <c r="B72" i="56"/>
  <c r="B377" i="56" s="1"/>
  <c r="B69" i="56"/>
  <c r="B65" i="56"/>
  <c r="B370" i="56" s="1"/>
  <c r="B64" i="56"/>
  <c r="B369" i="56" s="1"/>
  <c r="N59" i="56"/>
  <c r="B365" i="56"/>
  <c r="B363" i="56"/>
  <c r="N7" i="56"/>
  <c r="B314" i="56"/>
  <c r="N10" i="56"/>
  <c r="B317" i="56"/>
  <c r="B318" i="56"/>
  <c r="B320" i="56"/>
  <c r="B321" i="56"/>
  <c r="N17" i="56"/>
  <c r="B323" i="56"/>
  <c r="B325" i="56"/>
  <c r="N21" i="56"/>
  <c r="B327" i="56"/>
  <c r="N23" i="56"/>
  <c r="B329" i="56"/>
  <c r="B330" i="56"/>
  <c r="B331" i="56"/>
  <c r="B332" i="56"/>
  <c r="B335" i="56"/>
  <c r="N6" i="56"/>
  <c r="A65" i="56"/>
  <c r="P65" i="56" s="1"/>
  <c r="A59" i="56"/>
  <c r="A60" i="56"/>
  <c r="P60" i="56" s="1"/>
  <c r="A58" i="56"/>
  <c r="A363" i="56" s="1"/>
  <c r="A64" i="56"/>
  <c r="P64" i="56" s="1"/>
  <c r="A7" i="56"/>
  <c r="A312" i="56" s="1"/>
  <c r="A9" i="56"/>
  <c r="A314" i="56" s="1"/>
  <c r="A10" i="56"/>
  <c r="P10" i="56" s="1"/>
  <c r="A11" i="56"/>
  <c r="P11" i="56" s="1"/>
  <c r="A12" i="56"/>
  <c r="A317" i="56" s="1"/>
  <c r="A13" i="56"/>
  <c r="A14" i="56"/>
  <c r="P14" i="56" s="1"/>
  <c r="A15" i="56"/>
  <c r="A16" i="56"/>
  <c r="A321" i="56" s="1"/>
  <c r="A17" i="56"/>
  <c r="P17" i="56" s="1"/>
  <c r="A18" i="56"/>
  <c r="P18" i="56" s="1"/>
  <c r="A20" i="56"/>
  <c r="A325" i="56" s="1"/>
  <c r="A21" i="56"/>
  <c r="P21" i="56" s="1"/>
  <c r="A22" i="56"/>
  <c r="P22" i="56" s="1"/>
  <c r="A23" i="56"/>
  <c r="P23" i="56" s="1"/>
  <c r="A24" i="56"/>
  <c r="A25" i="56"/>
  <c r="A26" i="56"/>
  <c r="A331" i="56" s="1"/>
  <c r="A27" i="56"/>
  <c r="A30" i="56"/>
  <c r="C21" i="10"/>
  <c r="D21" i="10"/>
  <c r="L18" i="10"/>
  <c r="B17" i="17" s="1"/>
  <c r="B41" i="17" s="1"/>
  <c r="M18" i="10"/>
  <c r="C17" i="17" s="1"/>
  <c r="C41" i="17" s="1"/>
  <c r="A6" i="56"/>
  <c r="A311" i="56" s="1"/>
  <c r="K1" i="56"/>
  <c r="E13" i="50"/>
  <c r="E12" i="50"/>
  <c r="E11" i="50"/>
  <c r="E10" i="50"/>
  <c r="E8" i="50"/>
  <c r="E6" i="50"/>
  <c r="I126" i="49"/>
  <c r="I91" i="49"/>
  <c r="A38" i="49"/>
  <c r="M38" i="49" s="1"/>
  <c r="A37" i="49"/>
  <c r="A36" i="49"/>
  <c r="A35" i="49"/>
  <c r="M35" i="49" s="1"/>
  <c r="A34" i="49"/>
  <c r="A33" i="49"/>
  <c r="M33" i="49" s="1"/>
  <c r="A32" i="49"/>
  <c r="M32" i="49" s="1"/>
  <c r="A31" i="49"/>
  <c r="M31" i="49" s="1"/>
  <c r="A30" i="49"/>
  <c r="M30" i="49" s="1"/>
  <c r="A15" i="49"/>
  <c r="M15" i="49" s="1"/>
  <c r="A14" i="49"/>
  <c r="A13" i="49"/>
  <c r="M13" i="49" s="1"/>
  <c r="A12" i="49"/>
  <c r="M12" i="49" s="1"/>
  <c r="A11" i="49"/>
  <c r="M11" i="49" s="1"/>
  <c r="A10" i="49"/>
  <c r="M10" i="49" s="1"/>
  <c r="A8" i="49"/>
  <c r="M8" i="49" s="1"/>
  <c r="A7" i="49"/>
  <c r="A6" i="49"/>
  <c r="M39" i="49"/>
  <c r="J39" i="49"/>
  <c r="J160" i="49" s="1"/>
  <c r="E39" i="49"/>
  <c r="E10" i="49"/>
  <c r="L7" i="10"/>
  <c r="B6" i="17" s="1"/>
  <c r="B22" i="17" s="1"/>
  <c r="M7" i="10"/>
  <c r="C6" i="17" s="1"/>
  <c r="C22" i="17" s="1"/>
  <c r="L8" i="10"/>
  <c r="B7" i="17" s="1"/>
  <c r="B42" i="17" s="1"/>
  <c r="L9" i="10"/>
  <c r="B8" i="17" s="1"/>
  <c r="B23" i="17" s="1"/>
  <c r="L10" i="10"/>
  <c r="B9" i="17" s="1"/>
  <c r="B31" i="17" s="1"/>
  <c r="L11" i="10"/>
  <c r="B10" i="17" s="1"/>
  <c r="B32" i="17" s="1"/>
  <c r="L12" i="10"/>
  <c r="B11" i="17" s="1"/>
  <c r="B33" i="17" s="1"/>
  <c r="M12" i="10"/>
  <c r="C11" i="17" s="1"/>
  <c r="C33" i="17" s="1"/>
  <c r="L17" i="10"/>
  <c r="M17" i="10"/>
  <c r="C16" i="17" s="1"/>
  <c r="C26" i="17" s="1"/>
  <c r="E22" i="17"/>
  <c r="D20" i="10"/>
  <c r="C20" i="10"/>
  <c r="C13" i="10"/>
  <c r="C12" i="10"/>
  <c r="C11" i="10"/>
  <c r="C10" i="10"/>
  <c r="C9" i="10"/>
  <c r="C8" i="10"/>
  <c r="D7" i="10"/>
  <c r="B6" i="50"/>
  <c r="C7" i="10"/>
  <c r="D32" i="10"/>
  <c r="C32" i="10"/>
  <c r="D35" i="10"/>
  <c r="C35" i="10"/>
  <c r="D34" i="10"/>
  <c r="C34" i="10"/>
  <c r="D33" i="10"/>
  <c r="C33" i="10"/>
  <c r="C30" i="10"/>
  <c r="A13" i="50" s="1"/>
  <c r="C29" i="10"/>
  <c r="A12" i="50" s="1"/>
  <c r="C28" i="10"/>
  <c r="A11" i="50" s="1"/>
  <c r="C27" i="10"/>
  <c r="A10" i="50" s="1"/>
  <c r="A8" i="50"/>
  <c r="A6" i="50"/>
  <c r="D30" i="10"/>
  <c r="B13" i="50" s="1"/>
  <c r="D29" i="10"/>
  <c r="B12" i="50" s="1"/>
  <c r="D28" i="10"/>
  <c r="B11" i="50" s="1"/>
  <c r="D27" i="10"/>
  <c r="B10" i="50" s="1"/>
  <c r="B8" i="50"/>
  <c r="R372" i="56" l="1"/>
  <c r="R334" i="56"/>
  <c r="N69" i="56"/>
  <c r="B374" i="56"/>
  <c r="P69" i="56"/>
  <c r="A374" i="56"/>
  <c r="P70" i="56"/>
  <c r="A375" i="56"/>
  <c r="N70" i="56"/>
  <c r="B375" i="56"/>
  <c r="N71" i="56"/>
  <c r="B376" i="56"/>
  <c r="P71" i="56"/>
  <c r="A376" i="56"/>
  <c r="E70" i="56"/>
  <c r="D375" i="56"/>
  <c r="E375" i="56" s="1"/>
  <c r="M71" i="56"/>
  <c r="D376" i="56"/>
  <c r="E376" i="56" s="1"/>
  <c r="D6" i="50"/>
  <c r="V6" i="50"/>
  <c r="AF6" i="50"/>
  <c r="AG6" i="50"/>
  <c r="J6" i="50"/>
  <c r="Q6" i="50"/>
  <c r="Y6" i="50"/>
  <c r="L6" i="50"/>
  <c r="O6" i="50"/>
  <c r="S6" i="50"/>
  <c r="P6" i="50"/>
  <c r="T6" i="50"/>
  <c r="AD6" i="50"/>
  <c r="R6" i="50"/>
  <c r="AA6" i="50"/>
  <c r="Z6" i="50"/>
  <c r="K6" i="50"/>
  <c r="U6" i="50"/>
  <c r="G6" i="50"/>
  <c r="N6" i="50"/>
  <c r="H6" i="50"/>
  <c r="AF8" i="50"/>
  <c r="Q8" i="50"/>
  <c r="M8" i="50"/>
  <c r="Y8" i="50"/>
  <c r="P8" i="50"/>
  <c r="J8" i="50"/>
  <c r="AA8" i="50"/>
  <c r="R8" i="50"/>
  <c r="AC8" i="50"/>
  <c r="V8" i="50"/>
  <c r="Z8" i="50"/>
  <c r="K8" i="50"/>
  <c r="L8" i="50"/>
  <c r="N8" i="50"/>
  <c r="U8" i="50"/>
  <c r="X8" i="50"/>
  <c r="W8" i="50"/>
  <c r="AG8" i="50"/>
  <c r="G8" i="50"/>
  <c r="S8" i="50"/>
  <c r="T8" i="50"/>
  <c r="AD8" i="50"/>
  <c r="O8" i="50"/>
  <c r="D10" i="50"/>
  <c r="X10" i="50"/>
  <c r="S10" i="50"/>
  <c r="I10" i="50"/>
  <c r="R10" i="50"/>
  <c r="N10" i="50"/>
  <c r="AG10" i="50"/>
  <c r="AD10" i="50"/>
  <c r="AE10" i="50"/>
  <c r="F10" i="50"/>
  <c r="Q10" i="50"/>
  <c r="L10" i="50"/>
  <c r="H10" i="50"/>
  <c r="V10" i="50"/>
  <c r="U10" i="50"/>
  <c r="T10" i="50"/>
  <c r="AB10" i="50"/>
  <c r="O10" i="50"/>
  <c r="Y10" i="50"/>
  <c r="J10" i="50"/>
  <c r="K10" i="50"/>
  <c r="AA10" i="50"/>
  <c r="Z10" i="50"/>
  <c r="P10" i="50"/>
  <c r="AF10" i="50"/>
  <c r="AC10" i="50"/>
  <c r="G10" i="50"/>
  <c r="M10" i="50"/>
  <c r="O11" i="50"/>
  <c r="F11" i="50"/>
  <c r="H11" i="50"/>
  <c r="AC11" i="50"/>
  <c r="AA11" i="50"/>
  <c r="X11" i="50"/>
  <c r="AB11" i="50"/>
  <c r="I11" i="50"/>
  <c r="AD11" i="50"/>
  <c r="P11" i="50"/>
  <c r="Z11" i="50"/>
  <c r="J11" i="50"/>
  <c r="L11" i="50"/>
  <c r="W11" i="50"/>
  <c r="AG11" i="50"/>
  <c r="N11" i="50"/>
  <c r="V11" i="50"/>
  <c r="AE11" i="50"/>
  <c r="U11" i="50"/>
  <c r="G11" i="50"/>
  <c r="T11" i="50"/>
  <c r="Y11" i="50"/>
  <c r="M11" i="50"/>
  <c r="AF11" i="50"/>
  <c r="R11" i="50"/>
  <c r="S11" i="50"/>
  <c r="K11" i="50"/>
  <c r="Q11" i="50"/>
  <c r="AE12" i="50"/>
  <c r="U12" i="50"/>
  <c r="AB12" i="50"/>
  <c r="AC12" i="50"/>
  <c r="W12" i="50"/>
  <c r="K12" i="50"/>
  <c r="P12" i="50"/>
  <c r="F12" i="50"/>
  <c r="L12" i="50"/>
  <c r="AD12" i="50"/>
  <c r="R12" i="50"/>
  <c r="X12" i="50"/>
  <c r="H12" i="50"/>
  <c r="V12" i="50"/>
  <c r="O12" i="50"/>
  <c r="Z12" i="50"/>
  <c r="AA12" i="50"/>
  <c r="S12" i="50"/>
  <c r="T12" i="50"/>
  <c r="I12" i="50"/>
  <c r="Y12" i="50"/>
  <c r="Q12" i="50"/>
  <c r="N12" i="50"/>
  <c r="J12" i="50"/>
  <c r="AF12" i="50"/>
  <c r="M12" i="50"/>
  <c r="AG12" i="50"/>
  <c r="G12" i="50"/>
  <c r="Z13" i="50"/>
  <c r="J13" i="50"/>
  <c r="L13" i="50"/>
  <c r="N13" i="50"/>
  <c r="AF13" i="50"/>
  <c r="Q13" i="50"/>
  <c r="R13" i="50"/>
  <c r="K13" i="50"/>
  <c r="AA13" i="50"/>
  <c r="AG13" i="50"/>
  <c r="S13" i="50"/>
  <c r="O13" i="50"/>
  <c r="V13" i="50"/>
  <c r="G13" i="50"/>
  <c r="I13" i="50"/>
  <c r="AC13" i="50"/>
  <c r="H13" i="50"/>
  <c r="Y13" i="50"/>
  <c r="T13" i="50"/>
  <c r="U13" i="50"/>
  <c r="AD13" i="50"/>
  <c r="P13" i="50"/>
  <c r="K165" i="49"/>
  <c r="K163" i="49"/>
  <c r="K164" i="49"/>
  <c r="K162" i="49"/>
  <c r="Z175" i="49"/>
  <c r="AA175" i="49"/>
  <c r="AB175" i="49"/>
  <c r="AC175" i="49"/>
  <c r="AD175" i="49"/>
  <c r="AE175" i="49"/>
  <c r="AF175" i="49"/>
  <c r="AG175" i="49"/>
  <c r="AH175" i="49"/>
  <c r="AI175" i="49"/>
  <c r="AJ175" i="49"/>
  <c r="AK175" i="49"/>
  <c r="AL175" i="49"/>
  <c r="AM175" i="49"/>
  <c r="AN175" i="49"/>
  <c r="AO175" i="49"/>
  <c r="AP175" i="49"/>
  <c r="U175" i="49"/>
  <c r="V175" i="49"/>
  <c r="W175" i="49"/>
  <c r="X175" i="49"/>
  <c r="Y175" i="49"/>
  <c r="S175" i="49"/>
  <c r="T175" i="49"/>
  <c r="R175" i="49"/>
  <c r="Q175" i="49"/>
  <c r="P175" i="49"/>
  <c r="O175" i="49"/>
  <c r="Z185" i="49"/>
  <c r="AA185" i="49"/>
  <c r="AB185" i="49"/>
  <c r="AC185" i="49"/>
  <c r="AD185" i="49"/>
  <c r="AE185" i="49"/>
  <c r="AF185" i="49"/>
  <c r="AG185" i="49"/>
  <c r="AH185" i="49"/>
  <c r="AI185" i="49"/>
  <c r="AJ185" i="49"/>
  <c r="AK185" i="49"/>
  <c r="AL185" i="49"/>
  <c r="AM185" i="49"/>
  <c r="AN185" i="49"/>
  <c r="AO185" i="49"/>
  <c r="AP185" i="49"/>
  <c r="U185" i="49"/>
  <c r="V185" i="49"/>
  <c r="W185" i="49"/>
  <c r="X185" i="49"/>
  <c r="Y185" i="49"/>
  <c r="S185" i="49"/>
  <c r="T185" i="49"/>
  <c r="R185" i="49"/>
  <c r="Q185" i="49"/>
  <c r="P185" i="49"/>
  <c r="O185" i="49"/>
  <c r="Z184" i="49"/>
  <c r="AA184" i="49"/>
  <c r="AB184" i="49"/>
  <c r="AC184" i="49"/>
  <c r="AD184" i="49"/>
  <c r="AE184" i="49"/>
  <c r="AF184" i="49"/>
  <c r="AG184" i="49"/>
  <c r="AH184" i="49"/>
  <c r="AI184" i="49"/>
  <c r="AJ184" i="49"/>
  <c r="AK184" i="49"/>
  <c r="AL184" i="49"/>
  <c r="AM184" i="49"/>
  <c r="AN184" i="49"/>
  <c r="AO184" i="49"/>
  <c r="AP184" i="49"/>
  <c r="U184" i="49"/>
  <c r="V184" i="49"/>
  <c r="W184" i="49"/>
  <c r="X184" i="49"/>
  <c r="Y184" i="49"/>
  <c r="S184" i="49"/>
  <c r="T184" i="49"/>
  <c r="R184" i="49"/>
  <c r="Q184" i="49"/>
  <c r="P184" i="49"/>
  <c r="O184" i="49"/>
  <c r="Z183" i="49"/>
  <c r="AA183" i="49"/>
  <c r="AB183" i="49"/>
  <c r="AC183" i="49"/>
  <c r="AD183" i="49"/>
  <c r="AE183" i="49"/>
  <c r="AF183" i="49"/>
  <c r="AG183" i="49"/>
  <c r="AH183" i="49"/>
  <c r="AI183" i="49"/>
  <c r="AJ183" i="49"/>
  <c r="AK183" i="49"/>
  <c r="AL183" i="49"/>
  <c r="AM183" i="49"/>
  <c r="AN183" i="49"/>
  <c r="AO183" i="49"/>
  <c r="AP183" i="49"/>
  <c r="U183" i="49"/>
  <c r="V183" i="49"/>
  <c r="W183" i="49"/>
  <c r="X183" i="49"/>
  <c r="Y183" i="49"/>
  <c r="S183" i="49"/>
  <c r="T183" i="49"/>
  <c r="R183" i="49"/>
  <c r="Q183" i="49"/>
  <c r="P183" i="49"/>
  <c r="O183" i="49"/>
  <c r="Z182" i="49"/>
  <c r="AA182" i="49"/>
  <c r="AB182" i="49"/>
  <c r="AC182" i="49"/>
  <c r="AD182" i="49"/>
  <c r="AE182" i="49"/>
  <c r="AF182" i="49"/>
  <c r="AG182" i="49"/>
  <c r="AH182" i="49"/>
  <c r="AI182" i="49"/>
  <c r="AJ182" i="49"/>
  <c r="AK182" i="49"/>
  <c r="AL182" i="49"/>
  <c r="AM182" i="49"/>
  <c r="AN182" i="49"/>
  <c r="AO182" i="49"/>
  <c r="AP182" i="49"/>
  <c r="U182" i="49"/>
  <c r="V182" i="49"/>
  <c r="W182" i="49"/>
  <c r="X182" i="49"/>
  <c r="Y182" i="49"/>
  <c r="S182" i="49"/>
  <c r="T182" i="49"/>
  <c r="R182" i="49"/>
  <c r="Q182" i="49"/>
  <c r="P182" i="49"/>
  <c r="O182" i="49"/>
  <c r="Z181" i="49"/>
  <c r="AA181" i="49"/>
  <c r="AB181" i="49"/>
  <c r="AC181" i="49"/>
  <c r="AD181" i="49"/>
  <c r="AE181" i="49"/>
  <c r="AF181" i="49"/>
  <c r="AG181" i="49"/>
  <c r="AH181" i="49"/>
  <c r="AI181" i="49"/>
  <c r="AJ181" i="49"/>
  <c r="AK181" i="49"/>
  <c r="AL181" i="49"/>
  <c r="AM181" i="49"/>
  <c r="AN181" i="49"/>
  <c r="AO181" i="49"/>
  <c r="AP181" i="49"/>
  <c r="U181" i="49"/>
  <c r="V181" i="49"/>
  <c r="W181" i="49"/>
  <c r="X181" i="49"/>
  <c r="Y181" i="49"/>
  <c r="S181" i="49"/>
  <c r="T181" i="49"/>
  <c r="R181" i="49"/>
  <c r="Q181" i="49"/>
  <c r="P181" i="49"/>
  <c r="O181" i="49"/>
  <c r="Z180" i="49"/>
  <c r="AA180" i="49"/>
  <c r="AB180" i="49"/>
  <c r="AC180" i="49"/>
  <c r="AD180" i="49"/>
  <c r="AE180" i="49"/>
  <c r="AF180" i="49"/>
  <c r="AG180" i="49"/>
  <c r="AH180" i="49"/>
  <c r="AI180" i="49"/>
  <c r="AJ180" i="49"/>
  <c r="AK180" i="49"/>
  <c r="AL180" i="49"/>
  <c r="AM180" i="49"/>
  <c r="AN180" i="49"/>
  <c r="AO180" i="49"/>
  <c r="AP180" i="49"/>
  <c r="U180" i="49"/>
  <c r="V180" i="49"/>
  <c r="W180" i="49"/>
  <c r="X180" i="49"/>
  <c r="Y180" i="49"/>
  <c r="S180" i="49"/>
  <c r="T180" i="49"/>
  <c r="R180" i="49"/>
  <c r="Q180" i="49"/>
  <c r="P180" i="49"/>
  <c r="O180" i="49"/>
  <c r="Z179" i="49"/>
  <c r="AA179" i="49"/>
  <c r="AB179" i="49"/>
  <c r="AC179" i="49"/>
  <c r="AD179" i="49"/>
  <c r="AE179" i="49"/>
  <c r="AF179" i="49"/>
  <c r="AG179" i="49"/>
  <c r="AH179" i="49"/>
  <c r="AI179" i="49"/>
  <c r="AJ179" i="49"/>
  <c r="AK179" i="49"/>
  <c r="AL179" i="49"/>
  <c r="AM179" i="49"/>
  <c r="AN179" i="49"/>
  <c r="AO179" i="49"/>
  <c r="AP179" i="49"/>
  <c r="U179" i="49"/>
  <c r="V179" i="49"/>
  <c r="W179" i="49"/>
  <c r="X179" i="49"/>
  <c r="Y179" i="49"/>
  <c r="S179" i="49"/>
  <c r="T179" i="49"/>
  <c r="R179" i="49"/>
  <c r="Q179" i="49"/>
  <c r="P179" i="49"/>
  <c r="O179" i="49"/>
  <c r="Z178" i="49"/>
  <c r="AA178" i="49"/>
  <c r="AB178" i="49"/>
  <c r="AC178" i="49"/>
  <c r="AD178" i="49"/>
  <c r="AE178" i="49"/>
  <c r="AF178" i="49"/>
  <c r="AG178" i="49"/>
  <c r="AH178" i="49"/>
  <c r="AI178" i="49"/>
  <c r="AJ178" i="49"/>
  <c r="AK178" i="49"/>
  <c r="AL178" i="49"/>
  <c r="AM178" i="49"/>
  <c r="AN178" i="49"/>
  <c r="AO178" i="49"/>
  <c r="AP178" i="49"/>
  <c r="U178" i="49"/>
  <c r="V178" i="49"/>
  <c r="W178" i="49"/>
  <c r="X178" i="49"/>
  <c r="Y178" i="49"/>
  <c r="S178" i="49"/>
  <c r="T178" i="49"/>
  <c r="R178" i="49"/>
  <c r="Q178" i="49"/>
  <c r="P178" i="49"/>
  <c r="O178" i="49"/>
  <c r="Z177" i="49"/>
  <c r="AA177" i="49"/>
  <c r="AB177" i="49"/>
  <c r="AC177" i="49"/>
  <c r="AD177" i="49"/>
  <c r="AE177" i="49"/>
  <c r="AF177" i="49"/>
  <c r="AG177" i="49"/>
  <c r="AH177" i="49"/>
  <c r="AI177" i="49"/>
  <c r="AJ177" i="49"/>
  <c r="AK177" i="49"/>
  <c r="AL177" i="49"/>
  <c r="AM177" i="49"/>
  <c r="AN177" i="49"/>
  <c r="AO177" i="49"/>
  <c r="AP177" i="49"/>
  <c r="U177" i="49"/>
  <c r="V177" i="49"/>
  <c r="W177" i="49"/>
  <c r="X177" i="49"/>
  <c r="Y177" i="49"/>
  <c r="S177" i="49"/>
  <c r="T177" i="49"/>
  <c r="R177" i="49"/>
  <c r="Q177" i="49"/>
  <c r="P177" i="49"/>
  <c r="O177" i="49"/>
  <c r="Z176" i="49"/>
  <c r="AA176" i="49"/>
  <c r="AB176" i="49"/>
  <c r="AC176" i="49"/>
  <c r="AD176" i="49"/>
  <c r="AE176" i="49"/>
  <c r="AF176" i="49"/>
  <c r="AG176" i="49"/>
  <c r="AH176" i="49"/>
  <c r="AI176" i="49"/>
  <c r="AJ176" i="49"/>
  <c r="AK176" i="49"/>
  <c r="AL176" i="49"/>
  <c r="AM176" i="49"/>
  <c r="AN176" i="49"/>
  <c r="AO176" i="49"/>
  <c r="AP176" i="49"/>
  <c r="U176" i="49"/>
  <c r="V176" i="49"/>
  <c r="W176" i="49"/>
  <c r="X176" i="49"/>
  <c r="Y176" i="49"/>
  <c r="S176" i="49"/>
  <c r="T176" i="49"/>
  <c r="R176" i="49"/>
  <c r="Q176" i="49"/>
  <c r="P176" i="49"/>
  <c r="O176" i="49"/>
  <c r="X6" i="50"/>
  <c r="H7" i="50"/>
  <c r="Z121" i="62"/>
  <c r="AF146" i="49" s="1"/>
  <c r="W7" i="50"/>
  <c r="I133" i="62"/>
  <c r="O149" i="49" s="1"/>
  <c r="F9" i="50"/>
  <c r="AA144" i="62"/>
  <c r="AG160" i="49" s="1"/>
  <c r="X13" i="50"/>
  <c r="P111" i="62"/>
  <c r="M6" i="50"/>
  <c r="P144" i="62"/>
  <c r="V160" i="49" s="1"/>
  <c r="M13" i="50"/>
  <c r="AE133" i="62"/>
  <c r="AK149" i="49" s="1"/>
  <c r="AB9" i="50"/>
  <c r="AE144" i="62"/>
  <c r="AK160" i="49" s="1"/>
  <c r="AB13" i="50"/>
  <c r="AC7" i="50"/>
  <c r="I132" i="62"/>
  <c r="O148" i="49" s="1"/>
  <c r="F8" i="50"/>
  <c r="W10" i="50"/>
  <c r="AF133" i="62"/>
  <c r="AL149" i="49" s="1"/>
  <c r="AC9" i="50"/>
  <c r="AC6" i="50"/>
  <c r="I6" i="50"/>
  <c r="I144" i="62"/>
  <c r="O160" i="49" s="1"/>
  <c r="F13" i="50"/>
  <c r="K131" i="62"/>
  <c r="H8" i="50"/>
  <c r="AE131" i="62"/>
  <c r="AK147" i="49" s="1"/>
  <c r="AB8" i="50"/>
  <c r="AD7" i="50"/>
  <c r="AB6" i="50"/>
  <c r="AH127" i="62"/>
  <c r="AN143" i="49" s="1"/>
  <c r="AE7" i="50"/>
  <c r="Z134" i="62"/>
  <c r="AF150" i="49" s="1"/>
  <c r="W9" i="50"/>
  <c r="AH144" i="62"/>
  <c r="AN160" i="49" s="1"/>
  <c r="AE13" i="50"/>
  <c r="AE6" i="50"/>
  <c r="K133" i="62"/>
  <c r="Q149" i="49" s="1"/>
  <c r="H9" i="50"/>
  <c r="Z144" i="62"/>
  <c r="AF160" i="49" s="1"/>
  <c r="W13" i="50"/>
  <c r="AB7" i="50"/>
  <c r="Z111" i="62"/>
  <c r="AF136" i="49" s="1"/>
  <c r="W6" i="50"/>
  <c r="AH132" i="62"/>
  <c r="AE8" i="50"/>
  <c r="AG133" i="62"/>
  <c r="AM149" i="49" s="1"/>
  <c r="AD9" i="50"/>
  <c r="O133" i="62"/>
  <c r="U149" i="49" s="1"/>
  <c r="L9" i="50"/>
  <c r="D370" i="56"/>
  <c r="E16" i="56"/>
  <c r="N65" i="10" s="1"/>
  <c r="M16" i="56"/>
  <c r="M24" i="56"/>
  <c r="E24" i="56"/>
  <c r="E329" i="56" s="1"/>
  <c r="M65" i="56"/>
  <c r="P312" i="61"/>
  <c r="K262" i="61"/>
  <c r="P313" i="61"/>
  <c r="AD262" i="61"/>
  <c r="Y262" i="61"/>
  <c r="AE262" i="61"/>
  <c r="O277" i="61"/>
  <c r="M313" i="61"/>
  <c r="M312" i="61"/>
  <c r="L312" i="61"/>
  <c r="J262" i="61"/>
  <c r="AF262" i="61"/>
  <c r="K293" i="61"/>
  <c r="L82" i="62"/>
  <c r="K290" i="61"/>
  <c r="L80" i="62"/>
  <c r="Q363" i="56"/>
  <c r="R363" i="56"/>
  <c r="Q317" i="56"/>
  <c r="R317" i="56"/>
  <c r="R311" i="56"/>
  <c r="Q311" i="56"/>
  <c r="Q325" i="56"/>
  <c r="R325" i="56"/>
  <c r="Q331" i="56"/>
  <c r="R331" i="56"/>
  <c r="Q314" i="56"/>
  <c r="R314" i="56"/>
  <c r="S310" i="56"/>
  <c r="R349" i="56"/>
  <c r="R346" i="56"/>
  <c r="R353" i="56"/>
  <c r="R359" i="56"/>
  <c r="R336" i="56"/>
  <c r="R362" i="56"/>
  <c r="R347" i="56"/>
  <c r="R342" i="56"/>
  <c r="R337" i="56"/>
  <c r="R367" i="56"/>
  <c r="R341" i="56"/>
  <c r="R344" i="56"/>
  <c r="R340" i="56"/>
  <c r="R352" i="56"/>
  <c r="R348" i="56"/>
  <c r="R358" i="56"/>
  <c r="R366" i="56"/>
  <c r="R345" i="56"/>
  <c r="R355" i="56"/>
  <c r="R351" i="56"/>
  <c r="R360" i="56"/>
  <c r="R356" i="56"/>
  <c r="R350" i="56"/>
  <c r="R357" i="56"/>
  <c r="R338" i="56"/>
  <c r="R354" i="56"/>
  <c r="R343" i="56"/>
  <c r="R339" i="56"/>
  <c r="R368" i="56"/>
  <c r="Q324" i="56"/>
  <c r="R324" i="56"/>
  <c r="Q321" i="56"/>
  <c r="R321" i="56"/>
  <c r="Q312" i="56"/>
  <c r="R312" i="56"/>
  <c r="E22" i="56"/>
  <c r="N71" i="10" s="1"/>
  <c r="M22" i="56"/>
  <c r="B16" i="17"/>
  <c r="B26" i="17" s="1"/>
  <c r="D327" i="56"/>
  <c r="E25" i="56"/>
  <c r="K25" i="56" s="1"/>
  <c r="M25" i="56"/>
  <c r="C322" i="56"/>
  <c r="E58" i="56"/>
  <c r="K58" i="56" s="1"/>
  <c r="E12" i="56"/>
  <c r="O61" i="10" s="1"/>
  <c r="A373" i="56"/>
  <c r="P68" i="56"/>
  <c r="A371" i="56"/>
  <c r="P66" i="56"/>
  <c r="E28" i="56"/>
  <c r="K28" i="56" s="1"/>
  <c r="L77" i="10" s="1"/>
  <c r="M30" i="56"/>
  <c r="E30" i="56"/>
  <c r="K30" i="56" s="1"/>
  <c r="L79" i="10" s="1"/>
  <c r="M21" i="56"/>
  <c r="E21" i="56"/>
  <c r="O70" i="10" s="1"/>
  <c r="D326" i="56"/>
  <c r="M73" i="56"/>
  <c r="M60" i="56"/>
  <c r="M14" i="56"/>
  <c r="M66" i="56"/>
  <c r="E10" i="56"/>
  <c r="O59" i="10" s="1"/>
  <c r="M28" i="56"/>
  <c r="C373" i="56"/>
  <c r="D324" i="56"/>
  <c r="C332" i="56"/>
  <c r="M19" i="56"/>
  <c r="E7" i="56"/>
  <c r="O56" i="10" s="1"/>
  <c r="E60" i="56"/>
  <c r="N109" i="10" s="1"/>
  <c r="E13" i="56"/>
  <c r="O62" i="10" s="1"/>
  <c r="E71" i="56"/>
  <c r="K71" i="56" s="1"/>
  <c r="E66" i="56"/>
  <c r="E371" i="56" s="1"/>
  <c r="M10" i="56"/>
  <c r="E14" i="56"/>
  <c r="O63" i="10" s="1"/>
  <c r="M13" i="56"/>
  <c r="M59" i="56"/>
  <c r="E9" i="56"/>
  <c r="O58" i="10" s="1"/>
  <c r="M70" i="56"/>
  <c r="E59" i="56"/>
  <c r="E364" i="56" s="1"/>
  <c r="M9" i="56"/>
  <c r="E17" i="56"/>
  <c r="O66" i="10" s="1"/>
  <c r="M17" i="56"/>
  <c r="D322" i="56"/>
  <c r="N16" i="56"/>
  <c r="N15" i="56"/>
  <c r="E23" i="56"/>
  <c r="E328" i="56" s="1"/>
  <c r="E18" i="56"/>
  <c r="E323" i="56" s="1"/>
  <c r="M58" i="56"/>
  <c r="M69" i="56"/>
  <c r="E73" i="56"/>
  <c r="E378" i="56" s="1"/>
  <c r="M23" i="56"/>
  <c r="E69" i="56"/>
  <c r="K69" i="56" s="1"/>
  <c r="D323" i="56"/>
  <c r="M12" i="56"/>
  <c r="M18" i="56"/>
  <c r="N12" i="56"/>
  <c r="E41" i="49"/>
  <c r="E154" i="49"/>
  <c r="S154" i="49"/>
  <c r="AA154" i="49"/>
  <c r="AI154" i="49"/>
  <c r="T154" i="49"/>
  <c r="AB154" i="49"/>
  <c r="AJ154" i="49"/>
  <c r="AH154" i="49"/>
  <c r="U154" i="49"/>
  <c r="AC154" i="49"/>
  <c r="AK154" i="49"/>
  <c r="AO154" i="49"/>
  <c r="V154" i="49"/>
  <c r="AD154" i="49"/>
  <c r="AL154" i="49"/>
  <c r="AG154" i="49"/>
  <c r="R154" i="49"/>
  <c r="O154" i="49"/>
  <c r="W154" i="49"/>
  <c r="AE154" i="49"/>
  <c r="AM154" i="49"/>
  <c r="Y154" i="49"/>
  <c r="AP154" i="49"/>
  <c r="P154" i="49"/>
  <c r="X154" i="49"/>
  <c r="AF154" i="49"/>
  <c r="AN154" i="49"/>
  <c r="Q154" i="49"/>
  <c r="Z154" i="49"/>
  <c r="E158" i="49"/>
  <c r="AP158" i="49"/>
  <c r="AH158" i="49"/>
  <c r="Z158" i="49"/>
  <c r="R158" i="49"/>
  <c r="AB158" i="49"/>
  <c r="AO158" i="49"/>
  <c r="AG158" i="49"/>
  <c r="Y158" i="49"/>
  <c r="Q158" i="49"/>
  <c r="AN158" i="49"/>
  <c r="AF158" i="49"/>
  <c r="X158" i="49"/>
  <c r="P158" i="49"/>
  <c r="AM158" i="49"/>
  <c r="AE158" i="49"/>
  <c r="W158" i="49"/>
  <c r="O158" i="49"/>
  <c r="AA158" i="49"/>
  <c r="AL158" i="49"/>
  <c r="AD158" i="49"/>
  <c r="V158" i="49"/>
  <c r="T158" i="49"/>
  <c r="AI158" i="49"/>
  <c r="AK158" i="49"/>
  <c r="AC158" i="49"/>
  <c r="U158" i="49"/>
  <c r="AJ158" i="49"/>
  <c r="S158" i="49"/>
  <c r="E151" i="49"/>
  <c r="W151" i="49"/>
  <c r="AE151" i="49"/>
  <c r="AM151" i="49"/>
  <c r="AD151" i="49"/>
  <c r="P151" i="49"/>
  <c r="X151" i="49"/>
  <c r="AF151" i="49"/>
  <c r="AN151" i="49"/>
  <c r="AK151" i="49"/>
  <c r="Q151" i="49"/>
  <c r="Y151" i="49"/>
  <c r="AG151" i="49"/>
  <c r="AO151" i="49"/>
  <c r="AC151" i="49"/>
  <c r="R151" i="49"/>
  <c r="Z151" i="49"/>
  <c r="AH151" i="49"/>
  <c r="AP151" i="49"/>
  <c r="U151" i="49"/>
  <c r="AL151" i="49"/>
  <c r="S151" i="49"/>
  <c r="AA151" i="49"/>
  <c r="AI151" i="49"/>
  <c r="V151" i="49"/>
  <c r="T151" i="49"/>
  <c r="AB151" i="49"/>
  <c r="AJ151" i="49"/>
  <c r="E155" i="49"/>
  <c r="O155" i="49"/>
  <c r="W155" i="49"/>
  <c r="AE155" i="49"/>
  <c r="AM155" i="49"/>
  <c r="U155" i="49"/>
  <c r="V155" i="49"/>
  <c r="P155" i="49"/>
  <c r="X155" i="49"/>
  <c r="AF155" i="49"/>
  <c r="AN155" i="49"/>
  <c r="AC155" i="49"/>
  <c r="Q155" i="49"/>
  <c r="Y155" i="49"/>
  <c r="AG155" i="49"/>
  <c r="AO155" i="49"/>
  <c r="AL155" i="49"/>
  <c r="R155" i="49"/>
  <c r="Z155" i="49"/>
  <c r="AH155" i="49"/>
  <c r="AP155" i="49"/>
  <c r="AD155" i="49"/>
  <c r="S155" i="49"/>
  <c r="AA155" i="49"/>
  <c r="AI155" i="49"/>
  <c r="T155" i="49"/>
  <c r="AB155" i="49"/>
  <c r="AJ155" i="49"/>
  <c r="AK155" i="49"/>
  <c r="E159" i="49"/>
  <c r="AL159" i="49"/>
  <c r="AD159" i="49"/>
  <c r="V159" i="49"/>
  <c r="AE159" i="49"/>
  <c r="AK159" i="49"/>
  <c r="AC159" i="49"/>
  <c r="U159" i="49"/>
  <c r="AF159" i="49"/>
  <c r="W159" i="49"/>
  <c r="AJ159" i="49"/>
  <c r="AB159" i="49"/>
  <c r="T159" i="49"/>
  <c r="AN159" i="49"/>
  <c r="AM159" i="49"/>
  <c r="AI159" i="49"/>
  <c r="AA159" i="49"/>
  <c r="S159" i="49"/>
  <c r="P159" i="49"/>
  <c r="O159" i="49"/>
  <c r="AP159" i="49"/>
  <c r="AH159" i="49"/>
  <c r="Z159" i="49"/>
  <c r="R159" i="49"/>
  <c r="X159" i="49"/>
  <c r="AO159" i="49"/>
  <c r="AG159" i="49"/>
  <c r="Y159" i="49"/>
  <c r="Q159" i="49"/>
  <c r="E148" i="49"/>
  <c r="AO148" i="49"/>
  <c r="R148" i="49"/>
  <c r="Z148" i="49"/>
  <c r="AH148" i="49"/>
  <c r="AP148" i="49"/>
  <c r="S148" i="49"/>
  <c r="AA148" i="49"/>
  <c r="Y148" i="49"/>
  <c r="AI148" i="49"/>
  <c r="T148" i="49"/>
  <c r="AB148" i="49"/>
  <c r="X148" i="49"/>
  <c r="AJ148" i="49"/>
  <c r="U148" i="49"/>
  <c r="AC148" i="49"/>
  <c r="P148" i="49"/>
  <c r="AF148" i="49"/>
  <c r="AK148" i="49"/>
  <c r="V148" i="49"/>
  <c r="AD148" i="49"/>
  <c r="Q148" i="49"/>
  <c r="AG148" i="49"/>
  <c r="AL148" i="49"/>
  <c r="W148" i="49"/>
  <c r="AE148" i="49"/>
  <c r="AM148" i="49"/>
  <c r="AN148" i="49"/>
  <c r="E152" i="49"/>
  <c r="S152" i="49"/>
  <c r="AA152" i="49"/>
  <c r="AI152" i="49"/>
  <c r="AO152" i="49"/>
  <c r="T152" i="49"/>
  <c r="AB152" i="49"/>
  <c r="AJ152" i="49"/>
  <c r="Z152" i="49"/>
  <c r="U152" i="49"/>
  <c r="AC152" i="49"/>
  <c r="AK152" i="49"/>
  <c r="R152" i="49"/>
  <c r="V152" i="49"/>
  <c r="AD152" i="49"/>
  <c r="AL152" i="49"/>
  <c r="AG152" i="49"/>
  <c r="W152" i="49"/>
  <c r="AE152" i="49"/>
  <c r="AM152" i="49"/>
  <c r="Y152" i="49"/>
  <c r="AP152" i="49"/>
  <c r="P152" i="49"/>
  <c r="X152" i="49"/>
  <c r="AF152" i="49"/>
  <c r="AN152" i="49"/>
  <c r="Q152" i="49"/>
  <c r="AH152" i="49"/>
  <c r="E156" i="49"/>
  <c r="AP156" i="49"/>
  <c r="AH156" i="49"/>
  <c r="Z156" i="49"/>
  <c r="R156" i="49"/>
  <c r="AI156" i="49"/>
  <c r="AO156" i="49"/>
  <c r="AG156" i="49"/>
  <c r="Y156" i="49"/>
  <c r="Q156" i="49"/>
  <c r="AJ156" i="49"/>
  <c r="AN156" i="49"/>
  <c r="AF156" i="49"/>
  <c r="X156" i="49"/>
  <c r="P156" i="49"/>
  <c r="T156" i="49"/>
  <c r="AM156" i="49"/>
  <c r="AE156" i="49"/>
  <c r="W156" i="49"/>
  <c r="O156" i="49"/>
  <c r="AL156" i="49"/>
  <c r="AD156" i="49"/>
  <c r="V156" i="49"/>
  <c r="AA156" i="49"/>
  <c r="AK156" i="49"/>
  <c r="AC156" i="49"/>
  <c r="U156" i="49"/>
  <c r="AB156" i="49"/>
  <c r="S156" i="49"/>
  <c r="E147" i="49"/>
  <c r="AH147" i="49"/>
  <c r="AP147" i="49"/>
  <c r="T147" i="49"/>
  <c r="AB147" i="49"/>
  <c r="AA147" i="49"/>
  <c r="AI147" i="49"/>
  <c r="U147" i="49"/>
  <c r="AC147" i="49"/>
  <c r="AJ147" i="49"/>
  <c r="V147" i="49"/>
  <c r="AD147" i="49"/>
  <c r="Z147" i="49"/>
  <c r="W147" i="49"/>
  <c r="AE147" i="49"/>
  <c r="AL147" i="49"/>
  <c r="P147" i="49"/>
  <c r="X147" i="49"/>
  <c r="AF147" i="49"/>
  <c r="AM147" i="49"/>
  <c r="Q147" i="49"/>
  <c r="Y147" i="49"/>
  <c r="AG147" i="49"/>
  <c r="S147" i="49"/>
  <c r="AN147" i="49"/>
  <c r="AO147" i="49"/>
  <c r="O147" i="49"/>
  <c r="E153" i="49"/>
  <c r="O153" i="49"/>
  <c r="W153" i="49"/>
  <c r="AE153" i="49"/>
  <c r="AM153" i="49"/>
  <c r="AD153" i="49"/>
  <c r="P153" i="49"/>
  <c r="X153" i="49"/>
  <c r="AF153" i="49"/>
  <c r="AN153" i="49"/>
  <c r="AK153" i="49"/>
  <c r="Q153" i="49"/>
  <c r="Y153" i="49"/>
  <c r="AG153" i="49"/>
  <c r="AO153" i="49"/>
  <c r="U153" i="49"/>
  <c r="AL153" i="49"/>
  <c r="R153" i="49"/>
  <c r="Z153" i="49"/>
  <c r="AH153" i="49"/>
  <c r="AP153" i="49"/>
  <c r="AC153" i="49"/>
  <c r="V153" i="49"/>
  <c r="S153" i="49"/>
  <c r="AA153" i="49"/>
  <c r="AI153" i="49"/>
  <c r="T153" i="49"/>
  <c r="AB153" i="49"/>
  <c r="AJ153" i="49"/>
  <c r="E157" i="49"/>
  <c r="AL157" i="49"/>
  <c r="AD157" i="49"/>
  <c r="V157" i="49"/>
  <c r="P157" i="49"/>
  <c r="AK157" i="49"/>
  <c r="AC157" i="49"/>
  <c r="U157" i="49"/>
  <c r="AE157" i="49"/>
  <c r="AJ157" i="49"/>
  <c r="AB157" i="49"/>
  <c r="T157" i="49"/>
  <c r="AN157" i="49"/>
  <c r="O157" i="49"/>
  <c r="AI157" i="49"/>
  <c r="AA157" i="49"/>
  <c r="S157" i="49"/>
  <c r="X157" i="49"/>
  <c r="W157" i="49"/>
  <c r="AP157" i="49"/>
  <c r="AH157" i="49"/>
  <c r="Z157" i="49"/>
  <c r="R157" i="49"/>
  <c r="AF157" i="49"/>
  <c r="AO157" i="49"/>
  <c r="AG157" i="49"/>
  <c r="Y157" i="49"/>
  <c r="Q157" i="49"/>
  <c r="AM157" i="49"/>
  <c r="E127" i="49"/>
  <c r="AL127" i="49"/>
  <c r="AD127" i="49"/>
  <c r="V127" i="49"/>
  <c r="AK127" i="49"/>
  <c r="AC127" i="49"/>
  <c r="U127" i="49"/>
  <c r="AJ127" i="49"/>
  <c r="AB127" i="49"/>
  <c r="T127" i="49"/>
  <c r="AI127" i="49"/>
  <c r="AA127" i="49"/>
  <c r="S127" i="49"/>
  <c r="AM127" i="49"/>
  <c r="O127" i="49"/>
  <c r="AP127" i="49"/>
  <c r="AH127" i="49"/>
  <c r="Z127" i="49"/>
  <c r="R127" i="49"/>
  <c r="W127" i="49"/>
  <c r="AO127" i="49"/>
  <c r="AG127" i="49"/>
  <c r="Y127" i="49"/>
  <c r="Q127" i="49"/>
  <c r="AN127" i="49"/>
  <c r="AF127" i="49"/>
  <c r="X127" i="49"/>
  <c r="P127" i="49"/>
  <c r="AE127" i="49"/>
  <c r="E131" i="49"/>
  <c r="AL131" i="49"/>
  <c r="AD131" i="49"/>
  <c r="V131" i="49"/>
  <c r="AK131" i="49"/>
  <c r="AC131" i="49"/>
  <c r="U131" i="49"/>
  <c r="AJ131" i="49"/>
  <c r="AB131" i="49"/>
  <c r="T131" i="49"/>
  <c r="AI131" i="49"/>
  <c r="AA131" i="49"/>
  <c r="S131" i="49"/>
  <c r="AM131" i="49"/>
  <c r="AP131" i="49"/>
  <c r="AH131" i="49"/>
  <c r="Z131" i="49"/>
  <c r="R131" i="49"/>
  <c r="O131" i="49"/>
  <c r="AO131" i="49"/>
  <c r="AG131" i="49"/>
  <c r="Y131" i="49"/>
  <c r="Q131" i="49"/>
  <c r="AE131" i="49"/>
  <c r="AN131" i="49"/>
  <c r="AF131" i="49"/>
  <c r="X131" i="49"/>
  <c r="P131" i="49"/>
  <c r="W131" i="49"/>
  <c r="E135" i="49"/>
  <c r="AL135" i="49"/>
  <c r="AD135" i="49"/>
  <c r="V135" i="49"/>
  <c r="AK135" i="49"/>
  <c r="AC135" i="49"/>
  <c r="U135" i="49"/>
  <c r="AJ135" i="49"/>
  <c r="AB135" i="49"/>
  <c r="T135" i="49"/>
  <c r="AI135" i="49"/>
  <c r="AA135" i="49"/>
  <c r="S135" i="49"/>
  <c r="W135" i="49"/>
  <c r="AP135" i="49"/>
  <c r="AH135" i="49"/>
  <c r="Z135" i="49"/>
  <c r="R135" i="49"/>
  <c r="AO135" i="49"/>
  <c r="AG135" i="49"/>
  <c r="Y135" i="49"/>
  <c r="Q135" i="49"/>
  <c r="AM135" i="49"/>
  <c r="AN135" i="49"/>
  <c r="AF135" i="49"/>
  <c r="X135" i="49"/>
  <c r="P135" i="49"/>
  <c r="AE135" i="49"/>
  <c r="O135" i="49"/>
  <c r="E134" i="49"/>
  <c r="AP134" i="49"/>
  <c r="AH134" i="49"/>
  <c r="Z134" i="49"/>
  <c r="R134" i="49"/>
  <c r="AO134" i="49"/>
  <c r="AG134" i="49"/>
  <c r="Y134" i="49"/>
  <c r="Q134" i="49"/>
  <c r="AN134" i="49"/>
  <c r="AF134" i="49"/>
  <c r="X134" i="49"/>
  <c r="P134" i="49"/>
  <c r="AM134" i="49"/>
  <c r="AE134" i="49"/>
  <c r="W134" i="49"/>
  <c r="O134" i="49"/>
  <c r="AL134" i="49"/>
  <c r="AD134" i="49"/>
  <c r="V134" i="49"/>
  <c r="AK134" i="49"/>
  <c r="AC134" i="49"/>
  <c r="U134" i="49"/>
  <c r="AI134" i="49"/>
  <c r="S134" i="49"/>
  <c r="AJ134" i="49"/>
  <c r="AB134" i="49"/>
  <c r="T134" i="49"/>
  <c r="AA134" i="49"/>
  <c r="E128" i="49"/>
  <c r="AP128" i="49"/>
  <c r="AH128" i="49"/>
  <c r="Z128" i="49"/>
  <c r="R128" i="49"/>
  <c r="AO128" i="49"/>
  <c r="AG128" i="49"/>
  <c r="Y128" i="49"/>
  <c r="Q128" i="49"/>
  <c r="AN128" i="49"/>
  <c r="AF128" i="49"/>
  <c r="X128" i="49"/>
  <c r="P128" i="49"/>
  <c r="AM128" i="49"/>
  <c r="AE128" i="49"/>
  <c r="W128" i="49"/>
  <c r="O128" i="49"/>
  <c r="AL128" i="49"/>
  <c r="AD128" i="49"/>
  <c r="V128" i="49"/>
  <c r="AA128" i="49"/>
  <c r="AK128" i="49"/>
  <c r="AC128" i="49"/>
  <c r="U128" i="49"/>
  <c r="S128" i="49"/>
  <c r="AJ128" i="49"/>
  <c r="AB128" i="49"/>
  <c r="T128" i="49"/>
  <c r="AI128" i="49"/>
  <c r="E132" i="49"/>
  <c r="AP132" i="49"/>
  <c r="AH132" i="49"/>
  <c r="Z132" i="49"/>
  <c r="R132" i="49"/>
  <c r="AO132" i="49"/>
  <c r="AG132" i="49"/>
  <c r="Y132" i="49"/>
  <c r="Q132" i="49"/>
  <c r="AN132" i="49"/>
  <c r="AF132" i="49"/>
  <c r="X132" i="49"/>
  <c r="P132" i="49"/>
  <c r="AM132" i="49"/>
  <c r="AE132" i="49"/>
  <c r="W132" i="49"/>
  <c r="AI132" i="49"/>
  <c r="AL132" i="49"/>
  <c r="AD132" i="49"/>
  <c r="V132" i="49"/>
  <c r="AA132" i="49"/>
  <c r="AK132" i="49"/>
  <c r="AC132" i="49"/>
  <c r="U132" i="49"/>
  <c r="AJ132" i="49"/>
  <c r="AB132" i="49"/>
  <c r="T132" i="49"/>
  <c r="S132" i="49"/>
  <c r="E136" i="49"/>
  <c r="AP136" i="49"/>
  <c r="AH136" i="49"/>
  <c r="Z136" i="49"/>
  <c r="R136" i="49"/>
  <c r="AO136" i="49"/>
  <c r="AG136" i="49"/>
  <c r="Y136" i="49"/>
  <c r="Q136" i="49"/>
  <c r="AN136" i="49"/>
  <c r="X136" i="49"/>
  <c r="P136" i="49"/>
  <c r="AM136" i="49"/>
  <c r="AE136" i="49"/>
  <c r="W136" i="49"/>
  <c r="O136" i="49"/>
  <c r="AL136" i="49"/>
  <c r="AD136" i="49"/>
  <c r="V136" i="49"/>
  <c r="AA136" i="49"/>
  <c r="AK136" i="49"/>
  <c r="AC136" i="49"/>
  <c r="U136" i="49"/>
  <c r="AI136" i="49"/>
  <c r="AJ136" i="49"/>
  <c r="AB136" i="49"/>
  <c r="T136" i="49"/>
  <c r="S136" i="49"/>
  <c r="E133" i="49"/>
  <c r="AL133" i="49"/>
  <c r="AD133" i="49"/>
  <c r="V133" i="49"/>
  <c r="AK133" i="49"/>
  <c r="AC133" i="49"/>
  <c r="U133" i="49"/>
  <c r="AJ133" i="49"/>
  <c r="AB133" i="49"/>
  <c r="T133" i="49"/>
  <c r="AI133" i="49"/>
  <c r="AA133" i="49"/>
  <c r="S133" i="49"/>
  <c r="AM133" i="49"/>
  <c r="AP133" i="49"/>
  <c r="AH133" i="49"/>
  <c r="Z133" i="49"/>
  <c r="R133" i="49"/>
  <c r="AO133" i="49"/>
  <c r="AG133" i="49"/>
  <c r="Y133" i="49"/>
  <c r="Q133" i="49"/>
  <c r="W133" i="49"/>
  <c r="AN133" i="49"/>
  <c r="AF133" i="49"/>
  <c r="X133" i="49"/>
  <c r="P133" i="49"/>
  <c r="AE133" i="49"/>
  <c r="O133" i="49"/>
  <c r="E47" i="49"/>
  <c r="K185" i="49"/>
  <c r="E49" i="49"/>
  <c r="O120" i="10"/>
  <c r="E65" i="49"/>
  <c r="AI65" i="49"/>
  <c r="S65" i="49"/>
  <c r="AA65" i="49"/>
  <c r="AM65" i="49"/>
  <c r="O65" i="49"/>
  <c r="U65" i="49"/>
  <c r="V65" i="49"/>
  <c r="AC65" i="49"/>
  <c r="AD65" i="49"/>
  <c r="W65" i="49"/>
  <c r="Q65" i="49"/>
  <c r="AK65" i="49"/>
  <c r="AL65" i="49"/>
  <c r="AE65" i="49"/>
  <c r="Y65" i="49"/>
  <c r="AH65" i="49"/>
  <c r="AG65" i="49"/>
  <c r="R65" i="49"/>
  <c r="T65" i="49"/>
  <c r="P65" i="49"/>
  <c r="AO65" i="49"/>
  <c r="Z65" i="49"/>
  <c r="AN65" i="49"/>
  <c r="AB65" i="49"/>
  <c r="X65" i="49"/>
  <c r="AJ65" i="49"/>
  <c r="AP65" i="49"/>
  <c r="AF65" i="49"/>
  <c r="E58" i="49"/>
  <c r="R58" i="49"/>
  <c r="AF58" i="49"/>
  <c r="AH58" i="49"/>
  <c r="P58" i="49"/>
  <c r="X58" i="49"/>
  <c r="Z58" i="49"/>
  <c r="AN58" i="49"/>
  <c r="AP58" i="49"/>
  <c r="S58" i="49"/>
  <c r="AK58" i="49"/>
  <c r="AE58" i="49"/>
  <c r="AA58" i="49"/>
  <c r="T58" i="49"/>
  <c r="AD58" i="49"/>
  <c r="W58" i="49"/>
  <c r="O58" i="49"/>
  <c r="AB58" i="49"/>
  <c r="AJ58" i="49"/>
  <c r="AO58" i="49"/>
  <c r="AM58" i="49"/>
  <c r="Q58" i="49"/>
  <c r="AL58" i="49"/>
  <c r="V58" i="49"/>
  <c r="Y58" i="49"/>
  <c r="AI58" i="49"/>
  <c r="AG58" i="49"/>
  <c r="U58" i="49"/>
  <c r="AC58" i="49"/>
  <c r="E62" i="49"/>
  <c r="AB62" i="49"/>
  <c r="AJ62" i="49"/>
  <c r="AP62" i="49"/>
  <c r="T62" i="49"/>
  <c r="R62" i="49"/>
  <c r="Z62" i="49"/>
  <c r="AH62" i="49"/>
  <c r="AK62" i="49"/>
  <c r="AC62" i="49"/>
  <c r="V62" i="49"/>
  <c r="AD62" i="49"/>
  <c r="AE62" i="49"/>
  <c r="S62" i="49"/>
  <c r="AL62" i="49"/>
  <c r="Q62" i="49"/>
  <c r="AI62" i="49"/>
  <c r="P62" i="49"/>
  <c r="Y62" i="49"/>
  <c r="AA62" i="49"/>
  <c r="AN62" i="49"/>
  <c r="O62" i="49"/>
  <c r="AF62" i="49"/>
  <c r="W62" i="49"/>
  <c r="AG62" i="49"/>
  <c r="U62" i="49"/>
  <c r="AM62" i="49"/>
  <c r="X62" i="49"/>
  <c r="AO62" i="49"/>
  <c r="E66" i="49"/>
  <c r="AF66" i="49"/>
  <c r="P66" i="49"/>
  <c r="AM66" i="49"/>
  <c r="V66" i="49"/>
  <c r="AN66" i="49"/>
  <c r="W66" i="49"/>
  <c r="X66" i="49"/>
  <c r="AD66" i="49"/>
  <c r="AE66" i="49"/>
  <c r="AL66" i="49"/>
  <c r="AB66" i="49"/>
  <c r="O66" i="49"/>
  <c r="T66" i="49"/>
  <c r="Y66" i="49"/>
  <c r="U66" i="49"/>
  <c r="AA66" i="49"/>
  <c r="AO66" i="49"/>
  <c r="Q66" i="49"/>
  <c r="AI66" i="49"/>
  <c r="AC66" i="49"/>
  <c r="S66" i="49"/>
  <c r="AG66" i="49"/>
  <c r="R66" i="49"/>
  <c r="AP66" i="49"/>
  <c r="AJ66" i="49"/>
  <c r="AK66" i="49"/>
  <c r="Z66" i="49"/>
  <c r="AH66" i="49"/>
  <c r="E82" i="49"/>
  <c r="T82" i="49"/>
  <c r="AB82" i="49"/>
  <c r="AJ82" i="49"/>
  <c r="V82" i="49"/>
  <c r="AD82" i="49"/>
  <c r="AL82" i="49"/>
  <c r="W82" i="49"/>
  <c r="AE82" i="49"/>
  <c r="AM82" i="49"/>
  <c r="P82" i="49"/>
  <c r="X82" i="49"/>
  <c r="AF82" i="49"/>
  <c r="AN82" i="49"/>
  <c r="O82" i="49"/>
  <c r="Q82" i="49"/>
  <c r="Y82" i="49"/>
  <c r="AG82" i="49"/>
  <c r="AO82" i="49"/>
  <c r="R82" i="49"/>
  <c r="Z82" i="49"/>
  <c r="AH82" i="49"/>
  <c r="AP82" i="49"/>
  <c r="AA82" i="49"/>
  <c r="AC82" i="49"/>
  <c r="U82" i="49"/>
  <c r="AI82" i="49"/>
  <c r="AK82" i="49"/>
  <c r="S82" i="49"/>
  <c r="E86" i="49"/>
  <c r="P86" i="49"/>
  <c r="X86" i="49"/>
  <c r="AF86" i="49"/>
  <c r="AN86" i="49"/>
  <c r="O86" i="49"/>
  <c r="R86" i="49"/>
  <c r="Z86" i="49"/>
  <c r="AH86" i="49"/>
  <c r="AP86" i="49"/>
  <c r="S86" i="49"/>
  <c r="AA86" i="49"/>
  <c r="AI86" i="49"/>
  <c r="T86" i="49"/>
  <c r="AB86" i="49"/>
  <c r="AJ86" i="49"/>
  <c r="U86" i="49"/>
  <c r="AC86" i="49"/>
  <c r="AK86" i="49"/>
  <c r="V86" i="49"/>
  <c r="AD86" i="49"/>
  <c r="AL86" i="49"/>
  <c r="Q86" i="49"/>
  <c r="W86" i="49"/>
  <c r="Y86" i="49"/>
  <c r="AE86" i="49"/>
  <c r="AG86" i="49"/>
  <c r="AO86" i="49"/>
  <c r="AM86" i="49"/>
  <c r="E61" i="49"/>
  <c r="V61" i="49"/>
  <c r="AD61" i="49"/>
  <c r="AL61" i="49"/>
  <c r="P61" i="49"/>
  <c r="X61" i="49"/>
  <c r="AF61" i="49"/>
  <c r="AN61" i="49"/>
  <c r="Q61" i="49"/>
  <c r="Y61" i="49"/>
  <c r="AG61" i="49"/>
  <c r="AO61" i="49"/>
  <c r="R61" i="49"/>
  <c r="Z61" i="49"/>
  <c r="AH61" i="49"/>
  <c r="AP61" i="49"/>
  <c r="T61" i="49"/>
  <c r="AB61" i="49"/>
  <c r="AJ61" i="49"/>
  <c r="S61" i="49"/>
  <c r="AM61" i="49"/>
  <c r="O61" i="49"/>
  <c r="U61" i="49"/>
  <c r="W61" i="49"/>
  <c r="AA61" i="49"/>
  <c r="AC61" i="49"/>
  <c r="AK61" i="49"/>
  <c r="AE61" i="49"/>
  <c r="AI61" i="49"/>
  <c r="E89" i="49"/>
  <c r="AM89" i="49"/>
  <c r="AE89" i="49"/>
  <c r="W89" i="49"/>
  <c r="O89" i="49"/>
  <c r="AK89" i="49"/>
  <c r="AC89" i="49"/>
  <c r="U89" i="49"/>
  <c r="AJ89" i="49"/>
  <c r="AB89" i="49"/>
  <c r="T89" i="49"/>
  <c r="AI89" i="49"/>
  <c r="AA89" i="49"/>
  <c r="S89" i="49"/>
  <c r="AP89" i="49"/>
  <c r="AH89" i="49"/>
  <c r="Z89" i="49"/>
  <c r="R89" i="49"/>
  <c r="AO89" i="49"/>
  <c r="AG89" i="49"/>
  <c r="Y89" i="49"/>
  <c r="Q89" i="49"/>
  <c r="AD89" i="49"/>
  <c r="X89" i="49"/>
  <c r="V89" i="49"/>
  <c r="P89" i="49"/>
  <c r="AF89" i="49"/>
  <c r="AN89" i="49"/>
  <c r="AL89" i="49"/>
  <c r="E63" i="49"/>
  <c r="Q63" i="49"/>
  <c r="AG63" i="49"/>
  <c r="Y63" i="49"/>
  <c r="AO63" i="49"/>
  <c r="O63" i="49"/>
  <c r="P63" i="49"/>
  <c r="V63" i="49"/>
  <c r="T63" i="49"/>
  <c r="AC63" i="49"/>
  <c r="AM63" i="49"/>
  <c r="X63" i="49"/>
  <c r="AJ63" i="49"/>
  <c r="AK63" i="49"/>
  <c r="AA63" i="49"/>
  <c r="AF63" i="49"/>
  <c r="AP63" i="49"/>
  <c r="U63" i="49"/>
  <c r="AN63" i="49"/>
  <c r="AI63" i="49"/>
  <c r="AL63" i="49"/>
  <c r="R63" i="49"/>
  <c r="W63" i="49"/>
  <c r="Z63" i="49"/>
  <c r="AD63" i="49"/>
  <c r="AE63" i="49"/>
  <c r="AH63" i="49"/>
  <c r="S63" i="49"/>
  <c r="AB63" i="49"/>
  <c r="E77" i="49"/>
  <c r="R77" i="49"/>
  <c r="Z77" i="49"/>
  <c r="AH77" i="49"/>
  <c r="AP77" i="49"/>
  <c r="T77" i="49"/>
  <c r="AB77" i="49"/>
  <c r="AJ77" i="49"/>
  <c r="U77" i="49"/>
  <c r="AC77" i="49"/>
  <c r="AK77" i="49"/>
  <c r="V77" i="49"/>
  <c r="AD77" i="49"/>
  <c r="AL77" i="49"/>
  <c r="W77" i="49"/>
  <c r="AE77" i="49"/>
  <c r="AM77" i="49"/>
  <c r="O77" i="49"/>
  <c r="P77" i="49"/>
  <c r="X77" i="49"/>
  <c r="AF77" i="49"/>
  <c r="AN77" i="49"/>
  <c r="Y77" i="49"/>
  <c r="AA77" i="49"/>
  <c r="AG77" i="49"/>
  <c r="AI77" i="49"/>
  <c r="S77" i="49"/>
  <c r="AO77" i="49"/>
  <c r="Q77" i="49"/>
  <c r="E83" i="49"/>
  <c r="Q83" i="49"/>
  <c r="Y83" i="49"/>
  <c r="AG83" i="49"/>
  <c r="AO83" i="49"/>
  <c r="S83" i="49"/>
  <c r="AA83" i="49"/>
  <c r="AI83" i="49"/>
  <c r="T83" i="49"/>
  <c r="AB83" i="49"/>
  <c r="AJ83" i="49"/>
  <c r="U83" i="49"/>
  <c r="AC83" i="49"/>
  <c r="AK83" i="49"/>
  <c r="V83" i="49"/>
  <c r="AD83" i="49"/>
  <c r="AL83" i="49"/>
  <c r="O83" i="49"/>
  <c r="W83" i="49"/>
  <c r="AE83" i="49"/>
  <c r="AM83" i="49"/>
  <c r="AF83" i="49"/>
  <c r="AH83" i="49"/>
  <c r="AN83" i="49"/>
  <c r="AP83" i="49"/>
  <c r="P83" i="49"/>
  <c r="Z83" i="49"/>
  <c r="R83" i="49"/>
  <c r="X83" i="49"/>
  <c r="E87" i="49"/>
  <c r="U87" i="49"/>
  <c r="AD87" i="49"/>
  <c r="AN87" i="49"/>
  <c r="X87" i="49"/>
  <c r="AG87" i="49"/>
  <c r="AP87" i="49"/>
  <c r="P87" i="49"/>
  <c r="Y87" i="49"/>
  <c r="AH87" i="49"/>
  <c r="Q87" i="49"/>
  <c r="Z87" i="49"/>
  <c r="AI87" i="49"/>
  <c r="R87" i="49"/>
  <c r="AA87" i="49"/>
  <c r="AJ87" i="49"/>
  <c r="S87" i="49"/>
  <c r="AB87" i="49"/>
  <c r="AK87" i="49"/>
  <c r="T87" i="49"/>
  <c r="V87" i="49"/>
  <c r="AC87" i="49"/>
  <c r="AF87" i="49"/>
  <c r="AL87" i="49"/>
  <c r="O87" i="49"/>
  <c r="AO87" i="49"/>
  <c r="AE87" i="49"/>
  <c r="AM87" i="49"/>
  <c r="W87" i="49"/>
  <c r="E57" i="49"/>
  <c r="AC57" i="49"/>
  <c r="AI57" i="49"/>
  <c r="AG57" i="49"/>
  <c r="O57" i="49"/>
  <c r="AK57" i="49"/>
  <c r="AM57" i="49"/>
  <c r="AO57" i="49"/>
  <c r="R57" i="49"/>
  <c r="AE57" i="49"/>
  <c r="S57" i="49"/>
  <c r="AA57" i="49"/>
  <c r="T57" i="49"/>
  <c r="V57" i="49"/>
  <c r="X57" i="49"/>
  <c r="AJ57" i="49"/>
  <c r="AD57" i="49"/>
  <c r="W57" i="49"/>
  <c r="AF57" i="49"/>
  <c r="AL57" i="49"/>
  <c r="Z57" i="49"/>
  <c r="AH57" i="49"/>
  <c r="AB57" i="49"/>
  <c r="Y57" i="49"/>
  <c r="AP57" i="49"/>
  <c r="U57" i="49"/>
  <c r="AN57" i="49"/>
  <c r="Q57" i="49"/>
  <c r="P57" i="49"/>
  <c r="E85" i="49"/>
  <c r="S85" i="49"/>
  <c r="AA85" i="49"/>
  <c r="AI85" i="49"/>
  <c r="U85" i="49"/>
  <c r="AC85" i="49"/>
  <c r="AK85" i="49"/>
  <c r="V85" i="49"/>
  <c r="AD85" i="49"/>
  <c r="AL85" i="49"/>
  <c r="W85" i="49"/>
  <c r="AE85" i="49"/>
  <c r="AM85" i="49"/>
  <c r="P85" i="49"/>
  <c r="X85" i="49"/>
  <c r="AF85" i="49"/>
  <c r="AN85" i="49"/>
  <c r="Q85" i="49"/>
  <c r="Y85" i="49"/>
  <c r="AG85" i="49"/>
  <c r="AO85" i="49"/>
  <c r="AP85" i="49"/>
  <c r="R85" i="49"/>
  <c r="AJ85" i="49"/>
  <c r="T85" i="49"/>
  <c r="Z85" i="49"/>
  <c r="AB85" i="49"/>
  <c r="AH85" i="49"/>
  <c r="O85" i="49"/>
  <c r="E64" i="49"/>
  <c r="T64" i="49"/>
  <c r="AB64" i="49"/>
  <c r="AD64" i="49"/>
  <c r="AJ64" i="49"/>
  <c r="O64" i="49"/>
  <c r="AL64" i="49"/>
  <c r="V64" i="49"/>
  <c r="AI64" i="49"/>
  <c r="AF64" i="49"/>
  <c r="AE64" i="49"/>
  <c r="U64" i="49"/>
  <c r="AN64" i="49"/>
  <c r="AH64" i="49"/>
  <c r="AA64" i="49"/>
  <c r="AC64" i="49"/>
  <c r="P64" i="49"/>
  <c r="Q64" i="49"/>
  <c r="S64" i="49"/>
  <c r="R64" i="49"/>
  <c r="AK64" i="49"/>
  <c r="Y64" i="49"/>
  <c r="Z64" i="49"/>
  <c r="AM64" i="49"/>
  <c r="AG64" i="49"/>
  <c r="W64" i="49"/>
  <c r="X64" i="49"/>
  <c r="AO64" i="49"/>
  <c r="AP64" i="49"/>
  <c r="E78" i="49"/>
  <c r="W78" i="49"/>
  <c r="AE78" i="49"/>
  <c r="AM78" i="49"/>
  <c r="Q78" i="49"/>
  <c r="Y78" i="49"/>
  <c r="AG78" i="49"/>
  <c r="AO78" i="49"/>
  <c r="R78" i="49"/>
  <c r="Z78" i="49"/>
  <c r="AH78" i="49"/>
  <c r="AP78" i="49"/>
  <c r="S78" i="49"/>
  <c r="AA78" i="49"/>
  <c r="AI78" i="49"/>
  <c r="O78" i="49"/>
  <c r="T78" i="49"/>
  <c r="AB78" i="49"/>
  <c r="AJ78" i="49"/>
  <c r="U78" i="49"/>
  <c r="AC78" i="49"/>
  <c r="AK78" i="49"/>
  <c r="AD78" i="49"/>
  <c r="AF78" i="49"/>
  <c r="AL78" i="49"/>
  <c r="AN78" i="49"/>
  <c r="P78" i="49"/>
  <c r="X78" i="49"/>
  <c r="V78" i="49"/>
  <c r="E84" i="49"/>
  <c r="V84" i="49"/>
  <c r="AD84" i="49"/>
  <c r="AL84" i="49"/>
  <c r="P84" i="49"/>
  <c r="X84" i="49"/>
  <c r="AF84" i="49"/>
  <c r="AN84" i="49"/>
  <c r="Q84" i="49"/>
  <c r="Y84" i="49"/>
  <c r="AG84" i="49"/>
  <c r="AO84" i="49"/>
  <c r="R84" i="49"/>
  <c r="Z84" i="49"/>
  <c r="AH84" i="49"/>
  <c r="AP84" i="49"/>
  <c r="S84" i="49"/>
  <c r="AA84" i="49"/>
  <c r="AI84" i="49"/>
  <c r="T84" i="49"/>
  <c r="AB84" i="49"/>
  <c r="AJ84" i="49"/>
  <c r="O84" i="49"/>
  <c r="AK84" i="49"/>
  <c r="AE84" i="49"/>
  <c r="AM84" i="49"/>
  <c r="U84" i="49"/>
  <c r="W84" i="49"/>
  <c r="AC84" i="49"/>
  <c r="E88" i="49"/>
  <c r="W88" i="49"/>
  <c r="AE88" i="49"/>
  <c r="AM88" i="49"/>
  <c r="Q88" i="49"/>
  <c r="Y88" i="49"/>
  <c r="AG88" i="49"/>
  <c r="AO88" i="49"/>
  <c r="R88" i="49"/>
  <c r="Z88" i="49"/>
  <c r="AH88" i="49"/>
  <c r="AP88" i="49"/>
  <c r="S88" i="49"/>
  <c r="AA88" i="49"/>
  <c r="AI88" i="49"/>
  <c r="O88" i="49"/>
  <c r="T88" i="49"/>
  <c r="AB88" i="49"/>
  <c r="AJ88" i="49"/>
  <c r="U88" i="49"/>
  <c r="AC88" i="49"/>
  <c r="AK88" i="49"/>
  <c r="AF88" i="49"/>
  <c r="AL88" i="49"/>
  <c r="AN88" i="49"/>
  <c r="P88" i="49"/>
  <c r="AD88" i="49"/>
  <c r="V88" i="49"/>
  <c r="X88" i="49"/>
  <c r="E81" i="49"/>
  <c r="W81" i="49"/>
  <c r="AE81" i="49"/>
  <c r="AM81" i="49"/>
  <c r="Q81" i="49"/>
  <c r="Y81" i="49"/>
  <c r="AG81" i="49"/>
  <c r="AO81" i="49"/>
  <c r="R81" i="49"/>
  <c r="Z81" i="49"/>
  <c r="AH81" i="49"/>
  <c r="AP81" i="49"/>
  <c r="O81" i="49"/>
  <c r="S81" i="49"/>
  <c r="AA81" i="49"/>
  <c r="AI81" i="49"/>
  <c r="T81" i="49"/>
  <c r="AB81" i="49"/>
  <c r="AJ81" i="49"/>
  <c r="U81" i="49"/>
  <c r="AC81" i="49"/>
  <c r="AK81" i="49"/>
  <c r="V81" i="49"/>
  <c r="X81" i="49"/>
  <c r="AD81" i="49"/>
  <c r="AF81" i="49"/>
  <c r="AL81" i="49"/>
  <c r="P81" i="49"/>
  <c r="AN81" i="49"/>
  <c r="E12" i="49"/>
  <c r="I12" i="49" s="1"/>
  <c r="I63" i="49" s="1"/>
  <c r="E9" i="49"/>
  <c r="I9" i="49" s="1"/>
  <c r="I95" i="49" s="1"/>
  <c r="J14" i="49"/>
  <c r="K38" i="49"/>
  <c r="O119" i="10"/>
  <c r="K37" i="49"/>
  <c r="E40" i="49"/>
  <c r="P12" i="56"/>
  <c r="C328" i="56"/>
  <c r="M26" i="56"/>
  <c r="A326" i="56"/>
  <c r="C377" i="56"/>
  <c r="E26" i="56"/>
  <c r="M68" i="56"/>
  <c r="M7" i="56"/>
  <c r="E11" i="56"/>
  <c r="N60" i="10" s="1"/>
  <c r="E6" i="56"/>
  <c r="N55" i="10" s="1"/>
  <c r="M6" i="56"/>
  <c r="M11" i="56"/>
  <c r="E68" i="56"/>
  <c r="N117" i="10" s="1"/>
  <c r="C363" i="56"/>
  <c r="N13" i="56"/>
  <c r="M72" i="56"/>
  <c r="D377" i="56"/>
  <c r="N72" i="56"/>
  <c r="N25" i="56"/>
  <c r="P26" i="56"/>
  <c r="AF24" i="17"/>
  <c r="AH25" i="17"/>
  <c r="W24" i="17"/>
  <c r="R25" i="17"/>
  <c r="Z25" i="17"/>
  <c r="M24" i="17"/>
  <c r="M25" i="17"/>
  <c r="Y25" i="17"/>
  <c r="AG24" i="17"/>
  <c r="AI25" i="17"/>
  <c r="X24" i="17"/>
  <c r="S25" i="17"/>
  <c r="AA25" i="17"/>
  <c r="N24" i="17"/>
  <c r="N25" i="17"/>
  <c r="AG25" i="17"/>
  <c r="AB16" i="17"/>
  <c r="AH24" i="17"/>
  <c r="AH23" i="17" s="1"/>
  <c r="AJ25" i="17"/>
  <c r="Y24" i="17"/>
  <c r="T25" i="17"/>
  <c r="AB25" i="17"/>
  <c r="O24" i="17"/>
  <c r="O25" i="17"/>
  <c r="AE24" i="17"/>
  <c r="AI24" i="17"/>
  <c r="AI23" i="17" s="1"/>
  <c r="R24" i="17"/>
  <c r="Z24" i="17"/>
  <c r="U25" i="17"/>
  <c r="AC25" i="17"/>
  <c r="P24" i="17"/>
  <c r="P25" i="17"/>
  <c r="V24" i="17"/>
  <c r="AJ24" i="17"/>
  <c r="S24" i="17"/>
  <c r="AA24" i="17"/>
  <c r="V25" i="17"/>
  <c r="AD25" i="17"/>
  <c r="Q24" i="17"/>
  <c r="Q25" i="17"/>
  <c r="L25" i="17"/>
  <c r="AE25" i="17"/>
  <c r="T24" i="17"/>
  <c r="AB24" i="17"/>
  <c r="W25" i="17"/>
  <c r="J24" i="17"/>
  <c r="J25" i="17"/>
  <c r="I25" i="17"/>
  <c r="L24" i="17"/>
  <c r="L23" i="17" s="1"/>
  <c r="AF25" i="17"/>
  <c r="U24" i="17"/>
  <c r="AC24" i="17"/>
  <c r="X25" i="17"/>
  <c r="K24" i="17"/>
  <c r="K25" i="17"/>
  <c r="I24" i="17"/>
  <c r="I23" i="17" s="1"/>
  <c r="AD24" i="17"/>
  <c r="AE27" i="17"/>
  <c r="AF28" i="17"/>
  <c r="AG29" i="17"/>
  <c r="AH30" i="17"/>
  <c r="V27" i="17"/>
  <c r="Q28" i="17"/>
  <c r="Y28" i="17"/>
  <c r="T29" i="17"/>
  <c r="AB29" i="17"/>
  <c r="W30" i="17"/>
  <c r="P27" i="17"/>
  <c r="K27" i="17"/>
  <c r="N28" i="17"/>
  <c r="L30" i="17"/>
  <c r="AF29" i="17"/>
  <c r="M28" i="17"/>
  <c r="AF27" i="17"/>
  <c r="AG28" i="17"/>
  <c r="AH29" i="17"/>
  <c r="AI30" i="17"/>
  <c r="W27" i="17"/>
  <c r="R28" i="17"/>
  <c r="Z28" i="17"/>
  <c r="U29" i="17"/>
  <c r="AC29" i="17"/>
  <c r="X30" i="17"/>
  <c r="O28" i="17"/>
  <c r="L27" i="17"/>
  <c r="J29" i="17"/>
  <c r="M30" i="17"/>
  <c r="AA29" i="17"/>
  <c r="AG27" i="17"/>
  <c r="AH28" i="17"/>
  <c r="AI29" i="17"/>
  <c r="AJ30" i="17"/>
  <c r="X27" i="17"/>
  <c r="S28" i="17"/>
  <c r="AA28" i="17"/>
  <c r="V29" i="17"/>
  <c r="Q30" i="17"/>
  <c r="Y30" i="17"/>
  <c r="P28" i="17"/>
  <c r="M27" i="17"/>
  <c r="K29" i="17"/>
  <c r="N30" i="17"/>
  <c r="S29" i="17"/>
  <c r="AH27" i="17"/>
  <c r="AI28" i="17"/>
  <c r="AJ29" i="17"/>
  <c r="Q27" i="17"/>
  <c r="Y27" i="17"/>
  <c r="T28" i="17"/>
  <c r="AB28" i="17"/>
  <c r="W29" i="17"/>
  <c r="R30" i="17"/>
  <c r="Z30" i="17"/>
  <c r="O29" i="17"/>
  <c r="N27" i="17"/>
  <c r="L29" i="17"/>
  <c r="I30" i="17"/>
  <c r="AD27" i="17"/>
  <c r="AC27" i="17"/>
  <c r="V30" i="17"/>
  <c r="AI27" i="17"/>
  <c r="AJ28" i="17"/>
  <c r="AD30" i="17"/>
  <c r="R27" i="17"/>
  <c r="Z27" i="17"/>
  <c r="U28" i="17"/>
  <c r="AC28" i="17"/>
  <c r="X29" i="17"/>
  <c r="S30" i="17"/>
  <c r="AA30" i="17"/>
  <c r="P29" i="17"/>
  <c r="J28" i="17"/>
  <c r="M29" i="17"/>
  <c r="I29" i="17"/>
  <c r="U27" i="17"/>
  <c r="K30" i="17"/>
  <c r="AJ27" i="17"/>
  <c r="AD29" i="17"/>
  <c r="AE30" i="17"/>
  <c r="S27" i="17"/>
  <c r="AA27" i="17"/>
  <c r="V28" i="17"/>
  <c r="Q29" i="17"/>
  <c r="Y29" i="17"/>
  <c r="T30" i="17"/>
  <c r="AB30" i="17"/>
  <c r="O30" i="17"/>
  <c r="K28" i="17"/>
  <c r="N29" i="17"/>
  <c r="I28" i="17"/>
  <c r="AG30" i="17"/>
  <c r="J27" i="17"/>
  <c r="AD28" i="17"/>
  <c r="AE29" i="17"/>
  <c r="AF30" i="17"/>
  <c r="T27" i="17"/>
  <c r="AB27" i="17"/>
  <c r="W28" i="17"/>
  <c r="R29" i="17"/>
  <c r="Z29" i="17"/>
  <c r="U30" i="17"/>
  <c r="AC30" i="17"/>
  <c r="P30" i="17"/>
  <c r="L28" i="17"/>
  <c r="J30" i="17"/>
  <c r="I27" i="17"/>
  <c r="AE28" i="17"/>
  <c r="X28" i="17"/>
  <c r="O27" i="17"/>
  <c r="AE43" i="17"/>
  <c r="R43" i="17"/>
  <c r="Z43" i="17"/>
  <c r="N43" i="17"/>
  <c r="Y43" i="17"/>
  <c r="AF43" i="17"/>
  <c r="S43" i="17"/>
  <c r="AA43" i="17"/>
  <c r="O43" i="17"/>
  <c r="AG43" i="17"/>
  <c r="T43" i="17"/>
  <c r="AB43" i="17"/>
  <c r="I43" i="17"/>
  <c r="AH43" i="17"/>
  <c r="U43" i="17"/>
  <c r="AC43" i="17"/>
  <c r="Q43" i="17"/>
  <c r="AI43" i="17"/>
  <c r="V43" i="17"/>
  <c r="J43" i="17"/>
  <c r="AJ43" i="17"/>
  <c r="W43" i="17"/>
  <c r="K43" i="17"/>
  <c r="M43" i="17"/>
  <c r="P43" i="17"/>
  <c r="X43" i="17"/>
  <c r="L43" i="17"/>
  <c r="AD43" i="17"/>
  <c r="AD35" i="17"/>
  <c r="AD36" i="17"/>
  <c r="K35" i="17"/>
  <c r="S35" i="17"/>
  <c r="AA35" i="17"/>
  <c r="P36" i="17"/>
  <c r="X36" i="17"/>
  <c r="J35" i="17"/>
  <c r="AE35" i="17"/>
  <c r="AE36" i="17"/>
  <c r="L35" i="17"/>
  <c r="T35" i="17"/>
  <c r="AB35" i="17"/>
  <c r="Q36" i="17"/>
  <c r="Y36" i="17"/>
  <c r="O36" i="17"/>
  <c r="AF35" i="17"/>
  <c r="AF36" i="17"/>
  <c r="M35" i="17"/>
  <c r="U35" i="17"/>
  <c r="J36" i="17"/>
  <c r="R36" i="17"/>
  <c r="Z36" i="17"/>
  <c r="W36" i="17"/>
  <c r="AG35" i="17"/>
  <c r="AG36" i="17"/>
  <c r="N35" i="17"/>
  <c r="V35" i="17"/>
  <c r="K36" i="17"/>
  <c r="S36" i="17"/>
  <c r="AA36" i="17"/>
  <c r="AC35" i="17"/>
  <c r="AH35" i="17"/>
  <c r="AH36" i="17"/>
  <c r="O35" i="17"/>
  <c r="W35" i="17"/>
  <c r="L36" i="17"/>
  <c r="T36" i="17"/>
  <c r="AB36" i="17"/>
  <c r="Z35" i="17"/>
  <c r="AI35" i="17"/>
  <c r="AI36" i="17"/>
  <c r="P35" i="17"/>
  <c r="X35" i="17"/>
  <c r="M36" i="17"/>
  <c r="U36" i="17"/>
  <c r="I36" i="17"/>
  <c r="R35" i="17"/>
  <c r="AJ35" i="17"/>
  <c r="AJ36" i="17"/>
  <c r="Q35" i="17"/>
  <c r="Y35" i="17"/>
  <c r="N36" i="17"/>
  <c r="V36" i="17"/>
  <c r="I35" i="17"/>
  <c r="AC36" i="17"/>
  <c r="N9" i="56"/>
  <c r="K72" i="56"/>
  <c r="B312" i="56"/>
  <c r="E15" i="49"/>
  <c r="I15" i="49" s="1"/>
  <c r="E44" i="49"/>
  <c r="J26" i="49"/>
  <c r="E45" i="49"/>
  <c r="J32" i="49"/>
  <c r="J83" i="49" s="1"/>
  <c r="E8" i="49"/>
  <c r="I8" i="49" s="1"/>
  <c r="I59" i="49" s="1"/>
  <c r="K176" i="49"/>
  <c r="E7" i="49"/>
  <c r="I7" i="49" s="1"/>
  <c r="K180" i="49"/>
  <c r="K175" i="49"/>
  <c r="J8" i="49"/>
  <c r="J59" i="49" s="1"/>
  <c r="J37" i="49"/>
  <c r="E34" i="49"/>
  <c r="I34" i="49" s="1"/>
  <c r="K183" i="49"/>
  <c r="K32" i="49"/>
  <c r="E13" i="49"/>
  <c r="I13" i="49" s="1"/>
  <c r="E14" i="49"/>
  <c r="I14" i="49" s="1"/>
  <c r="J30" i="49"/>
  <c r="J116" i="49" s="1"/>
  <c r="K178" i="49"/>
  <c r="J34" i="49"/>
  <c r="J120" i="49" s="1"/>
  <c r="K36" i="49"/>
  <c r="E46" i="49"/>
  <c r="K182" i="49"/>
  <c r="J90" i="49"/>
  <c r="AG262" i="61"/>
  <c r="O262" i="61"/>
  <c r="H277" i="61"/>
  <c r="I65" i="62"/>
  <c r="N262" i="61"/>
  <c r="Z262" i="61"/>
  <c r="H262" i="61"/>
  <c r="H287" i="61"/>
  <c r="R277" i="61"/>
  <c r="S287" i="61"/>
  <c r="S312" i="61" s="1"/>
  <c r="X277" i="61"/>
  <c r="U277" i="61"/>
  <c r="V277" i="61"/>
  <c r="T277" i="61"/>
  <c r="AA277" i="61"/>
  <c r="N287" i="61"/>
  <c r="N313" i="61" s="1"/>
  <c r="O287" i="61"/>
  <c r="J287" i="61"/>
  <c r="J277" i="61"/>
  <c r="K277" i="61"/>
  <c r="K287" i="61"/>
  <c r="I287" i="61"/>
  <c r="I312" i="61" s="1"/>
  <c r="AE79" i="61"/>
  <c r="AE84" i="61"/>
  <c r="O65" i="10"/>
  <c r="E377" i="56"/>
  <c r="A365" i="56"/>
  <c r="N65" i="56"/>
  <c r="A319" i="56"/>
  <c r="J38" i="49"/>
  <c r="J89" i="49" s="1"/>
  <c r="N121" i="10"/>
  <c r="P20" i="56"/>
  <c r="B328" i="56"/>
  <c r="B311" i="56"/>
  <c r="M34" i="49"/>
  <c r="B315" i="56"/>
  <c r="N27" i="56"/>
  <c r="N24" i="56"/>
  <c r="N64" i="56"/>
  <c r="P6" i="56"/>
  <c r="N30" i="56"/>
  <c r="A370" i="56"/>
  <c r="A316" i="56"/>
  <c r="M53" i="10"/>
  <c r="J33" i="49"/>
  <c r="N22" i="56"/>
  <c r="N58" i="56"/>
  <c r="N26" i="56"/>
  <c r="K70" i="56"/>
  <c r="E15" i="56"/>
  <c r="E320" i="56" s="1"/>
  <c r="A315" i="56"/>
  <c r="C370" i="56"/>
  <c r="A313" i="56"/>
  <c r="N60" i="56"/>
  <c r="E20" i="56"/>
  <c r="E325" i="56" s="1"/>
  <c r="E64" i="56"/>
  <c r="K64" i="56" s="1"/>
  <c r="P19" i="56"/>
  <c r="M64" i="56"/>
  <c r="M15" i="56"/>
  <c r="K31" i="49"/>
  <c r="J175" i="49"/>
  <c r="J192" i="49" s="1"/>
  <c r="E42" i="49"/>
  <c r="K27" i="49"/>
  <c r="J15" i="49"/>
  <c r="M29" i="10" s="1"/>
  <c r="K35" i="49"/>
  <c r="K174" i="49" s="1"/>
  <c r="J27" i="49"/>
  <c r="J148" i="49" s="1"/>
  <c r="I38" i="49"/>
  <c r="P28" i="56"/>
  <c r="A333" i="56"/>
  <c r="M14" i="49"/>
  <c r="M36" i="49"/>
  <c r="J36" i="49"/>
  <c r="J157" i="49" s="1"/>
  <c r="J125" i="49"/>
  <c r="P58" i="56"/>
  <c r="P16" i="56"/>
  <c r="E184" i="49"/>
  <c r="K184" i="49"/>
  <c r="C311" i="56"/>
  <c r="D313" i="56"/>
  <c r="M8" i="56"/>
  <c r="E8" i="56"/>
  <c r="K8" i="56" s="1"/>
  <c r="D332" i="56"/>
  <c r="E27" i="56"/>
  <c r="E177" i="49"/>
  <c r="K177" i="49"/>
  <c r="E181" i="49"/>
  <c r="K181" i="49"/>
  <c r="N18" i="56"/>
  <c r="K48" i="49"/>
  <c r="E48" i="49"/>
  <c r="C365" i="56"/>
  <c r="D379" i="56"/>
  <c r="E74" i="56"/>
  <c r="M74" i="56"/>
  <c r="C327" i="56"/>
  <c r="K11" i="49"/>
  <c r="E11" i="49"/>
  <c r="I11" i="49" s="1"/>
  <c r="L25" i="10" s="1"/>
  <c r="J12" i="49"/>
  <c r="J98" i="49" s="1"/>
  <c r="J10" i="49"/>
  <c r="P30" i="56"/>
  <c r="A335" i="56"/>
  <c r="P13" i="56"/>
  <c r="A318" i="56"/>
  <c r="B322" i="56"/>
  <c r="P7" i="56"/>
  <c r="P27" i="56"/>
  <c r="A332" i="56"/>
  <c r="A369" i="56"/>
  <c r="A323" i="56"/>
  <c r="B379" i="56"/>
  <c r="B373" i="56"/>
  <c r="K19" i="56"/>
  <c r="C11" i="50"/>
  <c r="D11" i="50"/>
  <c r="C12" i="50"/>
  <c r="D12" i="50"/>
  <c r="D13" i="50"/>
  <c r="C13" i="50"/>
  <c r="C8" i="50"/>
  <c r="D8" i="50"/>
  <c r="E6" i="49"/>
  <c r="I6" i="49" s="1"/>
  <c r="K6" i="49"/>
  <c r="D325" i="56"/>
  <c r="M20" i="56"/>
  <c r="J35" i="49"/>
  <c r="J121" i="49" s="1"/>
  <c r="J11" i="49"/>
  <c r="J132" i="49" s="1"/>
  <c r="A330" i="56"/>
  <c r="P25" i="56"/>
  <c r="P15" i="56"/>
  <c r="A320" i="56"/>
  <c r="N20" i="56"/>
  <c r="B316" i="56"/>
  <c r="N11" i="56"/>
  <c r="M385" i="56"/>
  <c r="J13" i="49"/>
  <c r="I10" i="49"/>
  <c r="M7" i="49"/>
  <c r="N14" i="56"/>
  <c r="B319" i="56"/>
  <c r="K43" i="49"/>
  <c r="E43" i="49"/>
  <c r="C333" i="56"/>
  <c r="E26" i="49"/>
  <c r="K26" i="49"/>
  <c r="E179" i="49"/>
  <c r="K179" i="49"/>
  <c r="E33" i="49"/>
  <c r="K33" i="49"/>
  <c r="E324" i="56"/>
  <c r="N68" i="10"/>
  <c r="E30" i="49"/>
  <c r="K30" i="49"/>
  <c r="B324" i="56"/>
  <c r="B313" i="56"/>
  <c r="A379" i="56"/>
  <c r="I31" i="49"/>
  <c r="I82" i="49" s="1"/>
  <c r="N8" i="56"/>
  <c r="B371" i="56"/>
  <c r="A378" i="56"/>
  <c r="I35" i="49"/>
  <c r="I174" i="49" s="1"/>
  <c r="J7" i="49"/>
  <c r="E370" i="56"/>
  <c r="N114" i="10"/>
  <c r="P24" i="56"/>
  <c r="A329" i="56"/>
  <c r="J31" i="49"/>
  <c r="M37" i="49"/>
  <c r="C6" i="50"/>
  <c r="J6" i="49"/>
  <c r="O114" i="10"/>
  <c r="B364" i="56"/>
  <c r="A327" i="56"/>
  <c r="P59" i="56"/>
  <c r="A364" i="56"/>
  <c r="C10" i="50"/>
  <c r="M6" i="49"/>
  <c r="P9" i="56"/>
  <c r="E321" i="56"/>
  <c r="K16" i="56"/>
  <c r="A322" i="56"/>
  <c r="P72" i="56"/>
  <c r="A377" i="56"/>
  <c r="K65" i="56"/>
  <c r="B326" i="56"/>
  <c r="A328" i="56"/>
  <c r="J9" i="49"/>
  <c r="N66" i="56"/>
  <c r="M9" i="49"/>
  <c r="B378" i="56"/>
  <c r="B333" i="56"/>
  <c r="I32" i="49"/>
  <c r="I153" i="49" s="1"/>
  <c r="I36" i="49"/>
  <c r="I87" i="49" s="1"/>
  <c r="W42" i="17"/>
  <c r="N118" i="10"/>
  <c r="I39" i="49"/>
  <c r="L53" i="10" s="1"/>
  <c r="N119" i="10"/>
  <c r="I37" i="49"/>
  <c r="I27" i="49"/>
  <c r="I113" i="49" s="1"/>
  <c r="L9" i="56"/>
  <c r="M58" i="10" s="1"/>
  <c r="L10" i="56"/>
  <c r="M59" i="10" s="1"/>
  <c r="L11" i="56"/>
  <c r="M60" i="10" s="1"/>
  <c r="L12" i="56"/>
  <c r="M61" i="10" s="1"/>
  <c r="L13" i="56"/>
  <c r="M62" i="10" s="1"/>
  <c r="L14" i="56"/>
  <c r="M63" i="10" s="1"/>
  <c r="L15" i="56"/>
  <c r="M64" i="10" s="1"/>
  <c r="L58" i="56"/>
  <c r="M107" i="10" s="1"/>
  <c r="L59" i="56"/>
  <c r="M108" i="10" s="1"/>
  <c r="L60" i="56"/>
  <c r="M109" i="10" s="1"/>
  <c r="L365" i="56" s="1"/>
  <c r="L64" i="56"/>
  <c r="M113" i="10" s="1"/>
  <c r="L69" i="56"/>
  <c r="M118" i="10" s="1"/>
  <c r="L374" i="56" s="1"/>
  <c r="L70" i="56"/>
  <c r="M119" i="10" s="1"/>
  <c r="L71" i="56"/>
  <c r="M120" i="10" s="1"/>
  <c r="L72" i="56"/>
  <c r="M121" i="10" s="1"/>
  <c r="L73" i="56"/>
  <c r="M122" i="10" s="1"/>
  <c r="L375" i="56" s="1"/>
  <c r="L74" i="56"/>
  <c r="M123" i="10" s="1"/>
  <c r="L376" i="56" s="1"/>
  <c r="L66" i="56"/>
  <c r="M115" i="10" s="1"/>
  <c r="L371" i="56" s="1"/>
  <c r="L65" i="56"/>
  <c r="M114" i="10" s="1"/>
  <c r="L16" i="56"/>
  <c r="M65" i="10" s="1"/>
  <c r="L388" i="56" s="1"/>
  <c r="L17" i="56"/>
  <c r="M66" i="10" s="1"/>
  <c r="L389" i="56" s="1"/>
  <c r="L18" i="56"/>
  <c r="M67" i="10" s="1"/>
  <c r="L390" i="56" s="1"/>
  <c r="L19" i="56"/>
  <c r="M68" i="10" s="1"/>
  <c r="L391" i="56" s="1"/>
  <c r="L20" i="56"/>
  <c r="M69" i="10" s="1"/>
  <c r="L392" i="56" s="1"/>
  <c r="L21" i="56"/>
  <c r="M70" i="10" s="1"/>
  <c r="L393" i="56" s="1"/>
  <c r="L22" i="56"/>
  <c r="M71" i="10" s="1"/>
  <c r="L394" i="56" s="1"/>
  <c r="L6" i="56"/>
  <c r="M55" i="10" s="1"/>
  <c r="L7" i="56"/>
  <c r="M56" i="10" s="1"/>
  <c r="L8" i="56"/>
  <c r="M57" i="10" s="1"/>
  <c r="L26" i="56"/>
  <c r="M75" i="10" s="1"/>
  <c r="L27" i="56"/>
  <c r="M76" i="10" s="1"/>
  <c r="L28" i="56"/>
  <c r="M77" i="10" s="1"/>
  <c r="L30" i="56"/>
  <c r="M79" i="10" s="1"/>
  <c r="L68" i="56"/>
  <c r="M117" i="10" s="1"/>
  <c r="L373" i="56" s="1"/>
  <c r="L23" i="56"/>
  <c r="M72" i="10" s="1"/>
  <c r="L24" i="56"/>
  <c r="M73" i="10" s="1"/>
  <c r="L25" i="56"/>
  <c r="M74" i="10" s="1"/>
  <c r="L330" i="56" s="1"/>
  <c r="L335" i="56" l="1"/>
  <c r="L334" i="56"/>
  <c r="K335" i="56"/>
  <c r="K334" i="56"/>
  <c r="S372" i="56"/>
  <c r="S334" i="56"/>
  <c r="R376" i="56"/>
  <c r="S376" i="56"/>
  <c r="Q376" i="56"/>
  <c r="R375" i="56"/>
  <c r="S375" i="56"/>
  <c r="Q375" i="56"/>
  <c r="R374" i="56"/>
  <c r="S374" i="56"/>
  <c r="Q374" i="56"/>
  <c r="I88" i="49"/>
  <c r="I123" i="49"/>
  <c r="J158" i="49"/>
  <c r="J123" i="49"/>
  <c r="L415" i="56"/>
  <c r="S363" i="56"/>
  <c r="K172" i="49"/>
  <c r="K173" i="49"/>
  <c r="K168" i="49"/>
  <c r="K169" i="49"/>
  <c r="I131" i="49"/>
  <c r="I163" i="49"/>
  <c r="I162" i="49"/>
  <c r="J96" i="49"/>
  <c r="J165" i="49"/>
  <c r="J164" i="49"/>
  <c r="J163" i="49"/>
  <c r="J162" i="49"/>
  <c r="J154" i="49"/>
  <c r="J173" i="49"/>
  <c r="I135" i="49"/>
  <c r="I166" i="49"/>
  <c r="J168" i="49"/>
  <c r="J169" i="49"/>
  <c r="J65" i="49"/>
  <c r="J166" i="49"/>
  <c r="K23" i="17"/>
  <c r="J23" i="17"/>
  <c r="N23" i="17"/>
  <c r="M23" i="17"/>
  <c r="L133" i="62"/>
  <c r="R149" i="49" s="1"/>
  <c r="I9" i="50"/>
  <c r="I116" i="62"/>
  <c r="O132" i="49" s="1"/>
  <c r="F6" i="50"/>
  <c r="L131" i="62"/>
  <c r="R147" i="49" s="1"/>
  <c r="I8" i="50"/>
  <c r="K24" i="56"/>
  <c r="O73" i="10"/>
  <c r="N73" i="10"/>
  <c r="S313" i="61"/>
  <c r="O313" i="61"/>
  <c r="O312" i="61"/>
  <c r="N312" i="61"/>
  <c r="K313" i="61"/>
  <c r="K312" i="61"/>
  <c r="J313" i="61"/>
  <c r="J312" i="61"/>
  <c r="I313" i="61"/>
  <c r="H313" i="61"/>
  <c r="H312" i="61"/>
  <c r="L333" i="56"/>
  <c r="L387" i="56"/>
  <c r="S321" i="56"/>
  <c r="S325" i="56"/>
  <c r="L332" i="56"/>
  <c r="L396" i="56"/>
  <c r="L331" i="56"/>
  <c r="L395" i="56"/>
  <c r="K333" i="56"/>
  <c r="K397" i="56"/>
  <c r="S318" i="56"/>
  <c r="Q318" i="56"/>
  <c r="R318" i="56"/>
  <c r="R326" i="56"/>
  <c r="S326" i="56"/>
  <c r="Q326" i="56"/>
  <c r="Q322" i="56"/>
  <c r="R322" i="56"/>
  <c r="S322" i="56"/>
  <c r="Q378" i="56"/>
  <c r="R378" i="56"/>
  <c r="S378" i="56"/>
  <c r="S312" i="56"/>
  <c r="S331" i="56"/>
  <c r="R328" i="56"/>
  <c r="S328" i="56"/>
  <c r="Q328" i="56"/>
  <c r="Q335" i="56"/>
  <c r="R335" i="56"/>
  <c r="S335" i="56"/>
  <c r="Q373" i="56"/>
  <c r="R373" i="56"/>
  <c r="S373" i="56"/>
  <c r="Q379" i="56"/>
  <c r="R379" i="56"/>
  <c r="S379" i="56"/>
  <c r="Q323" i="56"/>
  <c r="R323" i="56"/>
  <c r="S323" i="56"/>
  <c r="Q313" i="56"/>
  <c r="R313" i="56"/>
  <c r="S313" i="56"/>
  <c r="S314" i="56"/>
  <c r="Q369" i="56"/>
  <c r="R369" i="56"/>
  <c r="S369" i="56"/>
  <c r="R365" i="56"/>
  <c r="S365" i="56"/>
  <c r="Q365" i="56"/>
  <c r="S324" i="56"/>
  <c r="Q329" i="56"/>
  <c r="S329" i="56"/>
  <c r="R329" i="56"/>
  <c r="S330" i="56"/>
  <c r="R330" i="56"/>
  <c r="Q330" i="56"/>
  <c r="Q319" i="56"/>
  <c r="R319" i="56"/>
  <c r="S319" i="56"/>
  <c r="S317" i="56"/>
  <c r="Q327" i="56"/>
  <c r="R327" i="56"/>
  <c r="S327" i="56"/>
  <c r="Q371" i="56"/>
  <c r="R371" i="56"/>
  <c r="S371" i="56"/>
  <c r="S364" i="56"/>
  <c r="Q364" i="56"/>
  <c r="R364" i="56"/>
  <c r="S320" i="56"/>
  <c r="Q320" i="56"/>
  <c r="R320" i="56"/>
  <c r="S370" i="56"/>
  <c r="Q370" i="56"/>
  <c r="R370" i="56"/>
  <c r="R377" i="56"/>
  <c r="S377" i="56"/>
  <c r="Q377" i="56"/>
  <c r="S332" i="56"/>
  <c r="R332" i="56"/>
  <c r="Q332" i="56"/>
  <c r="Q333" i="56"/>
  <c r="R333" i="56"/>
  <c r="S333" i="56"/>
  <c r="Q315" i="56"/>
  <c r="R315" i="56"/>
  <c r="S315" i="56"/>
  <c r="S316" i="56"/>
  <c r="Q316" i="56"/>
  <c r="R316" i="56"/>
  <c r="T310" i="56"/>
  <c r="T334" i="56" s="1"/>
  <c r="S349" i="56"/>
  <c r="S346" i="56"/>
  <c r="S353" i="56"/>
  <c r="S352" i="56"/>
  <c r="S362" i="56"/>
  <c r="S348" i="56"/>
  <c r="S343" i="56"/>
  <c r="S354" i="56"/>
  <c r="S345" i="56"/>
  <c r="S339" i="56"/>
  <c r="S360" i="56"/>
  <c r="S356" i="56"/>
  <c r="S359" i="56"/>
  <c r="S366" i="56"/>
  <c r="S338" i="56"/>
  <c r="S368" i="56"/>
  <c r="S347" i="56"/>
  <c r="S358" i="56"/>
  <c r="S341" i="56"/>
  <c r="S350" i="56"/>
  <c r="S336" i="56"/>
  <c r="S357" i="56"/>
  <c r="S355" i="56"/>
  <c r="S342" i="56"/>
  <c r="S337" i="56"/>
  <c r="S351" i="56"/>
  <c r="S367" i="56"/>
  <c r="S344" i="56"/>
  <c r="S340" i="56"/>
  <c r="S311" i="56"/>
  <c r="K60" i="56"/>
  <c r="Q60" i="56" s="1"/>
  <c r="O71" i="10"/>
  <c r="E327" i="56"/>
  <c r="K22" i="56"/>
  <c r="Q22" i="56" s="1"/>
  <c r="N74" i="10"/>
  <c r="E330" i="56"/>
  <c r="O107" i="10"/>
  <c r="E363" i="56"/>
  <c r="N107" i="10"/>
  <c r="O74" i="10"/>
  <c r="E317" i="56"/>
  <c r="E333" i="56"/>
  <c r="K12" i="56"/>
  <c r="N61" i="10"/>
  <c r="O65" i="56"/>
  <c r="Q65" i="56"/>
  <c r="N77" i="10"/>
  <c r="O77" i="10"/>
  <c r="O76" i="10"/>
  <c r="N76" i="10"/>
  <c r="L121" i="10"/>
  <c r="K377" i="56" s="1"/>
  <c r="O72" i="56"/>
  <c r="Q72" i="56"/>
  <c r="N75" i="10"/>
  <c r="O75" i="10"/>
  <c r="L113" i="10"/>
  <c r="K369" i="56" s="1"/>
  <c r="Q64" i="56"/>
  <c r="O64" i="56"/>
  <c r="Q70" i="56"/>
  <c r="O70" i="56"/>
  <c r="O58" i="56"/>
  <c r="Q58" i="56"/>
  <c r="Q71" i="56"/>
  <c r="O71" i="56"/>
  <c r="L118" i="10"/>
  <c r="K374" i="56" s="1"/>
  <c r="O69" i="56"/>
  <c r="Q69" i="56"/>
  <c r="E335" i="56"/>
  <c r="O79" i="10"/>
  <c r="N79" i="10"/>
  <c r="N58" i="10"/>
  <c r="K9" i="56"/>
  <c r="O9" i="56" s="1"/>
  <c r="O109" i="10"/>
  <c r="E314" i="56"/>
  <c r="K10" i="56"/>
  <c r="O10" i="56" s="1"/>
  <c r="K21" i="56"/>
  <c r="O21" i="56" s="1"/>
  <c r="N59" i="10"/>
  <c r="Q30" i="56"/>
  <c r="O30" i="56"/>
  <c r="Q24" i="56"/>
  <c r="O24" i="56"/>
  <c r="Q28" i="56"/>
  <c r="O28" i="56"/>
  <c r="Q8" i="56"/>
  <c r="O8" i="56"/>
  <c r="Q16" i="56"/>
  <c r="O16" i="56"/>
  <c r="O19" i="56"/>
  <c r="Q19" i="56"/>
  <c r="N70" i="10"/>
  <c r="Q25" i="56"/>
  <c r="O25" i="56"/>
  <c r="E326" i="56"/>
  <c r="E315" i="56"/>
  <c r="K66" i="56"/>
  <c r="O115" i="10"/>
  <c r="E365" i="56"/>
  <c r="N115" i="10"/>
  <c r="O117" i="10"/>
  <c r="N63" i="10"/>
  <c r="O67" i="10"/>
  <c r="K7" i="56"/>
  <c r="N56" i="10"/>
  <c r="N62" i="10"/>
  <c r="E319" i="56"/>
  <c r="E312" i="56"/>
  <c r="K14" i="56"/>
  <c r="K13" i="56"/>
  <c r="E318" i="56"/>
  <c r="N108" i="10"/>
  <c r="K59" i="56"/>
  <c r="O108" i="10"/>
  <c r="N113" i="10"/>
  <c r="O113" i="10"/>
  <c r="K17" i="56"/>
  <c r="N66" i="10"/>
  <c r="E322" i="56"/>
  <c r="K73" i="56"/>
  <c r="O122" i="10"/>
  <c r="O72" i="10"/>
  <c r="N64" i="10"/>
  <c r="K26" i="56"/>
  <c r="L75" i="10" s="1"/>
  <c r="N122" i="10"/>
  <c r="N72" i="10"/>
  <c r="K23" i="56"/>
  <c r="E331" i="56"/>
  <c r="E369" i="56"/>
  <c r="K18" i="56"/>
  <c r="N67" i="10"/>
  <c r="E373" i="56"/>
  <c r="N57" i="10"/>
  <c r="L74" i="10"/>
  <c r="K330" i="56" s="1"/>
  <c r="I26" i="17"/>
  <c r="E316" i="56"/>
  <c r="K27" i="56"/>
  <c r="L76" i="10" s="1"/>
  <c r="AC23" i="17"/>
  <c r="AB23" i="17"/>
  <c r="AA23" i="17"/>
  <c r="Z23" i="17"/>
  <c r="Y23" i="17"/>
  <c r="O60" i="10"/>
  <c r="E332" i="56"/>
  <c r="K11" i="56"/>
  <c r="M28" i="10"/>
  <c r="J100" i="49"/>
  <c r="I83" i="49"/>
  <c r="J135" i="49"/>
  <c r="J153" i="49"/>
  <c r="M46" i="10"/>
  <c r="J118" i="49"/>
  <c r="I94" i="49"/>
  <c r="J81" i="49"/>
  <c r="J151" i="49"/>
  <c r="M44" i="10"/>
  <c r="I156" i="49"/>
  <c r="I86" i="49"/>
  <c r="L22" i="10"/>
  <c r="I129" i="49"/>
  <c r="K6" i="56"/>
  <c r="L49" i="10"/>
  <c r="I121" i="49"/>
  <c r="O55" i="10"/>
  <c r="E311" i="56"/>
  <c r="AD23" i="17"/>
  <c r="K68" i="56"/>
  <c r="AJ23" i="17"/>
  <c r="J112" i="49"/>
  <c r="U23" i="17"/>
  <c r="T23" i="17"/>
  <c r="S23" i="17"/>
  <c r="R23" i="17"/>
  <c r="Q23" i="17"/>
  <c r="P23" i="17"/>
  <c r="O23" i="17"/>
  <c r="X23" i="17"/>
  <c r="W23" i="17"/>
  <c r="V23" i="17"/>
  <c r="AE23" i="17"/>
  <c r="AG23" i="17"/>
  <c r="AF23" i="17"/>
  <c r="M40" i="10"/>
  <c r="J61" i="49"/>
  <c r="I175" i="49"/>
  <c r="I192" i="49" s="1"/>
  <c r="I90" i="49"/>
  <c r="M47" i="10"/>
  <c r="J155" i="49"/>
  <c r="J77" i="49"/>
  <c r="I128" i="49"/>
  <c r="I93" i="49"/>
  <c r="J129" i="49"/>
  <c r="I132" i="49"/>
  <c r="I118" i="49"/>
  <c r="J88" i="49"/>
  <c r="J147" i="49"/>
  <c r="L46" i="10"/>
  <c r="M51" i="10"/>
  <c r="M52" i="10"/>
  <c r="J85" i="49"/>
  <c r="J159" i="49"/>
  <c r="J172" i="49"/>
  <c r="J124" i="49"/>
  <c r="M48" i="10"/>
  <c r="I30" i="49"/>
  <c r="I81" i="49" s="1"/>
  <c r="J133" i="49"/>
  <c r="L21" i="10"/>
  <c r="J113" i="49"/>
  <c r="J156" i="49"/>
  <c r="I58" i="49"/>
  <c r="I120" i="49"/>
  <c r="L48" i="10"/>
  <c r="I155" i="49"/>
  <c r="I85" i="49"/>
  <c r="I100" i="49"/>
  <c r="J131" i="49"/>
  <c r="I97" i="49"/>
  <c r="I62" i="49"/>
  <c r="J78" i="49"/>
  <c r="M22" i="10"/>
  <c r="I60" i="49"/>
  <c r="I130" i="49"/>
  <c r="L23" i="10"/>
  <c r="M24" i="10"/>
  <c r="M41" i="10"/>
  <c r="I33" i="49"/>
  <c r="J94" i="49"/>
  <c r="L52" i="10"/>
  <c r="I89" i="49"/>
  <c r="I159" i="49"/>
  <c r="I124" i="49"/>
  <c r="I98" i="49"/>
  <c r="L28" i="10"/>
  <c r="L26" i="10"/>
  <c r="I133" i="49"/>
  <c r="Q287" i="61"/>
  <c r="R287" i="61"/>
  <c r="R312" i="61" s="1"/>
  <c r="V287" i="61"/>
  <c r="V312" i="61" s="1"/>
  <c r="U287" i="61"/>
  <c r="U312" i="61" s="1"/>
  <c r="W277" i="61"/>
  <c r="Y277" i="61"/>
  <c r="AD79" i="61"/>
  <c r="AD84" i="61"/>
  <c r="AH34" i="17"/>
  <c r="K42" i="17"/>
  <c r="AE42" i="17"/>
  <c r="L42" i="17"/>
  <c r="O42" i="17"/>
  <c r="I96" i="49"/>
  <c r="N69" i="10"/>
  <c r="J84" i="49"/>
  <c r="J119" i="49"/>
  <c r="L34" i="17"/>
  <c r="K20" i="56"/>
  <c r="S42" i="17"/>
  <c r="O69" i="10"/>
  <c r="L119" i="10"/>
  <c r="K375" i="56" s="1"/>
  <c r="AJ42" i="17"/>
  <c r="J101" i="49"/>
  <c r="J136" i="49"/>
  <c r="L107" i="10"/>
  <c r="K363" i="56" s="1"/>
  <c r="J86" i="49"/>
  <c r="J66" i="49"/>
  <c r="K15" i="56"/>
  <c r="O64" i="10"/>
  <c r="I57" i="49"/>
  <c r="L20" i="10"/>
  <c r="I127" i="49"/>
  <c r="I92" i="49"/>
  <c r="L45" i="10"/>
  <c r="L24" i="10"/>
  <c r="I61" i="49"/>
  <c r="I152" i="49"/>
  <c r="I117" i="49"/>
  <c r="U42" i="17"/>
  <c r="I157" i="49"/>
  <c r="L41" i="10"/>
  <c r="I122" i="49"/>
  <c r="L50" i="10"/>
  <c r="J122" i="49"/>
  <c r="M50" i="10"/>
  <c r="J87" i="49"/>
  <c r="L68" i="10"/>
  <c r="K391" i="56" s="1"/>
  <c r="E313" i="56"/>
  <c r="O57" i="10"/>
  <c r="I65" i="49"/>
  <c r="AA42" i="17"/>
  <c r="J63" i="49"/>
  <c r="M26" i="10"/>
  <c r="L57" i="10"/>
  <c r="K313" i="56" s="1"/>
  <c r="N123" i="10"/>
  <c r="O123" i="10"/>
  <c r="K74" i="56"/>
  <c r="E379" i="56"/>
  <c r="J64" i="49"/>
  <c r="M27" i="10"/>
  <c r="AI42" i="17"/>
  <c r="I26" i="49"/>
  <c r="AH42" i="17"/>
  <c r="J134" i="49"/>
  <c r="J99" i="49"/>
  <c r="L120" i="10"/>
  <c r="K376" i="56" s="1"/>
  <c r="J62" i="49"/>
  <c r="J97" i="49"/>
  <c r="M25" i="10"/>
  <c r="L73" i="10"/>
  <c r="K329" i="56" s="1"/>
  <c r="J174" i="49"/>
  <c r="M49" i="10"/>
  <c r="AG26" i="17"/>
  <c r="AF34" i="17"/>
  <c r="J60" i="49"/>
  <c r="M23" i="10"/>
  <c r="J130" i="49"/>
  <c r="J95" i="49"/>
  <c r="J58" i="49"/>
  <c r="J93" i="49"/>
  <c r="J128" i="49"/>
  <c r="M21" i="10"/>
  <c r="I136" i="49"/>
  <c r="L29" i="10"/>
  <c r="I101" i="49"/>
  <c r="I66" i="49"/>
  <c r="L114" i="10"/>
  <c r="L65" i="10"/>
  <c r="K388" i="56" s="1"/>
  <c r="M20" i="10"/>
  <c r="J92" i="49"/>
  <c r="J127" i="49"/>
  <c r="J57" i="49"/>
  <c r="M45" i="10"/>
  <c r="J117" i="49"/>
  <c r="J82" i="49"/>
  <c r="J152" i="49"/>
  <c r="I134" i="49"/>
  <c r="L27" i="10"/>
  <c r="I99" i="49"/>
  <c r="I64" i="49"/>
  <c r="AI34" i="17"/>
  <c r="Z34" i="17"/>
  <c r="Z26" i="17"/>
  <c r="N34" i="17"/>
  <c r="AC34" i="17"/>
  <c r="AC42" i="17"/>
  <c r="S26" i="17"/>
  <c r="AG42" i="17"/>
  <c r="N42" i="17"/>
  <c r="U34" i="17"/>
  <c r="X42" i="17"/>
  <c r="M34" i="17"/>
  <c r="AE34" i="17"/>
  <c r="N26" i="17"/>
  <c r="J26" i="17"/>
  <c r="K34" i="17"/>
  <c r="I42" i="17"/>
  <c r="X26" i="17"/>
  <c r="AJ34" i="17"/>
  <c r="T42" i="17"/>
  <c r="P42" i="17"/>
  <c r="Y42" i="17"/>
  <c r="O34" i="17"/>
  <c r="AA34" i="17"/>
  <c r="S34" i="17"/>
  <c r="AG34" i="17"/>
  <c r="AD42" i="17"/>
  <c r="V26" i="17"/>
  <c r="Q34" i="17"/>
  <c r="V42" i="17"/>
  <c r="R26" i="17"/>
  <c r="M42" i="17"/>
  <c r="T34" i="17"/>
  <c r="K26" i="17"/>
  <c r="AD34" i="17"/>
  <c r="AF42" i="17"/>
  <c r="J34" i="17"/>
  <c r="Q26" i="17"/>
  <c r="R34" i="17"/>
  <c r="I34" i="17"/>
  <c r="Y26" i="17"/>
  <c r="Q42" i="17"/>
  <c r="V34" i="17"/>
  <c r="AH26" i="17"/>
  <c r="AB34" i="17"/>
  <c r="AD26" i="17"/>
  <c r="AJ26" i="17"/>
  <c r="Z42" i="17"/>
  <c r="AA26" i="17"/>
  <c r="J42" i="17"/>
  <c r="AI26" i="17"/>
  <c r="W34" i="17"/>
  <c r="X34" i="17"/>
  <c r="R42" i="17"/>
  <c r="P34" i="17"/>
  <c r="AB42" i="17"/>
  <c r="AB26" i="17"/>
  <c r="Y34" i="17"/>
  <c r="U26" i="17"/>
  <c r="AC26" i="17"/>
  <c r="M26" i="17"/>
  <c r="P26" i="17"/>
  <c r="L26" i="17"/>
  <c r="T26" i="17"/>
  <c r="O26" i="17"/>
  <c r="AE26" i="17"/>
  <c r="AF26" i="17"/>
  <c r="W26" i="17"/>
  <c r="I158" i="49"/>
  <c r="L51" i="10"/>
  <c r="I160" i="49"/>
  <c r="I125" i="49"/>
  <c r="I148" i="49"/>
  <c r="I78" i="49"/>
  <c r="L329" i="56"/>
  <c r="L328" i="56"/>
  <c r="L397" i="56"/>
  <c r="L313" i="56"/>
  <c r="L312" i="56"/>
  <c r="L311" i="56"/>
  <c r="L327" i="56"/>
  <c r="L326" i="56"/>
  <c r="L386" i="56"/>
  <c r="L385" i="56"/>
  <c r="L325" i="56"/>
  <c r="L384" i="56"/>
  <c r="L324" i="56"/>
  <c r="L383" i="56"/>
  <c r="L323" i="56"/>
  <c r="L382" i="56"/>
  <c r="L322" i="56"/>
  <c r="L381" i="56"/>
  <c r="L321" i="56"/>
  <c r="L370" i="56"/>
  <c r="L416" i="56"/>
  <c r="L379" i="56"/>
  <c r="L378" i="56"/>
  <c r="L377" i="56"/>
  <c r="L369" i="56"/>
  <c r="L364" i="56"/>
  <c r="L363" i="56"/>
  <c r="L320" i="56"/>
  <c r="L319" i="56"/>
  <c r="L318" i="56"/>
  <c r="L317" i="56"/>
  <c r="L316" i="56"/>
  <c r="L315" i="56"/>
  <c r="L314" i="56"/>
  <c r="T372" i="56" l="1"/>
  <c r="T376" i="56"/>
  <c r="T375" i="56"/>
  <c r="T374" i="56"/>
  <c r="T328" i="56"/>
  <c r="K416" i="56"/>
  <c r="K415" i="56"/>
  <c r="I84" i="49"/>
  <c r="I173" i="49"/>
  <c r="L40" i="10"/>
  <c r="I169" i="49"/>
  <c r="V313" i="61"/>
  <c r="R313" i="61"/>
  <c r="U313" i="61"/>
  <c r="Q313" i="61"/>
  <c r="Q312" i="61"/>
  <c r="T313" i="56"/>
  <c r="K332" i="56"/>
  <c r="K396" i="56"/>
  <c r="K331" i="56"/>
  <c r="K395" i="56"/>
  <c r="L109" i="10"/>
  <c r="K365" i="56" s="1"/>
  <c r="T335" i="56"/>
  <c r="T370" i="56"/>
  <c r="T319" i="56"/>
  <c r="T379" i="56"/>
  <c r="T378" i="56"/>
  <c r="T316" i="56"/>
  <c r="T332" i="56"/>
  <c r="T377" i="56"/>
  <c r="T320" i="56"/>
  <c r="T364" i="56"/>
  <c r="T327" i="56"/>
  <c r="T330" i="56"/>
  <c r="T365" i="56"/>
  <c r="T333" i="56"/>
  <c r="T371" i="56"/>
  <c r="T323" i="56"/>
  <c r="T326" i="56"/>
  <c r="T315" i="56"/>
  <c r="T373" i="56"/>
  <c r="U310" i="56"/>
  <c r="U334" i="56" s="1"/>
  <c r="T353" i="56"/>
  <c r="T349" i="56"/>
  <c r="T346" i="56"/>
  <c r="T336" i="56"/>
  <c r="T343" i="56"/>
  <c r="T357" i="56"/>
  <c r="T355" i="56"/>
  <c r="T337" i="56"/>
  <c r="T351" i="56"/>
  <c r="T340" i="56"/>
  <c r="T350" i="56"/>
  <c r="T358" i="56"/>
  <c r="T367" i="56"/>
  <c r="T352" i="56"/>
  <c r="T354" i="56"/>
  <c r="T359" i="56"/>
  <c r="T338" i="56"/>
  <c r="T341" i="56"/>
  <c r="T360" i="56"/>
  <c r="T356" i="56"/>
  <c r="T345" i="56"/>
  <c r="T362" i="56"/>
  <c r="T348" i="56"/>
  <c r="T339" i="56"/>
  <c r="T368" i="56"/>
  <c r="T347" i="56"/>
  <c r="T344" i="56"/>
  <c r="T342" i="56"/>
  <c r="T366" i="56"/>
  <c r="T325" i="56"/>
  <c r="T311" i="56"/>
  <c r="T331" i="56"/>
  <c r="T321" i="56"/>
  <c r="T314" i="56"/>
  <c r="T363" i="56"/>
  <c r="T317" i="56"/>
  <c r="T324" i="56"/>
  <c r="T312" i="56"/>
  <c r="T329" i="56"/>
  <c r="T369" i="56"/>
  <c r="T322" i="56"/>
  <c r="T318" i="56"/>
  <c r="O60" i="56"/>
  <c r="O22" i="56"/>
  <c r="L71" i="10"/>
  <c r="K394" i="56" s="1"/>
  <c r="Q12" i="56"/>
  <c r="L61" i="10"/>
  <c r="K317" i="56" s="1"/>
  <c r="L59" i="10"/>
  <c r="K315" i="56" s="1"/>
  <c r="O12" i="56"/>
  <c r="L58" i="10"/>
  <c r="K314" i="56" s="1"/>
  <c r="O74" i="56"/>
  <c r="Q74" i="56"/>
  <c r="L122" i="10"/>
  <c r="K378" i="56" s="1"/>
  <c r="Q73" i="56"/>
  <c r="O73" i="56"/>
  <c r="Q68" i="56"/>
  <c r="O68" i="56"/>
  <c r="L108" i="10"/>
  <c r="K364" i="56" s="1"/>
  <c r="Q59" i="56"/>
  <c r="O59" i="56"/>
  <c r="L115" i="10"/>
  <c r="K371" i="56" s="1"/>
  <c r="O66" i="56"/>
  <c r="Q66" i="56"/>
  <c r="Q9" i="56"/>
  <c r="Q10" i="56"/>
  <c r="L70" i="10"/>
  <c r="K393" i="56" s="1"/>
  <c r="Q21" i="56"/>
  <c r="L72" i="10"/>
  <c r="K328" i="56" s="1"/>
  <c r="Q23" i="56"/>
  <c r="O23" i="56"/>
  <c r="O26" i="56"/>
  <c r="Q26" i="56"/>
  <c r="Q15" i="56"/>
  <c r="O15" i="56"/>
  <c r="L62" i="10"/>
  <c r="K318" i="56" s="1"/>
  <c r="Q13" i="56"/>
  <c r="O13" i="56"/>
  <c r="Q18" i="56"/>
  <c r="O18" i="56"/>
  <c r="L69" i="10"/>
  <c r="K392" i="56" s="1"/>
  <c r="Q20" i="56"/>
  <c r="O20" i="56"/>
  <c r="O27" i="56"/>
  <c r="Q27" i="56"/>
  <c r="L55" i="10"/>
  <c r="Q6" i="56"/>
  <c r="O6" i="56"/>
  <c r="Q11" i="56"/>
  <c r="O11" i="56"/>
  <c r="L66" i="10"/>
  <c r="K389" i="56" s="1"/>
  <c r="O17" i="56"/>
  <c r="Q17" i="56"/>
  <c r="O14" i="56"/>
  <c r="Q14" i="56"/>
  <c r="Q7" i="56"/>
  <c r="O7" i="56"/>
  <c r="L63" i="10"/>
  <c r="K319" i="56" s="1"/>
  <c r="L67" i="10"/>
  <c r="K390" i="56" s="1"/>
  <c r="L56" i="10"/>
  <c r="K312" i="56" s="1"/>
  <c r="L60" i="10"/>
  <c r="K316" i="56" s="1"/>
  <c r="L117" i="10"/>
  <c r="I172" i="49"/>
  <c r="I119" i="49"/>
  <c r="I154" i="49"/>
  <c r="L47" i="10"/>
  <c r="I151" i="49"/>
  <c r="I77" i="49"/>
  <c r="I116" i="49"/>
  <c r="I112" i="49"/>
  <c r="I147" i="49"/>
  <c r="L44" i="10"/>
  <c r="I168" i="49"/>
  <c r="T287" i="61"/>
  <c r="Y287" i="61"/>
  <c r="Y313" i="61" s="1"/>
  <c r="X287" i="61"/>
  <c r="Z277" i="61"/>
  <c r="AB277" i="61"/>
  <c r="AC84" i="61"/>
  <c r="AC79" i="61"/>
  <c r="L64" i="10"/>
  <c r="K320" i="56" s="1"/>
  <c r="L123" i="10"/>
  <c r="K379" i="56" s="1"/>
  <c r="K384" i="56"/>
  <c r="K324" i="56"/>
  <c r="K370" i="56"/>
  <c r="K321" i="56"/>
  <c r="K381" i="56"/>
  <c r="L286" i="56" l="1"/>
  <c r="L236" i="56"/>
  <c r="L120" i="56"/>
  <c r="L166" i="56"/>
  <c r="U372" i="56"/>
  <c r="U376" i="56"/>
  <c r="U375" i="56"/>
  <c r="U374" i="56"/>
  <c r="K373" i="56"/>
  <c r="K372" i="56"/>
  <c r="L298" i="56"/>
  <c r="K311" i="56"/>
  <c r="L183" i="56"/>
  <c r="X312" i="61"/>
  <c r="X313" i="61"/>
  <c r="T312" i="61"/>
  <c r="T313" i="61"/>
  <c r="Y312" i="61"/>
  <c r="K322" i="56"/>
  <c r="K383" i="56"/>
  <c r="K385" i="56"/>
  <c r="K326" i="56"/>
  <c r="K327" i="56"/>
  <c r="K387" i="56"/>
  <c r="V310" i="56"/>
  <c r="V334" i="56" s="1"/>
  <c r="U349" i="56"/>
  <c r="U353" i="56"/>
  <c r="U346" i="56"/>
  <c r="U350" i="56"/>
  <c r="U362" i="56"/>
  <c r="U343" i="56"/>
  <c r="U342" i="56"/>
  <c r="U337" i="56"/>
  <c r="U341" i="56"/>
  <c r="U344" i="56"/>
  <c r="U340" i="56"/>
  <c r="U359" i="56"/>
  <c r="U338" i="56"/>
  <c r="U354" i="56"/>
  <c r="U368" i="56"/>
  <c r="U347" i="56"/>
  <c r="U358" i="56"/>
  <c r="U352" i="56"/>
  <c r="U336" i="56"/>
  <c r="U357" i="56"/>
  <c r="U355" i="56"/>
  <c r="U351" i="56"/>
  <c r="U339" i="56"/>
  <c r="U360" i="56"/>
  <c r="U345" i="56"/>
  <c r="U366" i="56"/>
  <c r="U348" i="56"/>
  <c r="U367" i="56"/>
  <c r="U356" i="56"/>
  <c r="U331" i="56"/>
  <c r="U314" i="56"/>
  <c r="U321" i="56"/>
  <c r="U363" i="56"/>
  <c r="U311" i="56"/>
  <c r="U317" i="56"/>
  <c r="U324" i="56"/>
  <c r="U325" i="56"/>
  <c r="U312" i="56"/>
  <c r="U326" i="56"/>
  <c r="U323" i="56"/>
  <c r="U327" i="56"/>
  <c r="U371" i="56"/>
  <c r="U365" i="56"/>
  <c r="U364" i="56"/>
  <c r="U377" i="56"/>
  <c r="U332" i="56"/>
  <c r="U333" i="56"/>
  <c r="U316" i="56"/>
  <c r="U378" i="56"/>
  <c r="U373" i="56"/>
  <c r="U379" i="56"/>
  <c r="U329" i="56"/>
  <c r="U330" i="56"/>
  <c r="U319" i="56"/>
  <c r="U320" i="56"/>
  <c r="U370" i="56"/>
  <c r="U313" i="56"/>
  <c r="U318" i="56"/>
  <c r="U322" i="56"/>
  <c r="U369" i="56"/>
  <c r="U328" i="56"/>
  <c r="U335" i="56"/>
  <c r="U315" i="56"/>
  <c r="L294" i="56"/>
  <c r="L202" i="56"/>
  <c r="L269" i="56"/>
  <c r="L264" i="56"/>
  <c r="L225" i="56"/>
  <c r="L271" i="56"/>
  <c r="L279" i="56"/>
  <c r="L226" i="56"/>
  <c r="L200" i="56"/>
  <c r="L288" i="56"/>
  <c r="L211" i="56"/>
  <c r="L237" i="56"/>
  <c r="L234" i="56"/>
  <c r="L304" i="56"/>
  <c r="L305" i="56"/>
  <c r="L209" i="56"/>
  <c r="L293" i="56"/>
  <c r="L262" i="56"/>
  <c r="L229" i="56"/>
  <c r="L292" i="56"/>
  <c r="L249" i="56"/>
  <c r="L216" i="56"/>
  <c r="L204" i="56"/>
  <c r="L227" i="56"/>
  <c r="L283" i="56"/>
  <c r="L295" i="56"/>
  <c r="L235" i="56"/>
  <c r="L230" i="56"/>
  <c r="L241" i="56"/>
  <c r="L284" i="56"/>
  <c r="L287" i="56"/>
  <c r="L281" i="56"/>
  <c r="L208" i="56"/>
  <c r="L289" i="56"/>
  <c r="L268" i="56"/>
  <c r="L280" i="56"/>
  <c r="L231" i="56"/>
  <c r="L222" i="56"/>
  <c r="L277" i="56"/>
  <c r="L215" i="56"/>
  <c r="L301" i="56"/>
  <c r="L297" i="56"/>
  <c r="L300" i="56"/>
  <c r="L275" i="56"/>
  <c r="L220" i="56"/>
  <c r="L252" i="56"/>
  <c r="L282" i="56"/>
  <c r="L245" i="56"/>
  <c r="L214" i="56"/>
  <c r="L206" i="56"/>
  <c r="L273" i="56"/>
  <c r="L303" i="56"/>
  <c r="L246" i="56"/>
  <c r="L240" i="56"/>
  <c r="L198" i="56"/>
  <c r="L309" i="56"/>
  <c r="L251" i="56"/>
  <c r="L248" i="56"/>
  <c r="L261" i="56"/>
  <c r="L306" i="56"/>
  <c r="L217" i="56"/>
  <c r="L276" i="56"/>
  <c r="L255" i="56"/>
  <c r="L266" i="56"/>
  <c r="L270" i="56"/>
  <c r="L250" i="56"/>
  <c r="L233" i="56"/>
  <c r="L207" i="56"/>
  <c r="L263" i="56"/>
  <c r="L210" i="56"/>
  <c r="L272" i="56"/>
  <c r="L201" i="56"/>
  <c r="L239" i="56"/>
  <c r="L302" i="56"/>
  <c r="L218" i="56"/>
  <c r="L290" i="56"/>
  <c r="L296" i="56"/>
  <c r="L299" i="56"/>
  <c r="L308" i="56"/>
  <c r="L253" i="56"/>
  <c r="L224" i="56"/>
  <c r="L219" i="56"/>
  <c r="L228" i="56"/>
  <c r="L244" i="56"/>
  <c r="L267" i="56"/>
  <c r="L203" i="56"/>
  <c r="L205" i="56"/>
  <c r="L243" i="56"/>
  <c r="L254" i="56"/>
  <c r="L307" i="56"/>
  <c r="L242" i="56"/>
  <c r="L232" i="56"/>
  <c r="L258" i="56"/>
  <c r="L265" i="56"/>
  <c r="L213" i="56"/>
  <c r="L223" i="56"/>
  <c r="L278" i="56"/>
  <c r="L259" i="56"/>
  <c r="L260" i="56"/>
  <c r="L291" i="56"/>
  <c r="L256" i="56"/>
  <c r="L274" i="56"/>
  <c r="L247" i="56"/>
  <c r="L285" i="56"/>
  <c r="L238" i="56"/>
  <c r="L212" i="56"/>
  <c r="L257" i="56"/>
  <c r="L199" i="56"/>
  <c r="L221" i="56"/>
  <c r="L173" i="56"/>
  <c r="L187" i="56"/>
  <c r="L169" i="56"/>
  <c r="L193" i="56"/>
  <c r="L194" i="56"/>
  <c r="L192" i="56"/>
  <c r="L181" i="56"/>
  <c r="L175" i="56"/>
  <c r="L185" i="56"/>
  <c r="L172" i="56"/>
  <c r="L189" i="56"/>
  <c r="L191" i="56"/>
  <c r="L168" i="56"/>
  <c r="L190" i="56"/>
  <c r="L171" i="56"/>
  <c r="L179" i="56"/>
  <c r="L196" i="56"/>
  <c r="L195" i="56"/>
  <c r="L180" i="56"/>
  <c r="L178" i="56"/>
  <c r="L170" i="56"/>
  <c r="L182" i="56"/>
  <c r="L186" i="56"/>
  <c r="L176" i="56"/>
  <c r="L174" i="56"/>
  <c r="L184" i="56"/>
  <c r="L188" i="56"/>
  <c r="L177" i="56"/>
  <c r="L125" i="56"/>
  <c r="L81" i="56"/>
  <c r="L80" i="56"/>
  <c r="L167" i="56"/>
  <c r="L137" i="56"/>
  <c r="L84" i="56"/>
  <c r="L163" i="56"/>
  <c r="L128" i="56"/>
  <c r="L158" i="56"/>
  <c r="L117" i="56"/>
  <c r="L162" i="56"/>
  <c r="L153" i="56"/>
  <c r="L109" i="56"/>
  <c r="L129" i="56"/>
  <c r="L103" i="56"/>
  <c r="L161" i="56"/>
  <c r="L132" i="56"/>
  <c r="L112" i="56"/>
  <c r="L121" i="56"/>
  <c r="L144" i="56"/>
  <c r="L134" i="56"/>
  <c r="L124" i="56"/>
  <c r="L113" i="56"/>
  <c r="L86" i="56"/>
  <c r="L95" i="56"/>
  <c r="L93" i="56"/>
  <c r="L97" i="56"/>
  <c r="L131" i="56"/>
  <c r="L91" i="56"/>
  <c r="L99" i="56"/>
  <c r="L122" i="56"/>
  <c r="L83" i="56"/>
  <c r="L147" i="56"/>
  <c r="L114" i="56"/>
  <c r="L142" i="56"/>
  <c r="L165" i="56"/>
  <c r="L156" i="56"/>
  <c r="L145" i="56"/>
  <c r="L102" i="56"/>
  <c r="L106" i="56"/>
  <c r="L127" i="56"/>
  <c r="L138" i="56"/>
  <c r="L101" i="56"/>
  <c r="L159" i="56"/>
  <c r="L96" i="56"/>
  <c r="L155" i="56"/>
  <c r="L119" i="56"/>
  <c r="L100" i="56"/>
  <c r="L150" i="56"/>
  <c r="L149" i="56"/>
  <c r="L154" i="56"/>
  <c r="L90" i="56"/>
  <c r="L107" i="56"/>
  <c r="L104" i="56"/>
  <c r="L118" i="56"/>
  <c r="L108" i="56"/>
  <c r="L151" i="56"/>
  <c r="L146" i="56"/>
  <c r="L148" i="56"/>
  <c r="L133" i="56"/>
  <c r="L87" i="56"/>
  <c r="L164" i="56"/>
  <c r="L88" i="56"/>
  <c r="L110" i="56"/>
  <c r="L139" i="56"/>
  <c r="L157" i="56"/>
  <c r="L115" i="56"/>
  <c r="L111" i="56"/>
  <c r="L92" i="56"/>
  <c r="L152" i="56"/>
  <c r="L135" i="56"/>
  <c r="L136" i="56"/>
  <c r="L126" i="56"/>
  <c r="L89" i="56"/>
  <c r="L143" i="56"/>
  <c r="L116" i="56"/>
  <c r="L85" i="56"/>
  <c r="L82" i="56"/>
  <c r="L98" i="56"/>
  <c r="L105" i="56"/>
  <c r="L160" i="56"/>
  <c r="L140" i="56"/>
  <c r="L94" i="56"/>
  <c r="L141" i="56"/>
  <c r="L130" i="56"/>
  <c r="L123" i="56"/>
  <c r="K386" i="56"/>
  <c r="K382" i="56"/>
  <c r="K325" i="56"/>
  <c r="K323" i="56"/>
  <c r="W287" i="61"/>
  <c r="AB287" i="61"/>
  <c r="AB312" i="61" s="1"/>
  <c r="AD277" i="61"/>
  <c r="AG277" i="61"/>
  <c r="AA287" i="61"/>
  <c r="AC277" i="61"/>
  <c r="AE277" i="61"/>
  <c r="AB84" i="61"/>
  <c r="AB79" i="61"/>
  <c r="O192" i="49"/>
  <c r="AP192" i="49"/>
  <c r="AO192" i="49"/>
  <c r="AN192" i="49"/>
  <c r="AM192" i="49"/>
  <c r="AL192" i="49"/>
  <c r="AK192" i="49"/>
  <c r="AJ192" i="49"/>
  <c r="AI192" i="49"/>
  <c r="AH192" i="49"/>
  <c r="AG192" i="49"/>
  <c r="AF192" i="49"/>
  <c r="AE192" i="49"/>
  <c r="AD192" i="49"/>
  <c r="AC192" i="49"/>
  <c r="AB192" i="49"/>
  <c r="AA192" i="49"/>
  <c r="Z192" i="49"/>
  <c r="Y192" i="49"/>
  <c r="X192" i="49"/>
  <c r="W192" i="49"/>
  <c r="V192" i="49"/>
  <c r="U192" i="49"/>
  <c r="T192" i="49"/>
  <c r="S192" i="49"/>
  <c r="R192" i="49"/>
  <c r="Q192" i="49"/>
  <c r="P192" i="49"/>
  <c r="V372" i="56" l="1"/>
  <c r="V376" i="56"/>
  <c r="V375" i="56"/>
  <c r="V374" i="56"/>
  <c r="AB313" i="61"/>
  <c r="AA312" i="61"/>
  <c r="AA313" i="61"/>
  <c r="W313" i="61"/>
  <c r="W312" i="61"/>
  <c r="V346" i="56"/>
  <c r="V353" i="56"/>
  <c r="V349" i="56"/>
  <c r="V356" i="56"/>
  <c r="V348" i="56"/>
  <c r="V358" i="56"/>
  <c r="V367" i="56"/>
  <c r="V357" i="56"/>
  <c r="V355" i="56"/>
  <c r="V339" i="56"/>
  <c r="V345" i="56"/>
  <c r="V351" i="56"/>
  <c r="V360" i="56"/>
  <c r="V350" i="56"/>
  <c r="V366" i="56"/>
  <c r="V362" i="56"/>
  <c r="V343" i="56"/>
  <c r="V342" i="56"/>
  <c r="V337" i="56"/>
  <c r="V352" i="56"/>
  <c r="V354" i="56"/>
  <c r="V341" i="56"/>
  <c r="V344" i="56"/>
  <c r="V340" i="56"/>
  <c r="V359" i="56"/>
  <c r="V338" i="56"/>
  <c r="V368" i="56"/>
  <c r="V347" i="56"/>
  <c r="V336" i="56"/>
  <c r="V363" i="56"/>
  <c r="V312" i="56"/>
  <c r="V311" i="56"/>
  <c r="V314" i="56"/>
  <c r="V321" i="56"/>
  <c r="V325" i="56"/>
  <c r="V317" i="56"/>
  <c r="V324" i="56"/>
  <c r="W310" i="56"/>
  <c r="W334" i="56" s="1"/>
  <c r="V331" i="56"/>
  <c r="V335" i="56"/>
  <c r="V327" i="56"/>
  <c r="V315" i="56"/>
  <c r="V322" i="56"/>
  <c r="V323" i="56"/>
  <c r="V369" i="56"/>
  <c r="V371" i="56"/>
  <c r="V328" i="56"/>
  <c r="V365" i="56"/>
  <c r="V329" i="56"/>
  <c r="V364" i="56"/>
  <c r="V316" i="56"/>
  <c r="V326" i="56"/>
  <c r="V378" i="56"/>
  <c r="V373" i="56"/>
  <c r="V379" i="56"/>
  <c r="V330" i="56"/>
  <c r="V319" i="56"/>
  <c r="V320" i="56"/>
  <c r="V370" i="56"/>
  <c r="V377" i="56"/>
  <c r="V332" i="56"/>
  <c r="V333" i="56"/>
  <c r="V318" i="56"/>
  <c r="V313" i="56"/>
  <c r="Z287" i="61"/>
  <c r="AE287" i="61"/>
  <c r="AE313" i="61" s="1"/>
  <c r="AC287" i="61"/>
  <c r="AC313" i="61" s="1"/>
  <c r="AD287" i="61"/>
  <c r="AD312" i="61" s="1"/>
  <c r="AH277" i="61"/>
  <c r="AF277" i="61"/>
  <c r="AA84" i="61"/>
  <c r="AA79" i="61"/>
  <c r="W372" i="56" l="1"/>
  <c r="W376" i="56"/>
  <c r="W375" i="56"/>
  <c r="W374" i="56"/>
  <c r="AE312" i="61"/>
  <c r="AD313" i="61"/>
  <c r="AC312" i="61"/>
  <c r="Z313" i="61"/>
  <c r="Z312" i="61"/>
  <c r="X310" i="56"/>
  <c r="X334" i="56" s="1"/>
  <c r="W353" i="56"/>
  <c r="W346" i="56"/>
  <c r="W349" i="56"/>
  <c r="W341" i="56"/>
  <c r="W344" i="56"/>
  <c r="W340" i="56"/>
  <c r="W338" i="56"/>
  <c r="W352" i="56"/>
  <c r="W348" i="56"/>
  <c r="W347" i="56"/>
  <c r="W358" i="56"/>
  <c r="W343" i="56"/>
  <c r="W357" i="56"/>
  <c r="W342" i="56"/>
  <c r="W360" i="56"/>
  <c r="W356" i="56"/>
  <c r="W350" i="56"/>
  <c r="W336" i="56"/>
  <c r="W362" i="56"/>
  <c r="W359" i="56"/>
  <c r="W367" i="56"/>
  <c r="W339" i="56"/>
  <c r="W345" i="56"/>
  <c r="W354" i="56"/>
  <c r="W368" i="56"/>
  <c r="W351" i="56"/>
  <c r="W366" i="56"/>
  <c r="W355" i="56"/>
  <c r="W337" i="56"/>
  <c r="W331" i="56"/>
  <c r="W324" i="56"/>
  <c r="W312" i="56"/>
  <c r="W363" i="56"/>
  <c r="W317" i="56"/>
  <c r="W311" i="56"/>
  <c r="W325" i="56"/>
  <c r="W314" i="56"/>
  <c r="W321" i="56"/>
  <c r="W373" i="56"/>
  <c r="W330" i="56"/>
  <c r="W320" i="56"/>
  <c r="W370" i="56"/>
  <c r="W377" i="56"/>
  <c r="W333" i="56"/>
  <c r="W316" i="56"/>
  <c r="W379" i="56"/>
  <c r="W313" i="56"/>
  <c r="W332" i="56"/>
  <c r="W315" i="56"/>
  <c r="W319" i="56"/>
  <c r="W364" i="56"/>
  <c r="W318" i="56"/>
  <c r="W326" i="56"/>
  <c r="W322" i="56"/>
  <c r="W365" i="56"/>
  <c r="W329" i="56"/>
  <c r="W378" i="56"/>
  <c r="W335" i="56"/>
  <c r="W327" i="56"/>
  <c r="W323" i="56"/>
  <c r="W328" i="56"/>
  <c r="W369" i="56"/>
  <c r="W371" i="56"/>
  <c r="AH287" i="61"/>
  <c r="AH313" i="61" s="1"/>
  <c r="AG287" i="61"/>
  <c r="AI277" i="61"/>
  <c r="Z79" i="61"/>
  <c r="Z84" i="61"/>
  <c r="X372" i="56" l="1"/>
  <c r="X376" i="56"/>
  <c r="X375" i="56"/>
  <c r="X374" i="56"/>
  <c r="AH312" i="61"/>
  <c r="AG312" i="61"/>
  <c r="AG313" i="61"/>
  <c r="Y310" i="56"/>
  <c r="Y334" i="56" s="1"/>
  <c r="X353" i="56"/>
  <c r="X349" i="56"/>
  <c r="X346" i="56"/>
  <c r="X366" i="56"/>
  <c r="X357" i="56"/>
  <c r="X343" i="56"/>
  <c r="X347" i="56"/>
  <c r="X337" i="56"/>
  <c r="X354" i="56"/>
  <c r="X344" i="56"/>
  <c r="X340" i="56"/>
  <c r="X338" i="56"/>
  <c r="X352" i="56"/>
  <c r="X348" i="56"/>
  <c r="X358" i="56"/>
  <c r="X342" i="56"/>
  <c r="X339" i="56"/>
  <c r="X362" i="56"/>
  <c r="X367" i="56"/>
  <c r="X341" i="56"/>
  <c r="X360" i="56"/>
  <c r="X356" i="56"/>
  <c r="X350" i="56"/>
  <c r="X345" i="56"/>
  <c r="X359" i="56"/>
  <c r="X336" i="56"/>
  <c r="X355" i="56"/>
  <c r="X351" i="56"/>
  <c r="X368" i="56"/>
  <c r="X314" i="56"/>
  <c r="X325" i="56"/>
  <c r="X321" i="56"/>
  <c r="X311" i="56"/>
  <c r="X331" i="56"/>
  <c r="X317" i="56"/>
  <c r="X324" i="56"/>
  <c r="X312" i="56"/>
  <c r="X363" i="56"/>
  <c r="X328" i="56"/>
  <c r="X378" i="56"/>
  <c r="X369" i="56"/>
  <c r="X315" i="56"/>
  <c r="X323" i="56"/>
  <c r="X329" i="56"/>
  <c r="X364" i="56"/>
  <c r="X335" i="56"/>
  <c r="X326" i="56"/>
  <c r="X370" i="56"/>
  <c r="X377" i="56"/>
  <c r="X373" i="56"/>
  <c r="X379" i="56"/>
  <c r="X330" i="56"/>
  <c r="X319" i="56"/>
  <c r="X320" i="56"/>
  <c r="X316" i="56"/>
  <c r="X327" i="56"/>
  <c r="X371" i="56"/>
  <c r="X332" i="56"/>
  <c r="X365" i="56"/>
  <c r="X318" i="56"/>
  <c r="X322" i="56"/>
  <c r="X313" i="56"/>
  <c r="X333" i="56"/>
  <c r="AF287" i="61"/>
  <c r="AI287" i="61"/>
  <c r="AI312" i="61" s="1"/>
  <c r="Y79" i="61"/>
  <c r="Y84" i="61"/>
  <c r="Y372" i="56" l="1"/>
  <c r="Y376" i="56"/>
  <c r="Y375" i="56"/>
  <c r="Y374" i="56"/>
  <c r="AI313" i="61"/>
  <c r="AF312" i="61"/>
  <c r="AF313" i="61"/>
  <c r="Z310" i="56"/>
  <c r="Z334" i="56" s="1"/>
  <c r="Y346" i="56"/>
  <c r="Y353" i="56"/>
  <c r="Y349" i="56"/>
  <c r="Y345" i="56"/>
  <c r="Y359" i="56"/>
  <c r="Y340" i="56"/>
  <c r="Y348" i="56"/>
  <c r="Y360" i="56"/>
  <c r="Y356" i="56"/>
  <c r="Y350" i="56"/>
  <c r="Y368" i="56"/>
  <c r="Y343" i="56"/>
  <c r="Y357" i="56"/>
  <c r="Y355" i="56"/>
  <c r="Y351" i="56"/>
  <c r="Y367" i="56"/>
  <c r="Y352" i="56"/>
  <c r="Y339" i="56"/>
  <c r="Y366" i="56"/>
  <c r="Y338" i="56"/>
  <c r="Y354" i="56"/>
  <c r="Y362" i="56"/>
  <c r="Y341" i="56"/>
  <c r="Y347" i="56"/>
  <c r="Y336" i="56"/>
  <c r="Y342" i="56"/>
  <c r="Y337" i="56"/>
  <c r="Y344" i="56"/>
  <c r="Y358" i="56"/>
  <c r="Y311" i="56"/>
  <c r="Y363" i="56"/>
  <c r="Y317" i="56"/>
  <c r="Y324" i="56"/>
  <c r="Y312" i="56"/>
  <c r="Y331" i="56"/>
  <c r="Y314" i="56"/>
  <c r="Y325" i="56"/>
  <c r="Y321" i="56"/>
  <c r="Y371" i="56"/>
  <c r="Y373" i="56"/>
  <c r="Y330" i="56"/>
  <c r="Y319" i="56"/>
  <c r="Y320" i="56"/>
  <c r="Y333" i="56"/>
  <c r="Y316" i="56"/>
  <c r="Y313" i="56"/>
  <c r="Y365" i="56"/>
  <c r="Y332" i="56"/>
  <c r="Y318" i="56"/>
  <c r="Y322" i="56"/>
  <c r="Y378" i="56"/>
  <c r="Y328" i="56"/>
  <c r="Y335" i="56"/>
  <c r="Y327" i="56"/>
  <c r="Y369" i="56"/>
  <c r="Y323" i="56"/>
  <c r="Y326" i="56"/>
  <c r="Y329" i="56"/>
  <c r="Y364" i="56"/>
  <c r="Y370" i="56"/>
  <c r="Y377" i="56"/>
  <c r="Y315" i="56"/>
  <c r="Y379" i="56"/>
  <c r="X79" i="61"/>
  <c r="X84" i="61"/>
  <c r="Z372" i="56" l="1"/>
  <c r="Z376" i="56"/>
  <c r="Z375" i="56"/>
  <c r="Z374" i="56"/>
  <c r="AA310" i="56"/>
  <c r="AA334" i="56" s="1"/>
  <c r="Z349" i="56"/>
  <c r="Z346" i="56"/>
  <c r="Z353" i="56"/>
  <c r="Z341" i="56"/>
  <c r="Z362" i="56"/>
  <c r="Z366" i="56"/>
  <c r="Z336" i="56"/>
  <c r="Z347" i="56"/>
  <c r="Z342" i="56"/>
  <c r="Z337" i="56"/>
  <c r="Z367" i="56"/>
  <c r="Z359" i="56"/>
  <c r="Z343" i="56"/>
  <c r="Z339" i="56"/>
  <c r="Z344" i="56"/>
  <c r="Z340" i="56"/>
  <c r="Z352" i="56"/>
  <c r="Z348" i="56"/>
  <c r="Z358" i="56"/>
  <c r="Z338" i="56"/>
  <c r="Z368" i="56"/>
  <c r="Z345" i="56"/>
  <c r="Z355" i="56"/>
  <c r="Z351" i="56"/>
  <c r="Z360" i="56"/>
  <c r="Z356" i="56"/>
  <c r="Z350" i="56"/>
  <c r="Z357" i="56"/>
  <c r="Z354" i="56"/>
  <c r="Z331" i="56"/>
  <c r="Z321" i="56"/>
  <c r="Z311" i="56"/>
  <c r="Z325" i="56"/>
  <c r="Z314" i="56"/>
  <c r="Z363" i="56"/>
  <c r="Z317" i="56"/>
  <c r="Z324" i="56"/>
  <c r="Z312" i="56"/>
  <c r="Z318" i="56"/>
  <c r="Z322" i="56"/>
  <c r="Z332" i="56"/>
  <c r="Z369" i="56"/>
  <c r="Z364" i="56"/>
  <c r="Z378" i="56"/>
  <c r="Z328" i="56"/>
  <c r="Z373" i="56"/>
  <c r="Z379" i="56"/>
  <c r="Z330" i="56"/>
  <c r="Z327" i="56"/>
  <c r="Z370" i="56"/>
  <c r="Z315" i="56"/>
  <c r="Z323" i="56"/>
  <c r="Z329" i="56"/>
  <c r="Z326" i="56"/>
  <c r="Z371" i="56"/>
  <c r="Z333" i="56"/>
  <c r="Z335" i="56"/>
  <c r="Z313" i="56"/>
  <c r="Z365" i="56"/>
  <c r="Z319" i="56"/>
  <c r="Z320" i="56"/>
  <c r="Z377" i="56"/>
  <c r="Z316" i="56"/>
  <c r="W84" i="61"/>
  <c r="W79" i="61"/>
  <c r="AA372" i="56" l="1"/>
  <c r="AA376" i="56"/>
  <c r="AA375" i="56"/>
  <c r="AA374" i="56"/>
  <c r="AB310" i="56"/>
  <c r="AB334" i="56" s="1"/>
  <c r="AA346" i="56"/>
  <c r="AA349" i="56"/>
  <c r="AA353" i="56"/>
  <c r="AA345" i="56"/>
  <c r="AA362" i="56"/>
  <c r="AA352" i="56"/>
  <c r="AA348" i="56"/>
  <c r="AA343" i="56"/>
  <c r="AA358" i="56"/>
  <c r="AA354" i="56"/>
  <c r="AA340" i="56"/>
  <c r="AA339" i="56"/>
  <c r="AA356" i="56"/>
  <c r="AA359" i="56"/>
  <c r="AA366" i="56"/>
  <c r="AA338" i="56"/>
  <c r="AA368" i="56"/>
  <c r="AA347" i="56"/>
  <c r="AA341" i="56"/>
  <c r="AA360" i="56"/>
  <c r="AA350" i="56"/>
  <c r="AA344" i="56"/>
  <c r="AA336" i="56"/>
  <c r="AA357" i="56"/>
  <c r="AA355" i="56"/>
  <c r="AA342" i="56"/>
  <c r="AA337" i="56"/>
  <c r="AA351" i="56"/>
  <c r="AA367" i="56"/>
  <c r="AA311" i="56"/>
  <c r="AA321" i="56"/>
  <c r="AA312" i="56"/>
  <c r="AA363" i="56"/>
  <c r="AA314" i="56"/>
  <c r="AA317" i="56"/>
  <c r="AA324" i="56"/>
  <c r="AA325" i="56"/>
  <c r="AA331" i="56"/>
  <c r="AA326" i="56"/>
  <c r="AA379" i="56"/>
  <c r="AA323" i="56"/>
  <c r="AA330" i="56"/>
  <c r="AA371" i="56"/>
  <c r="AA333" i="56"/>
  <c r="AA373" i="56"/>
  <c r="AA315" i="56"/>
  <c r="AA365" i="56"/>
  <c r="AA364" i="56"/>
  <c r="AA370" i="56"/>
  <c r="AA377" i="56"/>
  <c r="AA332" i="56"/>
  <c r="AA327" i="56"/>
  <c r="AA378" i="56"/>
  <c r="AA335" i="56"/>
  <c r="AA313" i="56"/>
  <c r="AA319" i="56"/>
  <c r="AA320" i="56"/>
  <c r="AA316" i="56"/>
  <c r="AA322" i="56"/>
  <c r="AA369" i="56"/>
  <c r="AA328" i="56"/>
  <c r="AA318" i="56"/>
  <c r="AA329" i="56"/>
  <c r="V84" i="61"/>
  <c r="V79" i="61"/>
  <c r="AB372" i="56" l="1"/>
  <c r="AB376" i="56"/>
  <c r="AB375" i="56"/>
  <c r="AB374" i="56"/>
  <c r="AC310" i="56"/>
  <c r="AC334" i="56" s="1"/>
  <c r="AB349" i="56"/>
  <c r="AB346" i="56"/>
  <c r="AB353" i="56"/>
  <c r="AB360" i="56"/>
  <c r="AB354" i="56"/>
  <c r="AB348" i="56"/>
  <c r="AB339" i="56"/>
  <c r="AB344" i="56"/>
  <c r="AB359" i="56"/>
  <c r="AB368" i="56"/>
  <c r="AB336" i="56"/>
  <c r="AB357" i="56"/>
  <c r="AB355" i="56"/>
  <c r="AB337" i="56"/>
  <c r="AB351" i="56"/>
  <c r="AB338" i="56"/>
  <c r="AB347" i="56"/>
  <c r="AB343" i="56"/>
  <c r="AB367" i="56"/>
  <c r="AB366" i="56"/>
  <c r="AB352" i="56"/>
  <c r="AB340" i="56"/>
  <c r="AB358" i="56"/>
  <c r="AB345" i="56"/>
  <c r="AB356" i="56"/>
  <c r="AB362" i="56"/>
  <c r="AB350" i="56"/>
  <c r="AB341" i="56"/>
  <c r="AB342" i="56"/>
  <c r="AB325" i="56"/>
  <c r="AB317" i="56"/>
  <c r="AB312" i="56"/>
  <c r="AB331" i="56"/>
  <c r="AB321" i="56"/>
  <c r="AB311" i="56"/>
  <c r="AB314" i="56"/>
  <c r="AB324" i="56"/>
  <c r="AB363" i="56"/>
  <c r="AB335" i="56"/>
  <c r="AB313" i="56"/>
  <c r="AB329" i="56"/>
  <c r="AB318" i="56"/>
  <c r="AB322" i="56"/>
  <c r="AB369" i="56"/>
  <c r="AB378" i="56"/>
  <c r="AB379" i="56"/>
  <c r="AB370" i="56"/>
  <c r="AB328" i="56"/>
  <c r="AB373" i="56"/>
  <c r="AB315" i="56"/>
  <c r="AB326" i="56"/>
  <c r="AB323" i="56"/>
  <c r="AB371" i="56"/>
  <c r="AB333" i="56"/>
  <c r="AB365" i="56"/>
  <c r="AB330" i="56"/>
  <c r="AB327" i="56"/>
  <c r="AB364" i="56"/>
  <c r="AB320" i="56"/>
  <c r="AB377" i="56"/>
  <c r="AB332" i="56"/>
  <c r="AB316" i="56"/>
  <c r="AB319" i="56"/>
  <c r="U84" i="61"/>
  <c r="U79" i="61"/>
  <c r="AC372" i="56" l="1"/>
  <c r="AC376" i="56"/>
  <c r="AC375" i="56"/>
  <c r="AC374" i="56"/>
  <c r="AC349" i="56"/>
  <c r="AC346" i="56"/>
  <c r="AC353" i="56"/>
  <c r="AC360" i="56"/>
  <c r="AC356" i="56"/>
  <c r="AC350" i="56"/>
  <c r="AC362" i="56"/>
  <c r="AC343" i="56"/>
  <c r="AC342" i="56"/>
  <c r="AC337" i="56"/>
  <c r="AC367" i="56"/>
  <c r="AC354" i="56"/>
  <c r="AC358" i="56"/>
  <c r="AC341" i="56"/>
  <c r="AC344" i="56"/>
  <c r="AC340" i="56"/>
  <c r="AC359" i="56"/>
  <c r="AC338" i="56"/>
  <c r="AC368" i="56"/>
  <c r="AC347" i="56"/>
  <c r="AC348" i="56"/>
  <c r="AC352" i="56"/>
  <c r="AC339" i="56"/>
  <c r="AC345" i="56"/>
  <c r="AC366" i="56"/>
  <c r="AC336" i="56"/>
  <c r="AC357" i="56"/>
  <c r="AC355" i="56"/>
  <c r="AC351" i="56"/>
  <c r="AC331" i="56"/>
  <c r="AC314" i="56"/>
  <c r="AC321" i="56"/>
  <c r="AC363" i="56"/>
  <c r="AC311" i="56"/>
  <c r="AC317" i="56"/>
  <c r="AC325" i="56"/>
  <c r="AC324" i="56"/>
  <c r="AC312" i="56"/>
  <c r="AC327" i="56"/>
  <c r="AC326" i="56"/>
  <c r="AC323" i="56"/>
  <c r="AC371" i="56"/>
  <c r="AC335" i="56"/>
  <c r="AC365" i="56"/>
  <c r="AC329" i="56"/>
  <c r="AC364" i="56"/>
  <c r="AC377" i="56"/>
  <c r="AC332" i="56"/>
  <c r="AC333" i="56"/>
  <c r="AC316" i="56"/>
  <c r="AC378" i="56"/>
  <c r="AC373" i="56"/>
  <c r="AC379" i="56"/>
  <c r="AC330" i="56"/>
  <c r="AC319" i="56"/>
  <c r="AC320" i="56"/>
  <c r="AC370" i="56"/>
  <c r="AD310" i="56"/>
  <c r="AD334" i="56" s="1"/>
  <c r="AC313" i="56"/>
  <c r="AC328" i="56"/>
  <c r="AC318" i="56"/>
  <c r="AC322" i="56"/>
  <c r="AC369" i="56"/>
  <c r="AC315" i="56"/>
  <c r="T84" i="61"/>
  <c r="T79" i="61"/>
  <c r="AD372" i="56" l="1"/>
  <c r="AD376" i="56"/>
  <c r="AD375" i="56"/>
  <c r="AD374" i="56"/>
  <c r="AD346" i="56"/>
  <c r="AD353" i="56"/>
  <c r="AD349" i="56"/>
  <c r="AD336" i="56"/>
  <c r="AD357" i="56"/>
  <c r="AD355" i="56"/>
  <c r="AD358" i="56"/>
  <c r="AD351" i="56"/>
  <c r="AD352" i="56"/>
  <c r="AD360" i="56"/>
  <c r="AD356" i="56"/>
  <c r="AD367" i="56"/>
  <c r="AD359" i="56"/>
  <c r="AD339" i="56"/>
  <c r="AD350" i="56"/>
  <c r="AD345" i="56"/>
  <c r="AD366" i="56"/>
  <c r="AD340" i="56"/>
  <c r="AD368" i="56"/>
  <c r="AD362" i="56"/>
  <c r="AD354" i="56"/>
  <c r="AD343" i="56"/>
  <c r="AD342" i="56"/>
  <c r="AD337" i="56"/>
  <c r="AD344" i="56"/>
  <c r="AD338" i="56"/>
  <c r="AD348" i="56"/>
  <c r="AD341" i="56"/>
  <c r="AD347" i="56"/>
  <c r="AD312" i="56"/>
  <c r="AD363" i="56"/>
  <c r="AD331" i="56"/>
  <c r="AD314" i="56"/>
  <c r="AD321" i="56"/>
  <c r="AD325" i="56"/>
  <c r="AD317" i="56"/>
  <c r="AD311" i="56"/>
  <c r="AD324" i="56"/>
  <c r="AD318" i="56"/>
  <c r="AD322" i="56"/>
  <c r="AD326" i="56"/>
  <c r="AD313" i="56"/>
  <c r="AD335" i="56"/>
  <c r="AD327" i="56"/>
  <c r="AD315" i="56"/>
  <c r="AD323" i="56"/>
  <c r="AD369" i="56"/>
  <c r="AD371" i="56"/>
  <c r="AD328" i="56"/>
  <c r="AD365" i="56"/>
  <c r="AD329" i="56"/>
  <c r="AD364" i="56"/>
  <c r="AD316" i="56"/>
  <c r="AD378" i="56"/>
  <c r="AD373" i="56"/>
  <c r="AD379" i="56"/>
  <c r="AD330" i="56"/>
  <c r="AD319" i="56"/>
  <c r="AD320" i="56"/>
  <c r="AD370" i="56"/>
  <c r="AD377" i="56"/>
  <c r="AD332" i="56"/>
  <c r="AD333" i="56"/>
  <c r="AE310" i="56"/>
  <c r="AE334" i="56" s="1"/>
  <c r="S84" i="61"/>
  <c r="S79" i="61"/>
  <c r="AE372" i="56" l="1"/>
  <c r="AE376" i="56"/>
  <c r="AE375" i="56"/>
  <c r="AE374" i="56"/>
  <c r="AE353" i="56"/>
  <c r="AE349" i="56"/>
  <c r="AE346" i="56"/>
  <c r="AE341" i="56"/>
  <c r="AE344" i="56"/>
  <c r="AE340" i="56"/>
  <c r="AE338" i="56"/>
  <c r="AE352" i="56"/>
  <c r="AE348" i="56"/>
  <c r="AE358" i="56"/>
  <c r="AE342" i="56"/>
  <c r="AE360" i="56"/>
  <c r="AE356" i="56"/>
  <c r="AE350" i="56"/>
  <c r="AE336" i="56"/>
  <c r="AE362" i="56"/>
  <c r="AE366" i="56"/>
  <c r="AE347" i="56"/>
  <c r="AE337" i="56"/>
  <c r="AE359" i="56"/>
  <c r="AE367" i="56"/>
  <c r="AE355" i="56"/>
  <c r="AE343" i="56"/>
  <c r="AE357" i="56"/>
  <c r="AE339" i="56"/>
  <c r="AE345" i="56"/>
  <c r="AE354" i="56"/>
  <c r="AE368" i="56"/>
  <c r="AE351" i="56"/>
  <c r="AE325" i="56"/>
  <c r="AE317" i="56"/>
  <c r="AE311" i="56"/>
  <c r="AE331" i="56"/>
  <c r="AE324" i="56"/>
  <c r="AE321" i="56"/>
  <c r="AE312" i="56"/>
  <c r="AE363" i="56"/>
  <c r="AE314" i="56"/>
  <c r="AE326" i="56"/>
  <c r="AE329" i="56"/>
  <c r="AE364" i="56"/>
  <c r="AE373" i="56"/>
  <c r="AE313" i="56"/>
  <c r="AE330" i="56"/>
  <c r="AE319" i="56"/>
  <c r="AE320" i="56"/>
  <c r="AE370" i="56"/>
  <c r="AE377" i="56"/>
  <c r="AE316" i="56"/>
  <c r="AE369" i="56"/>
  <c r="AE365" i="56"/>
  <c r="AE328" i="56"/>
  <c r="AE379" i="56"/>
  <c r="AE323" i="56"/>
  <c r="AE332" i="56"/>
  <c r="AE318" i="56"/>
  <c r="AE322" i="56"/>
  <c r="AE333" i="56"/>
  <c r="AE315" i="56"/>
  <c r="AE371" i="56"/>
  <c r="AE378" i="56"/>
  <c r="AE335" i="56"/>
  <c r="AE327" i="56"/>
  <c r="AF310" i="56"/>
  <c r="AF334" i="56" s="1"/>
  <c r="R79" i="61"/>
  <c r="R84" i="61"/>
  <c r="AF372" i="56" l="1"/>
  <c r="AF376" i="56"/>
  <c r="AF375" i="56"/>
  <c r="AF374" i="56"/>
  <c r="AF346" i="56"/>
  <c r="AF353" i="56"/>
  <c r="AF349" i="56"/>
  <c r="AF341" i="56"/>
  <c r="AF339" i="56"/>
  <c r="AF344" i="56"/>
  <c r="AF354" i="56"/>
  <c r="AF368" i="56"/>
  <c r="AF367" i="56"/>
  <c r="AF366" i="56"/>
  <c r="AF342" i="56"/>
  <c r="AF362" i="56"/>
  <c r="AF337" i="56"/>
  <c r="AF355" i="56"/>
  <c r="AF343" i="56"/>
  <c r="AF360" i="56"/>
  <c r="AF356" i="56"/>
  <c r="AF345" i="56"/>
  <c r="AF347" i="56"/>
  <c r="AF351" i="56"/>
  <c r="AF338" i="56"/>
  <c r="AF352" i="56"/>
  <c r="AF348" i="56"/>
  <c r="AF357" i="56"/>
  <c r="AF358" i="56"/>
  <c r="AF350" i="56"/>
  <c r="AF340" i="56"/>
  <c r="AF359" i="56"/>
  <c r="AF336" i="56"/>
  <c r="AF314" i="56"/>
  <c r="AF325" i="56"/>
  <c r="AF321" i="56"/>
  <c r="AF311" i="56"/>
  <c r="AF331" i="56"/>
  <c r="AF317" i="56"/>
  <c r="AF324" i="56"/>
  <c r="AF312" i="56"/>
  <c r="AF363" i="56"/>
  <c r="AF378" i="56"/>
  <c r="AF335" i="56"/>
  <c r="AF365" i="56"/>
  <c r="AF327" i="56"/>
  <c r="AF326" i="56"/>
  <c r="AF328" i="56"/>
  <c r="AF369" i="56"/>
  <c r="AF315" i="56"/>
  <c r="AF322" i="56"/>
  <c r="AF323" i="56"/>
  <c r="AF329" i="56"/>
  <c r="AF364" i="56"/>
  <c r="AF370" i="56"/>
  <c r="AF377" i="56"/>
  <c r="AF373" i="56"/>
  <c r="AF379" i="56"/>
  <c r="AF330" i="56"/>
  <c r="AF319" i="56"/>
  <c r="AF320" i="56"/>
  <c r="AF316" i="56"/>
  <c r="AF313" i="56"/>
  <c r="AF371" i="56"/>
  <c r="AF332" i="56"/>
  <c r="AF318" i="56"/>
  <c r="AF333" i="56"/>
  <c r="AG310" i="56"/>
  <c r="AG334" i="56" s="1"/>
  <c r="Q79" i="61"/>
  <c r="Q84" i="61"/>
  <c r="AG372" i="56" l="1"/>
  <c r="AG376" i="56"/>
  <c r="AG375" i="56"/>
  <c r="AG374" i="56"/>
  <c r="AG346" i="56"/>
  <c r="AG353" i="56"/>
  <c r="AG349" i="56"/>
  <c r="AG344" i="56"/>
  <c r="AG340" i="56"/>
  <c r="AG352" i="56"/>
  <c r="AG348" i="56"/>
  <c r="AG358" i="56"/>
  <c r="AG345" i="56"/>
  <c r="AG347" i="56"/>
  <c r="AG355" i="56"/>
  <c r="AG351" i="56"/>
  <c r="AG359" i="56"/>
  <c r="AG360" i="56"/>
  <c r="AG356" i="56"/>
  <c r="AG350" i="56"/>
  <c r="AG336" i="56"/>
  <c r="AG368" i="56"/>
  <c r="AG343" i="56"/>
  <c r="AG357" i="56"/>
  <c r="AG367" i="56"/>
  <c r="AG362" i="56"/>
  <c r="AG339" i="56"/>
  <c r="AG366" i="56"/>
  <c r="AG338" i="56"/>
  <c r="AG354" i="56"/>
  <c r="AG342" i="56"/>
  <c r="AG337" i="56"/>
  <c r="AG341" i="56"/>
  <c r="AG311" i="56"/>
  <c r="AG331" i="56"/>
  <c r="AG314" i="56"/>
  <c r="AG321" i="56"/>
  <c r="AG363" i="56"/>
  <c r="AG317" i="56"/>
  <c r="AG324" i="56"/>
  <c r="AG312" i="56"/>
  <c r="AG325" i="56"/>
  <c r="AG373" i="56"/>
  <c r="AG379" i="56"/>
  <c r="AG323" i="56"/>
  <c r="AG371" i="56"/>
  <c r="AG330" i="56"/>
  <c r="AG319" i="56"/>
  <c r="AG320" i="56"/>
  <c r="AG333" i="56"/>
  <c r="AG316" i="56"/>
  <c r="AG315" i="56"/>
  <c r="AG328" i="56"/>
  <c r="AG313" i="56"/>
  <c r="AG365" i="56"/>
  <c r="AG332" i="56"/>
  <c r="AG318" i="56"/>
  <c r="AG326" i="56"/>
  <c r="AG322" i="56"/>
  <c r="AG378" i="56"/>
  <c r="AG335" i="56"/>
  <c r="AG327" i="56"/>
  <c r="AG377" i="56"/>
  <c r="AG369" i="56"/>
  <c r="AG370" i="56"/>
  <c r="AG329" i="56"/>
  <c r="AG364" i="56"/>
  <c r="AH310" i="56"/>
  <c r="AH334" i="56" s="1"/>
  <c r="P79" i="61"/>
  <c r="P84" i="61"/>
  <c r="AH372" i="56" l="1"/>
  <c r="AH376" i="56"/>
  <c r="AH375" i="56"/>
  <c r="AH374" i="56"/>
  <c r="AH349" i="56"/>
  <c r="AH346" i="56"/>
  <c r="AH353" i="56"/>
  <c r="AH339" i="56"/>
  <c r="AH366" i="56"/>
  <c r="AH338" i="56"/>
  <c r="AH354" i="56"/>
  <c r="AH368" i="56"/>
  <c r="AH341" i="56"/>
  <c r="AH359" i="56"/>
  <c r="AH362" i="56"/>
  <c r="AH343" i="56"/>
  <c r="AH336" i="56"/>
  <c r="AH347" i="56"/>
  <c r="AH342" i="56"/>
  <c r="AH337" i="56"/>
  <c r="AH367" i="56"/>
  <c r="AH350" i="56"/>
  <c r="AH344" i="56"/>
  <c r="AH340" i="56"/>
  <c r="AH352" i="56"/>
  <c r="AH348" i="56"/>
  <c r="AH355" i="56"/>
  <c r="AH358" i="56"/>
  <c r="AH351" i="56"/>
  <c r="AH356" i="56"/>
  <c r="AH345" i="56"/>
  <c r="AH357" i="56"/>
  <c r="AH360" i="56"/>
  <c r="AH312" i="56"/>
  <c r="AH317" i="56"/>
  <c r="AH324" i="56"/>
  <c r="AH331" i="56"/>
  <c r="AH321" i="56"/>
  <c r="AH311" i="56"/>
  <c r="AH363" i="56"/>
  <c r="AH325" i="56"/>
  <c r="AH314" i="56"/>
  <c r="AH378" i="56"/>
  <c r="AH335" i="56"/>
  <c r="AH332" i="56"/>
  <c r="AH365" i="56"/>
  <c r="AH320" i="56"/>
  <c r="AH318" i="56"/>
  <c r="AH322" i="56"/>
  <c r="AH330" i="56"/>
  <c r="AH316" i="56"/>
  <c r="AH369" i="56"/>
  <c r="AH327" i="56"/>
  <c r="AH364" i="56"/>
  <c r="AH328" i="56"/>
  <c r="AH373" i="56"/>
  <c r="AH379" i="56"/>
  <c r="AH370" i="56"/>
  <c r="AH315" i="56"/>
  <c r="AH323" i="56"/>
  <c r="AH319" i="56"/>
  <c r="AH326" i="56"/>
  <c r="AH329" i="56"/>
  <c r="AH371" i="56"/>
  <c r="AH333" i="56"/>
  <c r="AH313" i="56"/>
  <c r="AH377" i="56"/>
  <c r="AI310" i="56"/>
  <c r="AI334" i="56" s="1"/>
  <c r="O79" i="61"/>
  <c r="O84" i="61"/>
  <c r="AI372" i="56" l="1"/>
  <c r="AI376" i="56"/>
  <c r="AI375" i="56"/>
  <c r="AI374" i="56"/>
  <c r="AI353" i="56"/>
  <c r="AI346" i="56"/>
  <c r="AI349" i="56"/>
  <c r="AI344" i="56"/>
  <c r="AI340" i="56"/>
  <c r="AI345" i="56"/>
  <c r="AI352" i="56"/>
  <c r="AI355" i="56"/>
  <c r="AI362" i="56"/>
  <c r="AI348" i="56"/>
  <c r="AI337" i="56"/>
  <c r="AI367" i="56"/>
  <c r="AI354" i="56"/>
  <c r="AI360" i="56"/>
  <c r="AI356" i="56"/>
  <c r="AI343" i="56"/>
  <c r="AI358" i="56"/>
  <c r="AI351" i="56"/>
  <c r="AI339" i="56"/>
  <c r="AI350" i="56"/>
  <c r="AI359" i="56"/>
  <c r="AI366" i="56"/>
  <c r="AI338" i="56"/>
  <c r="AI368" i="56"/>
  <c r="AI347" i="56"/>
  <c r="AI336" i="56"/>
  <c r="AI357" i="56"/>
  <c r="AI341" i="56"/>
  <c r="AI342" i="56"/>
  <c r="AI331" i="56"/>
  <c r="AI311" i="56"/>
  <c r="AI321" i="56"/>
  <c r="AI363" i="56"/>
  <c r="AI317" i="56"/>
  <c r="AI325" i="56"/>
  <c r="AI314" i="56"/>
  <c r="AI312" i="56"/>
  <c r="AI324" i="56"/>
  <c r="AI328" i="56"/>
  <c r="AI373" i="56"/>
  <c r="AI315" i="56"/>
  <c r="AI318" i="56"/>
  <c r="AI326" i="56"/>
  <c r="AI323" i="56"/>
  <c r="AI330" i="56"/>
  <c r="AI371" i="56"/>
  <c r="AI333" i="56"/>
  <c r="AI365" i="56"/>
  <c r="AI364" i="56"/>
  <c r="AI370" i="56"/>
  <c r="AI377" i="56"/>
  <c r="AI332" i="56"/>
  <c r="AI329" i="56"/>
  <c r="AI378" i="56"/>
  <c r="AI335" i="56"/>
  <c r="AI313" i="56"/>
  <c r="AI319" i="56"/>
  <c r="AI327" i="56"/>
  <c r="AI320" i="56"/>
  <c r="AI316" i="56"/>
  <c r="AI322" i="56"/>
  <c r="AI379" i="56"/>
  <c r="AI369" i="56"/>
  <c r="AJ310" i="56"/>
  <c r="AJ334" i="56" s="1"/>
  <c r="N79" i="61"/>
  <c r="N84" i="61"/>
  <c r="AJ372" i="56" l="1"/>
  <c r="AJ376" i="56"/>
  <c r="AJ375" i="56"/>
  <c r="AJ374" i="56"/>
  <c r="AJ346" i="56"/>
  <c r="AJ353" i="56"/>
  <c r="AJ349" i="56"/>
  <c r="AJ339" i="56"/>
  <c r="AJ345" i="56"/>
  <c r="AJ359" i="56"/>
  <c r="AJ366" i="56"/>
  <c r="AJ338" i="56"/>
  <c r="AJ368" i="56"/>
  <c r="AJ347" i="56"/>
  <c r="AJ341" i="56"/>
  <c r="AJ344" i="56"/>
  <c r="AJ336" i="56"/>
  <c r="AJ357" i="56"/>
  <c r="AJ355" i="56"/>
  <c r="AJ342" i="56"/>
  <c r="AJ337" i="56"/>
  <c r="AJ351" i="56"/>
  <c r="AJ352" i="56"/>
  <c r="AJ367" i="56"/>
  <c r="AJ362" i="56"/>
  <c r="AJ358" i="56"/>
  <c r="AJ360" i="56"/>
  <c r="AJ356" i="56"/>
  <c r="AJ350" i="56"/>
  <c r="AJ354" i="56"/>
  <c r="AJ348" i="56"/>
  <c r="AJ343" i="56"/>
  <c r="AJ340" i="56"/>
  <c r="AJ317" i="56"/>
  <c r="AJ324" i="56"/>
  <c r="AJ312" i="56"/>
  <c r="AJ325" i="56"/>
  <c r="AJ363" i="56"/>
  <c r="AJ331" i="56"/>
  <c r="AJ321" i="56"/>
  <c r="AJ311" i="56"/>
  <c r="AJ314" i="56"/>
  <c r="AJ378" i="56"/>
  <c r="AJ379" i="56"/>
  <c r="AJ319" i="56"/>
  <c r="AJ370" i="56"/>
  <c r="AJ330" i="56"/>
  <c r="AJ335" i="56"/>
  <c r="AJ313" i="56"/>
  <c r="AJ329" i="56"/>
  <c r="AJ318" i="56"/>
  <c r="AJ322" i="56"/>
  <c r="AJ369" i="56"/>
  <c r="AJ332" i="56"/>
  <c r="AJ364" i="56"/>
  <c r="AJ377" i="56"/>
  <c r="AJ328" i="56"/>
  <c r="AJ373" i="56"/>
  <c r="AJ315" i="56"/>
  <c r="AJ365" i="56"/>
  <c r="AJ326" i="56"/>
  <c r="AJ323" i="56"/>
  <c r="AJ327" i="56"/>
  <c r="AJ371" i="56"/>
  <c r="AJ333" i="56"/>
  <c r="AJ320" i="56"/>
  <c r="AJ316" i="56"/>
  <c r="AK310" i="56"/>
  <c r="AK334" i="56" s="1"/>
  <c r="M84" i="61"/>
  <c r="M79" i="61"/>
  <c r="AK372" i="56" l="1"/>
  <c r="AK376" i="56"/>
  <c r="AK375" i="56"/>
  <c r="AK374" i="56"/>
  <c r="AK353" i="56"/>
  <c r="AK349" i="56"/>
  <c r="AK346" i="56"/>
  <c r="AK339" i="56"/>
  <c r="AK345" i="56"/>
  <c r="AK366" i="56"/>
  <c r="AK360" i="56"/>
  <c r="AK350" i="56"/>
  <c r="AK351" i="56"/>
  <c r="AK356" i="56"/>
  <c r="AK348" i="56"/>
  <c r="AK362" i="56"/>
  <c r="AK343" i="56"/>
  <c r="AK342" i="56"/>
  <c r="AK337" i="56"/>
  <c r="AK355" i="56"/>
  <c r="AK367" i="56"/>
  <c r="AK354" i="56"/>
  <c r="AK336" i="56"/>
  <c r="AK357" i="56"/>
  <c r="AK358" i="56"/>
  <c r="AK341" i="56"/>
  <c r="AK344" i="56"/>
  <c r="AK340" i="56"/>
  <c r="AK359" i="56"/>
  <c r="AK338" i="56"/>
  <c r="AK368" i="56"/>
  <c r="AK347" i="56"/>
  <c r="AK352" i="56"/>
  <c r="AK331" i="56"/>
  <c r="AK314" i="56"/>
  <c r="AK321" i="56"/>
  <c r="AK363" i="56"/>
  <c r="AK311" i="56"/>
  <c r="AK317" i="56"/>
  <c r="AK325" i="56"/>
  <c r="AK324" i="56"/>
  <c r="AK312" i="56"/>
  <c r="AK328" i="56"/>
  <c r="AK335" i="56"/>
  <c r="AK315" i="56"/>
  <c r="AK327" i="56"/>
  <c r="AK326" i="56"/>
  <c r="AK323" i="56"/>
  <c r="AK371" i="56"/>
  <c r="AK365" i="56"/>
  <c r="AK329" i="56"/>
  <c r="AK364" i="56"/>
  <c r="AK377" i="56"/>
  <c r="AK332" i="56"/>
  <c r="AK333" i="56"/>
  <c r="AK316" i="56"/>
  <c r="AK378" i="56"/>
  <c r="AK373" i="56"/>
  <c r="AK379" i="56"/>
  <c r="AK330" i="56"/>
  <c r="AK319" i="56"/>
  <c r="AK320" i="56"/>
  <c r="AK370" i="56"/>
  <c r="AK313" i="56"/>
  <c r="AK318" i="56"/>
  <c r="AK322" i="56"/>
  <c r="AK369" i="56"/>
  <c r="AL310" i="56"/>
  <c r="AL334" i="56" s="1"/>
  <c r="L84" i="61"/>
  <c r="L79" i="61"/>
  <c r="AL372" i="56" l="1"/>
  <c r="AL376" i="56"/>
  <c r="AL375" i="56"/>
  <c r="AL374" i="56"/>
  <c r="AL346" i="56"/>
  <c r="AL353" i="56"/>
  <c r="AL349" i="56"/>
  <c r="AL352" i="56"/>
  <c r="AL341" i="56"/>
  <c r="AL356" i="56"/>
  <c r="AL336" i="56"/>
  <c r="AL348" i="56"/>
  <c r="AL357" i="56"/>
  <c r="AL355" i="56"/>
  <c r="AL358" i="56"/>
  <c r="AL351" i="56"/>
  <c r="AL344" i="56"/>
  <c r="AL367" i="56"/>
  <c r="AL359" i="56"/>
  <c r="AL368" i="56"/>
  <c r="AL339" i="56"/>
  <c r="AL360" i="56"/>
  <c r="AL350" i="56"/>
  <c r="AL345" i="56"/>
  <c r="AL366" i="56"/>
  <c r="AL340" i="56"/>
  <c r="AL362" i="56"/>
  <c r="AL354" i="56"/>
  <c r="AL343" i="56"/>
  <c r="AL342" i="56"/>
  <c r="AL337" i="56"/>
  <c r="AL338" i="56"/>
  <c r="AL347" i="56"/>
  <c r="AL312" i="56"/>
  <c r="AL363" i="56"/>
  <c r="AL331" i="56"/>
  <c r="AL317" i="56"/>
  <c r="AL314" i="56"/>
  <c r="AL321" i="56"/>
  <c r="AL324" i="56"/>
  <c r="AL325" i="56"/>
  <c r="AL311" i="56"/>
  <c r="AL313" i="56"/>
  <c r="AL319" i="56"/>
  <c r="AL377" i="56"/>
  <c r="AL318" i="56"/>
  <c r="AL322" i="56"/>
  <c r="AL370" i="56"/>
  <c r="AL332" i="56"/>
  <c r="AL335" i="56"/>
  <c r="AL327" i="56"/>
  <c r="AL315" i="56"/>
  <c r="AL333" i="56"/>
  <c r="AL373" i="56"/>
  <c r="AL330" i="56"/>
  <c r="AL328" i="56"/>
  <c r="AL323" i="56"/>
  <c r="AL369" i="56"/>
  <c r="AL371" i="56"/>
  <c r="AL379" i="56"/>
  <c r="AL320" i="56"/>
  <c r="AL326" i="56"/>
  <c r="AL365" i="56"/>
  <c r="AL329" i="56"/>
  <c r="AL364" i="56"/>
  <c r="AL316" i="56"/>
  <c r="AL378" i="56"/>
  <c r="AM310" i="56"/>
  <c r="AM334" i="56" s="1"/>
  <c r="K79" i="61"/>
  <c r="K84" i="61"/>
  <c r="AM372" i="56" l="1"/>
  <c r="AM376" i="56"/>
  <c r="AM375" i="56"/>
  <c r="AM374" i="56"/>
  <c r="AM353" i="56"/>
  <c r="AM349" i="56"/>
  <c r="AM346" i="56"/>
  <c r="AM343" i="56"/>
  <c r="AM342" i="56"/>
  <c r="AM337" i="56"/>
  <c r="AM355" i="56"/>
  <c r="AM341" i="56"/>
  <c r="AM344" i="56"/>
  <c r="AM340" i="56"/>
  <c r="AM338" i="56"/>
  <c r="AM352" i="56"/>
  <c r="AM348" i="56"/>
  <c r="AM358" i="56"/>
  <c r="AM368" i="56"/>
  <c r="AM357" i="56"/>
  <c r="AM362" i="56"/>
  <c r="AM347" i="56"/>
  <c r="AM345" i="56"/>
  <c r="AM360" i="56"/>
  <c r="AM356" i="56"/>
  <c r="AM350" i="56"/>
  <c r="AM359" i="56"/>
  <c r="AM336" i="56"/>
  <c r="AM367" i="56"/>
  <c r="AM339" i="56"/>
  <c r="AM354" i="56"/>
  <c r="AM366" i="56"/>
  <c r="AM351" i="56"/>
  <c r="AM314" i="56"/>
  <c r="AM317" i="56"/>
  <c r="AM325" i="56"/>
  <c r="AM311" i="56"/>
  <c r="AM331" i="56"/>
  <c r="AM324" i="56"/>
  <c r="AM312" i="56"/>
  <c r="AM363" i="56"/>
  <c r="AM321" i="56"/>
  <c r="AM369" i="56"/>
  <c r="AM365" i="56"/>
  <c r="AM371" i="56"/>
  <c r="AM333" i="56"/>
  <c r="AM328" i="56"/>
  <c r="AM329" i="56"/>
  <c r="AM364" i="56"/>
  <c r="AM373" i="56"/>
  <c r="AM330" i="56"/>
  <c r="AM320" i="56"/>
  <c r="AM370" i="56"/>
  <c r="AM377" i="56"/>
  <c r="AM316" i="56"/>
  <c r="AM323" i="56"/>
  <c r="AM379" i="56"/>
  <c r="AM332" i="56"/>
  <c r="AM326" i="56"/>
  <c r="AM318" i="56"/>
  <c r="AM322" i="56"/>
  <c r="AM319" i="56"/>
  <c r="AM315" i="56"/>
  <c r="AM378" i="56"/>
  <c r="AM335" i="56"/>
  <c r="AM313" i="56"/>
  <c r="AM327" i="56"/>
  <c r="AN310" i="56"/>
  <c r="AN334" i="56" s="1"/>
  <c r="J79" i="61"/>
  <c r="J84" i="61"/>
  <c r="AN372" i="56" l="1"/>
  <c r="AN376" i="56"/>
  <c r="AN375" i="56"/>
  <c r="AN374" i="56"/>
  <c r="AN346" i="56"/>
  <c r="AN353" i="56"/>
  <c r="AN349" i="56"/>
  <c r="AN347" i="56"/>
  <c r="AN367" i="56"/>
  <c r="AN360" i="56"/>
  <c r="AN339" i="56"/>
  <c r="AN345" i="56"/>
  <c r="AN354" i="56"/>
  <c r="AN368" i="56"/>
  <c r="AN357" i="56"/>
  <c r="AN350" i="56"/>
  <c r="AN341" i="56"/>
  <c r="AN359" i="56"/>
  <c r="AN366" i="56"/>
  <c r="AN355" i="56"/>
  <c r="AN351" i="56"/>
  <c r="AN336" i="56"/>
  <c r="AN344" i="56"/>
  <c r="AN342" i="56"/>
  <c r="AN337" i="56"/>
  <c r="AN338" i="56"/>
  <c r="AN352" i="56"/>
  <c r="AN362" i="56"/>
  <c r="AN348" i="56"/>
  <c r="AN358" i="56"/>
  <c r="AN343" i="56"/>
  <c r="AN356" i="56"/>
  <c r="AN340" i="56"/>
  <c r="AN363" i="56"/>
  <c r="AN311" i="56"/>
  <c r="AN314" i="56"/>
  <c r="AN325" i="56"/>
  <c r="AN321" i="56"/>
  <c r="AN331" i="56"/>
  <c r="AN312" i="56"/>
  <c r="AN317" i="56"/>
  <c r="AN324" i="56"/>
  <c r="AN318" i="56"/>
  <c r="AN322" i="56"/>
  <c r="AN313" i="56"/>
  <c r="AN333" i="56"/>
  <c r="AN378" i="56"/>
  <c r="AN328" i="56"/>
  <c r="AN335" i="56"/>
  <c r="AN365" i="56"/>
  <c r="AN327" i="56"/>
  <c r="AN369" i="56"/>
  <c r="AN315" i="56"/>
  <c r="AN326" i="56"/>
  <c r="AN323" i="56"/>
  <c r="AN364" i="56"/>
  <c r="AN329" i="56"/>
  <c r="AN370" i="56"/>
  <c r="AN377" i="56"/>
  <c r="AN371" i="56"/>
  <c r="AN332" i="56"/>
  <c r="AN373" i="56"/>
  <c r="AN379" i="56"/>
  <c r="AN330" i="56"/>
  <c r="AN319" i="56"/>
  <c r="AN320" i="56"/>
  <c r="AN316" i="56"/>
  <c r="AO310" i="56"/>
  <c r="AO334" i="56" s="1"/>
  <c r="I79" i="61"/>
  <c r="I84" i="61"/>
  <c r="AO372" i="56" l="1"/>
  <c r="AO376" i="56"/>
  <c r="AO375" i="56"/>
  <c r="AO374" i="56"/>
  <c r="AO353" i="56"/>
  <c r="AO346" i="56"/>
  <c r="AO349" i="56"/>
  <c r="AO342" i="56"/>
  <c r="AO344" i="56"/>
  <c r="AO340" i="56"/>
  <c r="AO359" i="56"/>
  <c r="AO352" i="56"/>
  <c r="AO348" i="56"/>
  <c r="AO358" i="56"/>
  <c r="AO367" i="56"/>
  <c r="AO345" i="56"/>
  <c r="AO347" i="56"/>
  <c r="AO360" i="56"/>
  <c r="AO356" i="56"/>
  <c r="AO350" i="56"/>
  <c r="AO357" i="56"/>
  <c r="AO355" i="56"/>
  <c r="AO351" i="56"/>
  <c r="AO368" i="56"/>
  <c r="AO343" i="56"/>
  <c r="AO341" i="56"/>
  <c r="AO336" i="56"/>
  <c r="AO362" i="56"/>
  <c r="AO337" i="56"/>
  <c r="AO339" i="56"/>
  <c r="AO366" i="56"/>
  <c r="AO338" i="56"/>
  <c r="AO354" i="56"/>
  <c r="AO325" i="56"/>
  <c r="AO321" i="56"/>
  <c r="AO311" i="56"/>
  <c r="AO331" i="56"/>
  <c r="AO314" i="56"/>
  <c r="AO363" i="56"/>
  <c r="AO317" i="56"/>
  <c r="AO324" i="56"/>
  <c r="AO312" i="56"/>
  <c r="AO370" i="56"/>
  <c r="AO377" i="56"/>
  <c r="AO315" i="56"/>
  <c r="AO373" i="56"/>
  <c r="AO379" i="56"/>
  <c r="AO323" i="56"/>
  <c r="AO371" i="56"/>
  <c r="AO364" i="56"/>
  <c r="AO330" i="56"/>
  <c r="AO319" i="56"/>
  <c r="AO320" i="56"/>
  <c r="AO333" i="56"/>
  <c r="AO316" i="56"/>
  <c r="AO328" i="56"/>
  <c r="AO313" i="56"/>
  <c r="AO365" i="56"/>
  <c r="AO332" i="56"/>
  <c r="AO318" i="56"/>
  <c r="AO322" i="56"/>
  <c r="AO378" i="56"/>
  <c r="AO335" i="56"/>
  <c r="AO327" i="56"/>
  <c r="AO329" i="56"/>
  <c r="AO326" i="56"/>
  <c r="AO369" i="56"/>
  <c r="AP310" i="56"/>
  <c r="AP334" i="56" s="1"/>
  <c r="H79" i="61"/>
  <c r="H84" i="61"/>
  <c r="AP372" i="56" l="1"/>
  <c r="AP376" i="56"/>
  <c r="AP375" i="56"/>
  <c r="AP374" i="56"/>
  <c r="AP349" i="56"/>
  <c r="AP346" i="56"/>
  <c r="AP353" i="56"/>
  <c r="AP343" i="56"/>
  <c r="AP350" i="56"/>
  <c r="AP339" i="56"/>
  <c r="AP366" i="56"/>
  <c r="AP338" i="56"/>
  <c r="AP362" i="56"/>
  <c r="AP354" i="56"/>
  <c r="AP368" i="56"/>
  <c r="AP360" i="56"/>
  <c r="AP341" i="56"/>
  <c r="AP357" i="56"/>
  <c r="AP359" i="56"/>
  <c r="AP336" i="56"/>
  <c r="AP342" i="56"/>
  <c r="AP337" i="56"/>
  <c r="AP367" i="56"/>
  <c r="AP356" i="56"/>
  <c r="AP344" i="56"/>
  <c r="AP340" i="56"/>
  <c r="AP352" i="56"/>
  <c r="AP348" i="56"/>
  <c r="AP347" i="56"/>
  <c r="AP355" i="56"/>
  <c r="AP358" i="56"/>
  <c r="AP351" i="56"/>
  <c r="AP345" i="56"/>
  <c r="AP363" i="56"/>
  <c r="AP317" i="56"/>
  <c r="AP324" i="56"/>
  <c r="AP312" i="56"/>
  <c r="AP331" i="56"/>
  <c r="AP321" i="56"/>
  <c r="AP311" i="56"/>
  <c r="AP325" i="56"/>
  <c r="AP314" i="56"/>
  <c r="AP313" i="56"/>
  <c r="AP365" i="56"/>
  <c r="AP319" i="56"/>
  <c r="AP320" i="56"/>
  <c r="AP377" i="56"/>
  <c r="AP316" i="56"/>
  <c r="AP333" i="56"/>
  <c r="AP378" i="56"/>
  <c r="AP335" i="56"/>
  <c r="AP370" i="56"/>
  <c r="AP318" i="56"/>
  <c r="AP322" i="56"/>
  <c r="AP326" i="56"/>
  <c r="AP369" i="56"/>
  <c r="AP330" i="56"/>
  <c r="AP327" i="56"/>
  <c r="AP364" i="56"/>
  <c r="AP332" i="56"/>
  <c r="AP328" i="56"/>
  <c r="AP373" i="56"/>
  <c r="AP379" i="56"/>
  <c r="AP315" i="56"/>
  <c r="AP323" i="56"/>
  <c r="AP329" i="56"/>
  <c r="AP371" i="56"/>
  <c r="AQ310" i="56"/>
  <c r="AQ334" i="56" s="1"/>
  <c r="AQ372" i="56" l="1"/>
  <c r="AQ376" i="56"/>
  <c r="AQ375" i="56"/>
  <c r="AQ374" i="56"/>
  <c r="AQ353" i="56"/>
  <c r="AQ346" i="56"/>
  <c r="AQ349" i="56"/>
  <c r="AQ351" i="56"/>
  <c r="AQ344" i="56"/>
  <c r="AQ340" i="56"/>
  <c r="AQ336" i="56"/>
  <c r="AQ345" i="56"/>
  <c r="AQ342" i="56"/>
  <c r="AQ337" i="56"/>
  <c r="AQ352" i="56"/>
  <c r="AQ362" i="56"/>
  <c r="AQ348" i="56"/>
  <c r="AQ358" i="56"/>
  <c r="AQ341" i="56"/>
  <c r="AQ354" i="56"/>
  <c r="AQ357" i="56"/>
  <c r="AQ356" i="56"/>
  <c r="AQ343" i="56"/>
  <c r="AQ355" i="56"/>
  <c r="AQ367" i="56"/>
  <c r="AQ339" i="56"/>
  <c r="AQ360" i="56"/>
  <c r="AQ350" i="56"/>
  <c r="AQ359" i="56"/>
  <c r="AQ366" i="56"/>
  <c r="AQ338" i="56"/>
  <c r="AQ368" i="56"/>
  <c r="AQ347" i="56"/>
  <c r="AQ325" i="56"/>
  <c r="AQ331" i="56"/>
  <c r="AQ324" i="56"/>
  <c r="AQ311" i="56"/>
  <c r="AQ321" i="56"/>
  <c r="AQ312" i="56"/>
  <c r="AQ314" i="56"/>
  <c r="AQ363" i="56"/>
  <c r="AQ317" i="56"/>
  <c r="AQ379" i="56"/>
  <c r="AQ322" i="56"/>
  <c r="AQ328" i="56"/>
  <c r="AQ373" i="56"/>
  <c r="AQ329" i="56"/>
  <c r="AQ320" i="56"/>
  <c r="AQ315" i="56"/>
  <c r="AQ327" i="56"/>
  <c r="AQ318" i="56"/>
  <c r="AQ326" i="56"/>
  <c r="AQ323" i="56"/>
  <c r="AQ330" i="56"/>
  <c r="AQ371" i="56"/>
  <c r="AQ333" i="56"/>
  <c r="AQ365" i="56"/>
  <c r="AQ364" i="56"/>
  <c r="AQ370" i="56"/>
  <c r="AQ377" i="56"/>
  <c r="AQ332" i="56"/>
  <c r="AQ316" i="56"/>
  <c r="AQ378" i="56"/>
  <c r="AQ335" i="56"/>
  <c r="AQ313" i="56"/>
  <c r="AQ319" i="56"/>
  <c r="AQ369" i="56"/>
  <c r="AR310" i="56"/>
  <c r="AR334" i="56" s="1"/>
  <c r="AR372" i="56" l="1"/>
  <c r="AR358" i="56"/>
  <c r="AR376" i="56"/>
  <c r="AR375" i="56"/>
  <c r="AR374" i="56"/>
  <c r="AR353" i="56"/>
  <c r="AR349" i="56"/>
  <c r="AR346" i="56"/>
  <c r="AR340" i="56"/>
  <c r="AR362" i="56"/>
  <c r="AR339" i="56"/>
  <c r="AR360" i="56"/>
  <c r="AR359" i="56"/>
  <c r="AR366" i="56"/>
  <c r="AR338" i="56"/>
  <c r="AR352" i="56"/>
  <c r="AR354" i="56"/>
  <c r="AR368" i="56"/>
  <c r="AR347" i="56"/>
  <c r="AR356" i="56"/>
  <c r="AR350" i="56"/>
  <c r="AR341" i="56"/>
  <c r="AR345" i="56"/>
  <c r="AR336" i="56"/>
  <c r="AR348" i="56"/>
  <c r="AR357" i="56"/>
  <c r="AR355" i="56"/>
  <c r="AR337" i="56"/>
  <c r="AR351" i="56"/>
  <c r="AR344" i="56"/>
  <c r="AR342" i="56"/>
  <c r="AR367" i="56"/>
  <c r="AR343" i="56"/>
  <c r="AR363" i="56"/>
  <c r="AR317" i="56"/>
  <c r="AR324" i="56"/>
  <c r="AR312" i="56"/>
  <c r="AR325" i="56"/>
  <c r="AR314" i="56"/>
  <c r="AR331" i="56"/>
  <c r="AR321" i="56"/>
  <c r="AR311" i="56"/>
  <c r="AR365" i="56"/>
  <c r="AR330" i="56"/>
  <c r="AR364" i="56"/>
  <c r="AR320" i="56"/>
  <c r="AR377" i="56"/>
  <c r="AR332" i="56"/>
  <c r="AR316" i="56"/>
  <c r="AR371" i="56"/>
  <c r="AR378" i="56"/>
  <c r="AR379" i="56"/>
  <c r="AR319" i="56"/>
  <c r="AR370" i="56"/>
  <c r="AR326" i="56"/>
  <c r="AR323" i="56"/>
  <c r="AR327" i="56"/>
  <c r="AR313" i="56"/>
  <c r="AR318" i="56"/>
  <c r="AR322" i="56"/>
  <c r="AR369" i="56"/>
  <c r="AR329" i="56"/>
  <c r="AR333" i="56"/>
  <c r="AR328" i="56"/>
  <c r="AR373" i="56"/>
  <c r="AR315" i="56"/>
  <c r="AR335"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Alessandro Chiodi</author>
  </authors>
  <commentList>
    <comment ref="B2" authorId="0" shapeId="0" xr:uid="{DD11E92E-20AF-4956-8937-FBDD0418BA95}">
      <text>
        <r>
          <rPr>
            <b/>
            <sz val="9"/>
            <color indexed="81"/>
            <rFont val="Tahoma"/>
            <family val="2"/>
          </rPr>
          <t>Disclaimer:</t>
        </r>
        <r>
          <rPr>
            <sz val="9"/>
            <color indexed="81"/>
            <rFont val="Tahoma"/>
            <family val="2"/>
          </rPr>
          <t xml:space="preserve"> It is suggested to not modify the assumptions contained in this file unless you have a good reason and would you like to change the calibration of the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Alessandro Chiodi</author>
    <author>Author</author>
  </authors>
  <commentList>
    <comment ref="H39" authorId="0" shapeId="0" xr:uid="{C1D3F370-E64C-44E4-864D-67620B42C0AA}">
      <text>
        <r>
          <rPr>
            <b/>
            <sz val="9"/>
            <color indexed="81"/>
            <rFont val="Tahoma"/>
            <family val="2"/>
          </rPr>
          <t>E4SMA:</t>
        </r>
        <r>
          <rPr>
            <sz val="9"/>
            <color indexed="81"/>
            <rFont val="Tahoma"/>
            <family val="2"/>
          </rPr>
          <t xml:space="preserve">
Approx 10 units/households assumed</t>
        </r>
      </text>
    </comment>
    <comment ref="D43" authorId="1" shapeId="0" xr:uid="{321B1CD8-FD3B-400D-8720-E54947DB3A07}">
      <text>
        <r>
          <rPr>
            <b/>
            <sz val="9"/>
            <color indexed="81"/>
            <rFont val="Tahoma"/>
            <family val="2"/>
          </rPr>
          <t>Author:</t>
        </r>
        <r>
          <rPr>
            <sz val="9"/>
            <color indexed="81"/>
            <rFont val="Tahoma"/>
            <family val="2"/>
          </rPr>
          <t xml:space="preserve">
Based on PIL pro capite comparison between regions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Chiodi</author>
  </authors>
  <commentList>
    <comment ref="C245" authorId="0" shapeId="0" xr:uid="{78D15025-9F02-4B74-A247-62F720E33D84}">
      <text>
        <r>
          <rPr>
            <b/>
            <sz val="9"/>
            <color indexed="81"/>
            <rFont val="Tahoma"/>
            <family val="2"/>
          </rPr>
          <t>E4SMA:</t>
        </r>
        <r>
          <rPr>
            <sz val="9"/>
            <color indexed="81"/>
            <rFont val="Tahoma"/>
            <family val="2"/>
          </rPr>
          <t xml:space="preserve">
Estimation based on GDP and Population data from the WB</t>
        </r>
      </text>
    </comment>
    <comment ref="C415" authorId="0" shapeId="0" xr:uid="{529CE448-950E-4BC0-ABE0-3091BFCAAA0B}">
      <text>
        <r>
          <rPr>
            <b/>
            <sz val="9"/>
            <color indexed="81"/>
            <rFont val="Tahoma"/>
            <family val="2"/>
          </rPr>
          <t>E4SMA:</t>
        </r>
        <r>
          <rPr>
            <sz val="9"/>
            <color indexed="81"/>
            <rFont val="Tahoma"/>
            <family val="2"/>
          </rPr>
          <t xml:space="preserve">
Estimation based on GDP and Population data from the WB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5" authorId="0" shapeId="0" xr:uid="{00000000-0006-0000-1000-000001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5" authorId="0" shapeId="0" xr:uid="{00000000-0006-0000-1000-000002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5" authorId="0" shapeId="0" xr:uid="{00000000-0006-0000-1000-000003000000}">
      <text>
        <r>
          <rPr>
            <sz val="8"/>
            <color indexed="81"/>
            <rFont val="Tahoma"/>
            <family val="2"/>
          </rPr>
          <t xml:space="preserve">
Needed only when one wants to override the VEDA default assignment
</t>
        </r>
      </text>
    </comment>
    <comment ref="R5" authorId="0" shapeId="0" xr:uid="{00000000-0006-0000-1000-000004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List>
</comments>
</file>

<file path=xl/sharedStrings.xml><?xml version="1.0" encoding="utf-8"?>
<sst xmlns="http://schemas.openxmlformats.org/spreadsheetml/2006/main" count="6103" uniqueCount="591">
  <si>
    <t>LPG</t>
  </si>
  <si>
    <t>BRA</t>
  </si>
  <si>
    <t>CAN</t>
  </si>
  <si>
    <t>CHN</t>
  </si>
  <si>
    <t>IDN</t>
  </si>
  <si>
    <t>IND</t>
  </si>
  <si>
    <t>JPN</t>
  </si>
  <si>
    <t>LAM</t>
  </si>
  <si>
    <t>MEA</t>
  </si>
  <si>
    <t>MEX</t>
  </si>
  <si>
    <t>RUS</t>
  </si>
  <si>
    <t>USA</t>
  </si>
  <si>
    <t>PJ</t>
  </si>
  <si>
    <t>ELC</t>
  </si>
  <si>
    <t>SOL</t>
  </si>
  <si>
    <t>Table 1</t>
  </si>
  <si>
    <t>Table 2</t>
  </si>
  <si>
    <t>Kerosene</t>
  </si>
  <si>
    <t>Coal</t>
  </si>
  <si>
    <t>Electricity</t>
  </si>
  <si>
    <t>Heat</t>
  </si>
  <si>
    <t>Geothermal</t>
  </si>
  <si>
    <t>Solar</t>
  </si>
  <si>
    <t>Document type:</t>
  </si>
  <si>
    <t>Base-year</t>
  </si>
  <si>
    <t>Table of contents</t>
  </si>
  <si>
    <t>Sheet</t>
  </si>
  <si>
    <t>Description</t>
  </si>
  <si>
    <t>Cell colour legend</t>
  </si>
  <si>
    <t>Tab colour legend</t>
  </si>
  <si>
    <t>VEDA-TIMES data input tables</t>
  </si>
  <si>
    <t>Model regions</t>
  </si>
  <si>
    <t>Code</t>
  </si>
  <si>
    <t>Residential</t>
  </si>
  <si>
    <t>~FI_T</t>
  </si>
  <si>
    <t>TechName</t>
  </si>
  <si>
    <t>TechDesc</t>
  </si>
  <si>
    <t>EFF</t>
  </si>
  <si>
    <t>CommName</t>
  </si>
  <si>
    <t>CommDesc</t>
  </si>
  <si>
    <t>Attribute</t>
  </si>
  <si>
    <t>Commodities definition</t>
  </si>
  <si>
    <t>Processes definition</t>
  </si>
  <si>
    <t>~FI_Comm</t>
  </si>
  <si>
    <t>~FI_Process</t>
  </si>
  <si>
    <t>Csets</t>
  </si>
  <si>
    <t>Unit</t>
  </si>
  <si>
    <t>LimType</t>
  </si>
  <si>
    <t>CTSLvl</t>
  </si>
  <si>
    <t>PeakTS</t>
  </si>
  <si>
    <t>Ctype</t>
  </si>
  <si>
    <t>Sets</t>
  </si>
  <si>
    <t>Tact</t>
  </si>
  <si>
    <t>Tcap</t>
  </si>
  <si>
    <t>Tslvl</t>
  </si>
  <si>
    <t>PrimaryCG</t>
  </si>
  <si>
    <t>Vintage</t>
  </si>
  <si>
    <t>Commodity name</t>
  </si>
  <si>
    <t>Technology name</t>
  </si>
  <si>
    <t>Activity unit</t>
  </si>
  <si>
    <t>Capacity unit</t>
  </si>
  <si>
    <t>TimeSlice level of Process Activity</t>
  </si>
  <si>
    <t>Primary Commodity Group</t>
  </si>
  <si>
    <t>Vintage Tracking</t>
  </si>
  <si>
    <t>DEM</t>
  </si>
  <si>
    <t>\I: Commodity set</t>
  </si>
  <si>
    <t>\I: Process Set Membership</t>
  </si>
  <si>
    <t>SHARE-I</t>
  </si>
  <si>
    <t>NRG</t>
  </si>
  <si>
    <t>LTHEAT</t>
  </si>
  <si>
    <t>ENV</t>
  </si>
  <si>
    <t>Diesel</t>
  </si>
  <si>
    <t>Gasoline</t>
  </si>
  <si>
    <t>kt</t>
  </si>
  <si>
    <t>DMD</t>
  </si>
  <si>
    <t>PRE</t>
  </si>
  <si>
    <t>Emissions</t>
  </si>
  <si>
    <t>UP</t>
  </si>
  <si>
    <t>Biogas</t>
  </si>
  <si>
    <t>\I: Demand Commodities</t>
  </si>
  <si>
    <t>\I: Emissions commodities</t>
  </si>
  <si>
    <t>\I: Energy Commodities</t>
  </si>
  <si>
    <t>\I: Fuel Tech Name</t>
  </si>
  <si>
    <t>Efficiency</t>
  </si>
  <si>
    <t>Max Annual Availability</t>
  </si>
  <si>
    <t>Capacity to Activity Factor</t>
  </si>
  <si>
    <t>Source</t>
  </si>
  <si>
    <t>Brazil</t>
  </si>
  <si>
    <t>Canada</t>
  </si>
  <si>
    <t>India</t>
  </si>
  <si>
    <t>Japan</t>
  </si>
  <si>
    <t>Latin America</t>
  </si>
  <si>
    <t>Mexico</t>
  </si>
  <si>
    <t>Natural gas</t>
  </si>
  <si>
    <t>Lighting</t>
  </si>
  <si>
    <t>Service</t>
  </si>
  <si>
    <t>Fuel</t>
  </si>
  <si>
    <t>Check difference with EB</t>
  </si>
  <si>
    <t>LIFE</t>
  </si>
  <si>
    <t>OTH</t>
  </si>
  <si>
    <t>Table 3</t>
  </si>
  <si>
    <t>Subsector_RSD</t>
  </si>
  <si>
    <t>RSD</t>
  </si>
  <si>
    <t>RSDBGS</t>
  </si>
  <si>
    <t>RSDCOA</t>
  </si>
  <si>
    <t>RSDELC</t>
  </si>
  <si>
    <t>RSDGAS</t>
  </si>
  <si>
    <t>RSDGEO</t>
  </si>
  <si>
    <t>RSDHET</t>
  </si>
  <si>
    <t>RSDLPG</t>
  </si>
  <si>
    <t>RSDOIL</t>
  </si>
  <si>
    <t>RSDSOL</t>
  </si>
  <si>
    <t>Grand Total</t>
  </si>
  <si>
    <t>Year</t>
  </si>
  <si>
    <t>Subsector_Desc</t>
  </si>
  <si>
    <t>Biomass</t>
  </si>
  <si>
    <t>PEC</t>
  </si>
  <si>
    <t>PEC Desc</t>
  </si>
  <si>
    <t>R-CK</t>
  </si>
  <si>
    <t>Cooking</t>
  </si>
  <si>
    <t>R-OTH</t>
  </si>
  <si>
    <t>R-TH</t>
  </si>
  <si>
    <t>Thermal uses</t>
  </si>
  <si>
    <t>R-AC</t>
  </si>
  <si>
    <t>Air conditioning</t>
  </si>
  <si>
    <t>R-LIG</t>
  </si>
  <si>
    <t xml:space="preserve">Base Scenario Template </t>
  </si>
  <si>
    <t>Region:</t>
  </si>
  <si>
    <t>Global</t>
  </si>
  <si>
    <t>Sector:</t>
  </si>
  <si>
    <t>Developer:</t>
  </si>
  <si>
    <t>Document description:</t>
  </si>
  <si>
    <t>This template holds the structure of the Final Energy Consumption in the Residential sector</t>
  </si>
  <si>
    <t>aaa</t>
  </si>
  <si>
    <t>Model input</t>
  </si>
  <si>
    <t>Model input based on own assumptions</t>
  </si>
  <si>
    <t>Calculated value (not recommended to directly modify)</t>
  </si>
  <si>
    <t>Energy balance breakdown and other elaborations</t>
  </si>
  <si>
    <t>External data sources</t>
  </si>
  <si>
    <t>Energy balance breakdown for the sector</t>
  </si>
  <si>
    <t>Fuel Techs</t>
  </si>
  <si>
    <r>
      <rPr>
        <u/>
        <sz val="11"/>
        <color theme="1"/>
        <rFont val="Calibri"/>
        <family val="2"/>
        <scheme val="minor"/>
      </rPr>
      <t>Veda inputs:</t>
    </r>
    <r>
      <rPr>
        <sz val="12"/>
        <color theme="1"/>
        <rFont val="Calibri"/>
        <family val="2"/>
        <scheme val="minor"/>
      </rPr>
      <t xml:space="preserve"> Description of the sectoral infrastructure technologies (fuel techs)</t>
    </r>
  </si>
  <si>
    <t>Conversion factors</t>
  </si>
  <si>
    <t>Codes for processes and commodities names</t>
  </si>
  <si>
    <t>Dimension</t>
  </si>
  <si>
    <t>Service types</t>
  </si>
  <si>
    <t>CK</t>
  </si>
  <si>
    <t>LIG</t>
  </si>
  <si>
    <t>Electric Appliances</t>
  </si>
  <si>
    <t>EAP</t>
  </si>
  <si>
    <t>Fuel types</t>
  </si>
  <si>
    <r>
      <t>CO</t>
    </r>
    <r>
      <rPr>
        <vertAlign val="subscript"/>
        <sz val="11"/>
        <color theme="1"/>
        <rFont val="Calibri"/>
        <family val="2"/>
        <scheme val="minor"/>
      </rPr>
      <t>2eq</t>
    </r>
  </si>
  <si>
    <t>RSDCO2e</t>
  </si>
  <si>
    <t>CO2 equivalent: includes all GHG (e.g. CO2, CH4, N2O)</t>
  </si>
  <si>
    <r>
      <t>CO</t>
    </r>
    <r>
      <rPr>
        <vertAlign val="subscript"/>
        <sz val="11"/>
        <color theme="1"/>
        <rFont val="Calibri"/>
        <family val="2"/>
        <scheme val="minor"/>
      </rPr>
      <t>2</t>
    </r>
  </si>
  <si>
    <t>RSDCO2</t>
  </si>
  <si>
    <t>Carbon dioxide</t>
  </si>
  <si>
    <r>
      <t>CH</t>
    </r>
    <r>
      <rPr>
        <vertAlign val="subscript"/>
        <sz val="11"/>
        <color theme="1"/>
        <rFont val="Calibri"/>
        <family val="2"/>
        <scheme val="minor"/>
      </rPr>
      <t>4</t>
    </r>
  </si>
  <si>
    <t>RSDCH4</t>
  </si>
  <si>
    <t>Methane</t>
  </si>
  <si>
    <r>
      <t>N</t>
    </r>
    <r>
      <rPr>
        <vertAlign val="subscript"/>
        <sz val="11"/>
        <color theme="1"/>
        <rFont val="Calibri"/>
        <family val="2"/>
        <scheme val="minor"/>
      </rPr>
      <t>2</t>
    </r>
    <r>
      <rPr>
        <sz val="12"/>
        <color theme="1"/>
        <rFont val="Calibri"/>
        <family val="2"/>
        <scheme val="minor"/>
      </rPr>
      <t>O</t>
    </r>
  </si>
  <si>
    <t>RSDN2O</t>
  </si>
  <si>
    <t>Nitrous oxide</t>
  </si>
  <si>
    <t>Sources</t>
  </si>
  <si>
    <t>Component</t>
  </si>
  <si>
    <t>Source n.</t>
  </si>
  <si>
    <t>Sector structure (high-level Reference Energy System)</t>
  </si>
  <si>
    <t xml:space="preserve">Space &amp; water heating </t>
  </si>
  <si>
    <t>AC</t>
  </si>
  <si>
    <t>Other uses</t>
  </si>
  <si>
    <t>RSDBLQ</t>
  </si>
  <si>
    <t>List of countries</t>
  </si>
  <si>
    <t>TH</t>
  </si>
  <si>
    <t>R-EAP</t>
  </si>
  <si>
    <t>%</t>
  </si>
  <si>
    <t>Energy balance breakdown (detailed)</t>
  </si>
  <si>
    <t>check</t>
  </si>
  <si>
    <t>All fuels</t>
  </si>
  <si>
    <t>Munits</t>
  </si>
  <si>
    <t>Table 4</t>
  </si>
  <si>
    <r>
      <t>% (PJ</t>
    </r>
    <r>
      <rPr>
        <vertAlign val="subscript"/>
        <sz val="11"/>
        <color theme="1"/>
        <rFont val="Calibri"/>
        <family val="2"/>
        <scheme val="minor"/>
      </rPr>
      <t>useful</t>
    </r>
    <r>
      <rPr>
        <sz val="11"/>
        <color theme="1"/>
        <rFont val="Calibri"/>
        <family val="2"/>
        <scheme val="minor"/>
      </rPr>
      <t>/PJ</t>
    </r>
    <r>
      <rPr>
        <vertAlign val="subscript"/>
        <sz val="11"/>
        <color theme="1"/>
        <rFont val="Calibri"/>
        <family val="2"/>
        <scheme val="minor"/>
      </rPr>
      <t>cons</t>
    </r>
    <r>
      <rPr>
        <sz val="11"/>
        <color theme="1"/>
        <rFont val="Calibri"/>
        <family val="2"/>
        <scheme val="minor"/>
      </rPr>
      <t>)</t>
    </r>
  </si>
  <si>
    <t>years</t>
  </si>
  <si>
    <t>Number of full load hours</t>
  </si>
  <si>
    <t>hours/year</t>
  </si>
  <si>
    <t>Efficiencies</t>
  </si>
  <si>
    <t>PJ-a</t>
  </si>
  <si>
    <t>DayNite</t>
  </si>
  <si>
    <t>Fuel Techs/Distribution Infrastructure</t>
  </si>
  <si>
    <t>Comm-IN</t>
  </si>
  <si>
    <t>Comm-OUT</t>
  </si>
  <si>
    <t>*</t>
  </si>
  <si>
    <t>AFA</t>
  </si>
  <si>
    <t>*TechDesc</t>
  </si>
  <si>
    <t>\I: Fuel Technologies (Infrastructure)</t>
  </si>
  <si>
    <t>GW</t>
  </si>
  <si>
    <t>*Unit</t>
  </si>
  <si>
    <t>*Technology Name</t>
  </si>
  <si>
    <t>Input Commodity</t>
  </si>
  <si>
    <t>Output Commodity</t>
  </si>
  <si>
    <t>Main fuel</t>
  </si>
  <si>
    <t>Stock</t>
  </si>
  <si>
    <t>PJ-y</t>
  </si>
  <si>
    <t>Energy balance breakdown (simplified)</t>
  </si>
  <si>
    <t>Share-I</t>
  </si>
  <si>
    <t>Demands</t>
  </si>
  <si>
    <t>*CommDesc</t>
  </si>
  <si>
    <t>*Commodity</t>
  </si>
  <si>
    <t>year</t>
  </si>
  <si>
    <r>
      <rPr>
        <u/>
        <sz val="11"/>
        <color theme="1"/>
        <rFont val="Calibri"/>
        <family val="2"/>
        <scheme val="minor"/>
      </rPr>
      <t>Veda inputs:</t>
    </r>
    <r>
      <rPr>
        <sz val="12"/>
        <color theme="1"/>
        <rFont val="Calibri"/>
        <family val="2"/>
        <scheme val="minor"/>
      </rPr>
      <t xml:space="preserve"> Definition of sector commodities </t>
    </r>
    <r>
      <rPr>
        <sz val="11"/>
        <color theme="1"/>
        <rFont val="Calibri"/>
        <family val="2"/>
        <scheme val="minor"/>
      </rPr>
      <t>and processes</t>
    </r>
  </si>
  <si>
    <r>
      <rPr>
        <u/>
        <sz val="11"/>
        <color theme="1"/>
        <rFont val="Calibri"/>
        <family val="2"/>
        <scheme val="minor"/>
      </rPr>
      <t>Veda inputs:</t>
    </r>
    <r>
      <rPr>
        <sz val="12"/>
        <color theme="1"/>
        <rFont val="Calibri"/>
        <family val="2"/>
        <scheme val="minor"/>
      </rPr>
      <t xml:space="preserve"> Characterization of base year demands</t>
    </r>
  </si>
  <si>
    <t>Technology</t>
  </si>
  <si>
    <t>District heating</t>
  </si>
  <si>
    <t>Residential technology database</t>
  </si>
  <si>
    <t>IEA ETSAP - Technology Brief R02 – June 2012</t>
  </si>
  <si>
    <t>IEA ETSAP technology database</t>
  </si>
  <si>
    <t>Reference value</t>
  </si>
  <si>
    <t>Residential energy balance</t>
  </si>
  <si>
    <t>Fuel blending</t>
  </si>
  <si>
    <t>S1</t>
  </si>
  <si>
    <t>S2</t>
  </si>
  <si>
    <t>S3</t>
  </si>
  <si>
    <t>S5</t>
  </si>
  <si>
    <t>EU Reference scenario 2020 - technology assumptions</t>
  </si>
  <si>
    <t>https://energy.ec.europa.eu/data-and-analysis/energy-modelling/eu-reference-scenario-2020_en</t>
  </si>
  <si>
    <t>URL</t>
  </si>
  <si>
    <t>https://iea-etsap.org/index.php/energy-technology-data/energy-demand-technologies-data</t>
  </si>
  <si>
    <t>Access</t>
  </si>
  <si>
    <t>Public</t>
  </si>
  <si>
    <t>Start year</t>
  </si>
  <si>
    <t>Energy Service</t>
  </si>
  <si>
    <t>Technology level</t>
  </si>
  <si>
    <t>Long Name</t>
  </si>
  <si>
    <t>Short Name</t>
  </si>
  <si>
    <t>Wood Stove (Ord.)</t>
  </si>
  <si>
    <t>01</t>
  </si>
  <si>
    <t>Wood Stove (Imp.)</t>
  </si>
  <si>
    <t>02</t>
  </si>
  <si>
    <t>Heat Pump Air (Ord.)</t>
  </si>
  <si>
    <t>Heat Pump Air (Imp.)</t>
  </si>
  <si>
    <t>Heat Pump Air (Adv.)</t>
  </si>
  <si>
    <t>Heat Pump Wat. (Ord.)</t>
  </si>
  <si>
    <t>Heat Pump Wat. (Imp.)</t>
  </si>
  <si>
    <t>Electr. Resist. (Ord.)</t>
  </si>
  <si>
    <t>Ground Heat Pump (Ord.)</t>
  </si>
  <si>
    <t>Ground Heat Pump (Imp.)</t>
  </si>
  <si>
    <t>Ground Heat Pump (Adv.)</t>
  </si>
  <si>
    <t>03</t>
  </si>
  <si>
    <t>District Heat (Ord.)</t>
  </si>
  <si>
    <t>District Heat (Imp.)</t>
  </si>
  <si>
    <t>Air conditioning (Ord.)</t>
  </si>
  <si>
    <t>Air conditioning (Imp.)</t>
  </si>
  <si>
    <t>Air conditioning (Adv.)</t>
  </si>
  <si>
    <t>Cooking system (Ord.)</t>
  </si>
  <si>
    <t>Lighting system (Ord.)</t>
  </si>
  <si>
    <t>Hydrogen</t>
  </si>
  <si>
    <t>*AFA</t>
  </si>
  <si>
    <t>USD/kW</t>
  </si>
  <si>
    <t>% (PJuseful/PJcons)</t>
  </si>
  <si>
    <t>*EFF</t>
  </si>
  <si>
    <t>*INVCOST</t>
  </si>
  <si>
    <t>USD2021</t>
  </si>
  <si>
    <t>Investment cost</t>
  </si>
  <si>
    <t>Life</t>
  </si>
  <si>
    <t>*Share-I</t>
  </si>
  <si>
    <t>Appl. (Ord.)</t>
  </si>
  <si>
    <t>Boiler (Ord.)</t>
  </si>
  <si>
    <t>Boiler (Imp.)</t>
  </si>
  <si>
    <t>Heat Pump (Ord.)</t>
  </si>
  <si>
    <t>Heat Pump (Imp.)</t>
  </si>
  <si>
    <t>Heat Pump (Adv.)</t>
  </si>
  <si>
    <t>Thermal (Ord.)</t>
  </si>
  <si>
    <t>Heat Pump Wat. (Adv.)</t>
  </si>
  <si>
    <t>Wood Stove (Adv.))</t>
  </si>
  <si>
    <t>Boiler cond. (Imp.)</t>
  </si>
  <si>
    <t>Boiler cond. (Ord.)</t>
  </si>
  <si>
    <t>IEA Heat Pumps</t>
  </si>
  <si>
    <t>IEA (2022), Heat Pumps, IEA, Paris https://www.iea.org/reports/heat-pumps</t>
  </si>
  <si>
    <t>Share of heat pump energy consumption in thermal uses</t>
  </si>
  <si>
    <t>Thermal uses - Air Heat Pumps</t>
  </si>
  <si>
    <t xml:space="preserve">2019 Share of heat pump consumption </t>
  </si>
  <si>
    <t>USD2011</t>
  </si>
  <si>
    <t>Normalized efficiency</t>
  </si>
  <si>
    <t>EUR2015</t>
  </si>
  <si>
    <t>Technical life</t>
  </si>
  <si>
    <t>RSD_BY Techs</t>
  </si>
  <si>
    <t>RSD_New Techs</t>
  </si>
  <si>
    <r>
      <rPr>
        <u/>
        <sz val="11"/>
        <color theme="1"/>
        <rFont val="Calibri"/>
        <family val="2"/>
        <scheme val="minor"/>
      </rPr>
      <t>Veda inputs:</t>
    </r>
    <r>
      <rPr>
        <sz val="12"/>
        <color theme="1"/>
        <rFont val="Calibri"/>
        <family val="2"/>
        <scheme val="minor"/>
      </rPr>
      <t xml:space="preserve"> Characterization of base-year sector technologies</t>
    </r>
  </si>
  <si>
    <r>
      <rPr>
        <u/>
        <sz val="11"/>
        <color theme="1"/>
        <rFont val="Calibri"/>
        <family val="2"/>
        <scheme val="minor"/>
      </rPr>
      <t>Veda inputs:</t>
    </r>
    <r>
      <rPr>
        <sz val="12"/>
        <color theme="1"/>
        <rFont val="Calibri"/>
        <family val="2"/>
        <scheme val="minor"/>
      </rPr>
      <t xml:space="preserve"> Characterization of future sector technologies</t>
    </r>
  </si>
  <si>
    <t>Key inputs_EB</t>
  </si>
  <si>
    <t>Key Inputs_BY Techs</t>
  </si>
  <si>
    <t>Key Inputs_New Techs</t>
  </si>
  <si>
    <t>List of key input assumption and calculations for base-year technologies</t>
  </si>
  <si>
    <t>List of key input assumption and calculations for new/future technologies</t>
  </si>
  <si>
    <t>Commodities &amp; Processes</t>
  </si>
  <si>
    <t>Regional multipliers</t>
  </si>
  <si>
    <t>\I: New Technology options</t>
  </si>
  <si>
    <t>\I: Existing Technologies (Appliances)</t>
  </si>
  <si>
    <t>First available year</t>
  </si>
  <si>
    <t>Key input assumptions for new technology options</t>
  </si>
  <si>
    <t xml:space="preserve"> Efficiencies, technical life, others</t>
  </si>
  <si>
    <t>Capex</t>
  </si>
  <si>
    <t>Regional cost multiplier</t>
  </si>
  <si>
    <t>Technical life (years)</t>
  </si>
  <si>
    <t>Lighting system (Imp.)</t>
  </si>
  <si>
    <t>Appl. (Adv.)</t>
  </si>
  <si>
    <t>Lighting system (Adv.)</t>
  </si>
  <si>
    <t>Appl. (Imp.)</t>
  </si>
  <si>
    <t>hours/year - Water heating</t>
  </si>
  <si>
    <t>hours/year - Space heating</t>
  </si>
  <si>
    <t>PRC_CapAct</t>
  </si>
  <si>
    <t>NCAP_START</t>
  </si>
  <si>
    <t>NCAP_TLIFE</t>
  </si>
  <si>
    <t>NCAP_COST</t>
  </si>
  <si>
    <t>NCAP_AFA</t>
  </si>
  <si>
    <t>AFE</t>
  </si>
  <si>
    <t>AFN</t>
  </si>
  <si>
    <t>AFZ</t>
  </si>
  <si>
    <t>AFW</t>
  </si>
  <si>
    <t>ANZ</t>
  </si>
  <si>
    <t>ASC</t>
  </si>
  <si>
    <t>ASE</t>
  </si>
  <si>
    <t>ASO</t>
  </si>
  <si>
    <t>ENE</t>
  </si>
  <si>
    <t>ENW</t>
  </si>
  <si>
    <t>EUE</t>
  </si>
  <si>
    <t>EUW</t>
  </si>
  <si>
    <t>Liquid biofuels</t>
  </si>
  <si>
    <t>Eastern Africa</t>
  </si>
  <si>
    <t>Northern Africa</t>
  </si>
  <si>
    <t>Southern Africa</t>
  </si>
  <si>
    <t>Western Africa</t>
  </si>
  <si>
    <t>Australia and New Zealand</t>
  </si>
  <si>
    <t>Central Asia</t>
  </si>
  <si>
    <t>Southeast Asia</t>
  </si>
  <si>
    <t>South Asia</t>
  </si>
  <si>
    <t>Non-EU Eastern Europe</t>
  </si>
  <si>
    <t>Non-EU Western Europe</t>
  </si>
  <si>
    <t>Eastern Europe Union</t>
  </si>
  <si>
    <t>Western Europe Union</t>
  </si>
  <si>
    <t>United States</t>
  </si>
  <si>
    <t>Check</t>
  </si>
  <si>
    <t>Electricity (Heat Pump)</t>
  </si>
  <si>
    <t>GEO</t>
  </si>
  <si>
    <t>GASNAT</t>
  </si>
  <si>
    <t>UNSD Energy Balances</t>
  </si>
  <si>
    <t>GDP, Population data</t>
  </si>
  <si>
    <t>World Bank data</t>
  </si>
  <si>
    <t>https://www.worldbank.org/en/home</t>
  </si>
  <si>
    <t>S6</t>
  </si>
  <si>
    <t>BIODSL</t>
  </si>
  <si>
    <t>BIOKER</t>
  </si>
  <si>
    <t>COA</t>
  </si>
  <si>
    <t>OILDSL</t>
  </si>
  <si>
    <t>ELCD</t>
  </si>
  <si>
    <t>OILGSL</t>
  </si>
  <si>
    <t>OILOPP</t>
  </si>
  <si>
    <t>OILKER</t>
  </si>
  <si>
    <t>OILLPG</t>
  </si>
  <si>
    <t>NATGAS</t>
  </si>
  <si>
    <t>BIOMASS</t>
  </si>
  <si>
    <t>HETD</t>
  </si>
  <si>
    <t>Liquified Petroleum Gases</t>
  </si>
  <si>
    <t>Natural Gas</t>
  </si>
  <si>
    <t>Wastes</t>
  </si>
  <si>
    <t>Bio diesel</t>
  </si>
  <si>
    <t>Bio gasoline</t>
  </si>
  <si>
    <t>Bioliquids</t>
  </si>
  <si>
    <t>Oil</t>
  </si>
  <si>
    <t>RSDBIO</t>
  </si>
  <si>
    <t>COACOK</t>
  </si>
  <si>
    <t>BIOWAS</t>
  </si>
  <si>
    <t>Sign of the equation</t>
  </si>
  <si>
    <t>TIMES attribute</t>
  </si>
  <si>
    <r>
      <t>% (M</t>
    </r>
    <r>
      <rPr>
        <vertAlign val="subscript"/>
        <sz val="11"/>
        <color theme="1"/>
        <rFont val="Calibri"/>
        <family val="2"/>
        <scheme val="minor"/>
      </rPr>
      <t>units</t>
    </r>
    <r>
      <rPr>
        <sz val="11"/>
        <color theme="1"/>
        <rFont val="Calibri"/>
        <family val="2"/>
        <scheme val="minor"/>
      </rPr>
      <t>/PJ</t>
    </r>
    <r>
      <rPr>
        <vertAlign val="subscript"/>
        <sz val="11"/>
        <color theme="1"/>
        <rFont val="Calibri"/>
        <family val="2"/>
        <scheme val="minor"/>
      </rPr>
      <t>cons</t>
    </r>
    <r>
      <rPr>
        <sz val="11"/>
        <color theme="1"/>
        <rFont val="Calibri"/>
        <family val="2"/>
        <scheme val="minor"/>
      </rPr>
      <t>)</t>
    </r>
  </si>
  <si>
    <t>From GWh to PJ</t>
  </si>
  <si>
    <t>USD/unit</t>
  </si>
  <si>
    <t>Munits-y</t>
  </si>
  <si>
    <t>PRC_RESID</t>
  </si>
  <si>
    <t>04</t>
  </si>
  <si>
    <t>05</t>
  </si>
  <si>
    <t>06</t>
  </si>
  <si>
    <t>07</t>
  </si>
  <si>
    <t>Technology types</t>
  </si>
  <si>
    <t>Boiler</t>
  </si>
  <si>
    <t>Resistance</t>
  </si>
  <si>
    <t>Stove</t>
  </si>
  <si>
    <t>Type</t>
  </si>
  <si>
    <t>Heat exchanger</t>
  </si>
  <si>
    <t>BLR</t>
  </si>
  <si>
    <t>HPA</t>
  </si>
  <si>
    <t>Heat pump (Air)</t>
  </si>
  <si>
    <t>HPG</t>
  </si>
  <si>
    <t>RST</t>
  </si>
  <si>
    <t>STV</t>
  </si>
  <si>
    <t>HEX</t>
  </si>
  <si>
    <t>Heat pump (Ground)</t>
  </si>
  <si>
    <t>Ambient heat source</t>
  </si>
  <si>
    <t>Ground heat source</t>
  </si>
  <si>
    <t>RSDH2G</t>
  </si>
  <si>
    <t>Non-documented electricity cons.</t>
  </si>
  <si>
    <t>Charcoal</t>
  </si>
  <si>
    <t>YES</t>
  </si>
  <si>
    <t>Natural gas blend H2</t>
  </si>
  <si>
    <t>NCAP_BND</t>
  </si>
  <si>
    <t>FX</t>
  </si>
  <si>
    <t>UNSD EB 2018</t>
  </si>
  <si>
    <t>E4SMA S.r.l.</t>
  </si>
  <si>
    <t>Model repository:</t>
  </si>
  <si>
    <t>Licence:</t>
  </si>
  <si>
    <t>CC BY-NC-SA 4.0 (unless specified otherwise)</t>
  </si>
  <si>
    <t>https://creativecommons.org/licenses/by-nc-sa/4.0/</t>
  </si>
  <si>
    <t>Conventions</t>
  </si>
  <si>
    <t>EC, EU Reference scenario 2020</t>
  </si>
  <si>
    <t>Source:</t>
  </si>
  <si>
    <t>Own elaborations from EC, EU Reference scenario 2020</t>
  </si>
  <si>
    <t>RSDH2B</t>
  </si>
  <si>
    <t>CHL</t>
  </si>
  <si>
    <t>EUM</t>
  </si>
  <si>
    <t>MDA</t>
  </si>
  <si>
    <t>NIG</t>
  </si>
  <si>
    <t>SKT</t>
  </si>
  <si>
    <t>Coke oven gas</t>
  </si>
  <si>
    <t>Other oil products</t>
  </si>
  <si>
    <t>OILHFO</t>
  </si>
  <si>
    <t>Heavy fuel oil</t>
  </si>
  <si>
    <t>Chile</t>
  </si>
  <si>
    <t>China</t>
  </si>
  <si>
    <t>Mediterranean- Europe Union</t>
  </si>
  <si>
    <t>Indonesia, Philippines, Vietnam</t>
  </si>
  <si>
    <t>Mediterranean Asia</t>
  </si>
  <si>
    <t>Middle East (Gulf States)</t>
  </si>
  <si>
    <t>Nigeria</t>
  </si>
  <si>
    <t>Russia Federation</t>
  </si>
  <si>
    <t>Ethiopia, Kenya, Sudan, Mauritius, Eritrea, South Sudan, Burundi, Comoros, Djibouti, Madagascar, Reunion, Rwanda, Somalia, Uganda, Seychelles, United Republic of Tanzania</t>
  </si>
  <si>
    <t>Egypt, Algeria, Morocco, Libya, Tunisia</t>
  </si>
  <si>
    <t>Democratic Republic of the Congo, Côte d’Ivoire, Ghana, Cameroon, Gabon, Benin, Senegal, 
Togo, Niger, Congo, Burkina Faso, Cabo Verde, Central African Republic, Chad, Equatorial Guinea, 
Gambia, Guinea, Guinea-Bissau, Liberia, Malawi, Mali, Mauritania, Sao Tome and Principe, Sierra Leone</t>
  </si>
  <si>
    <t>Angola, Mozambique, Zimbabwe, Zambia, Botswana, Namibia, South Africa, Eswatini, Lesotho</t>
  </si>
  <si>
    <t>Australia, New Zealand</t>
  </si>
  <si>
    <t>Kazakhstan, Uzbekistan, Turkmenistan, Azerbaijan, Mongolia, Georgia, Kyrgyzstan, Armenia, Tajikistan, Afghanistan</t>
  </si>
  <si>
    <t>Thailand, Malaysia, Singapore, Myanmar, Cambodia, Brunei Darussalam, Lao People's Democratic Republic, Democratic People's Republic of Korea, Cook Islands, Timor-Leste, Fiji, French Polynesia, Kiribati, New Caledonia, Palau, Papua New Guinea, American Samoa, Solomon Islands, Tonga, Vanuatu, Niue, Samoa, Wallis and Futuna Islands, Micronesia (Federated States of), Nauru, Tuvalu ,Northern Mariana Islands</t>
  </si>
  <si>
    <t>Bangladesh, Nepal, Sri Lanka, Pakistan, Bhutan, Maldives</t>
  </si>
  <si>
    <t>Ukraine, Belarus, Serbia, Bosnia and Herzegovina, Republic of Moldova, Republic of North Macedonia, Kosovo, Albania, Montenegro</t>
  </si>
  <si>
    <t>Norway-Svalbard and Jan Mayen Islands, Switzerland-Liechtenstein, Iceland, United Kingdom of Great Britain and Northern Ireland, Gibraltar, Saint Helena, Liechtenstein</t>
  </si>
  <si>
    <t>Poland, Czechia, Romania, Hungary, Bulgaria, Slovakia, Croatia, Lithuania, Slovenia, Estonia, Latvia</t>
  </si>
  <si>
    <t>France-Monaco, Italy-San Marino, Spain, Greece, Portugal, Cyprus, Malta</t>
  </si>
  <si>
    <t>Germany, Netherlands, Belgium, Sweden, Austria, Finland, Denmark, Ireland, Luxembourg, Greenland, Faroe Islands, Andorra</t>
  </si>
  <si>
    <t>Indonesia, Philippines, Viet Nam</t>
  </si>
  <si>
    <t>Argentina, Venezuela (Bolivarian Republic of), Colombia, Peru, Trinidad and Tobago, Ecuador, Guatemala, Cuba, Bolivia (Plurinational State of), Dominican Republic, Honduras, Paraguay, Uruguay, Costa Rica, El Salvador, Haiti, Panama, Nicaragua, Jamaica, Curaçao, Suriname, Antigua and Barbuda, Aruba, Bahamas, Barbados, Belize, Bermuda, British Virgin Islands, Cayman Islands, Dominica, Falkland Islands (Malvinas), Guyana, Grenada, Guadeloupe, Cooperative Republic of Guyana, Martinique, Montserrat, Puerto Rico, Saba, Bonaire, Sint Eustatius and Saba, Saint Kitts and Nevis, Saint Lucia, Saint Pierre and Miquelon, Saint Vincent and the Grenadines, Saint Martin, Turks and Caicos Islands, Sint Maarten (Dutch part), Anguilla</t>
  </si>
  <si>
    <t>Turkey, Israel, Syrian Arab Republic, Jordan, Lebanon, State of Palestine</t>
  </si>
  <si>
    <t>Iran (Islamic Republic of), Saudi Arabia, United Arab Emirates, Iraq, Qatar, Kuwait, Oman, Bahrain, Yemen</t>
  </si>
  <si>
    <t>COACOL</t>
  </si>
  <si>
    <t>COACOG</t>
  </si>
  <si>
    <t>Lignite</t>
  </si>
  <si>
    <t>Energy Balance</t>
  </si>
  <si>
    <t>Primary energy commoditiy</t>
  </si>
  <si>
    <t>Fuel Description</t>
  </si>
  <si>
    <t>TJ</t>
  </si>
  <si>
    <t>RSDGAM</t>
  </si>
  <si>
    <t>Manufactured gas</t>
  </si>
  <si>
    <t>CSP (concentrated solar power)</t>
  </si>
  <si>
    <t>GLOBAL</t>
  </si>
  <si>
    <t>GLOBAL SHARE</t>
  </si>
  <si>
    <t>Rate LE vs HE average in seasons</t>
  </si>
  <si>
    <t>China Mainland</t>
  </si>
  <si>
    <t>Indonesia</t>
  </si>
  <si>
    <t>Middle East</t>
  </si>
  <si>
    <t>Russian Federation</t>
  </si>
  <si>
    <t>Energy Consumption Shares (%) (detailed)</t>
  </si>
  <si>
    <t>R-THL</t>
  </si>
  <si>
    <t>R-THH</t>
  </si>
  <si>
    <t>R-ACL</t>
  </si>
  <si>
    <t>R-ACH</t>
  </si>
  <si>
    <t>UNSD EB 2019</t>
  </si>
  <si>
    <t>Natural gas, Biogas, Manufacturing Gas</t>
  </si>
  <si>
    <t>Oil, Liquid biofuels</t>
  </si>
  <si>
    <t>RSDOIL, RSDBLQ</t>
  </si>
  <si>
    <t>Natural gas, Biogas</t>
  </si>
  <si>
    <t>Natural gas, Biogas, Manufactuering Gas</t>
  </si>
  <si>
    <t>Check difference with Table 3</t>
  </si>
  <si>
    <t>Table 13</t>
  </si>
  <si>
    <t>Table 14</t>
  </si>
  <si>
    <t>Demand</t>
  </si>
  <si>
    <t>RSDGAS, RSDBGS, RSDGAM</t>
  </si>
  <si>
    <t>hours in a year</t>
  </si>
  <si>
    <t>GW to PJ/year</t>
  </si>
  <si>
    <t>Table 15</t>
  </si>
  <si>
    <t>Table 16</t>
  </si>
  <si>
    <t>R-CKL</t>
  </si>
  <si>
    <t>Table 17</t>
  </si>
  <si>
    <t>Thermal uses - % Water heating</t>
  </si>
  <si>
    <t>Table 18</t>
  </si>
  <si>
    <t>Thermal uses in Low Thermal Energy Intensity Zone</t>
  </si>
  <si>
    <t>THL</t>
  </si>
  <si>
    <t>Space &amp; water heating.  The split in Low and high is based on the split described below for thermal uses.</t>
  </si>
  <si>
    <t>Thermal uses in High Thermal Energy Intensity Zone</t>
  </si>
  <si>
    <t>THH</t>
  </si>
  <si>
    <t>Space &amp; water heating. The split in Low and high is based on the split described below for thermal uses.</t>
  </si>
  <si>
    <t>Air conditioning in Low Thermal Energy Intensity Zone</t>
  </si>
  <si>
    <t>ACL</t>
  </si>
  <si>
    <t>The split in Low and high is based on the split described below for thermal uses.</t>
  </si>
  <si>
    <t>Air conditioning in High Thermal Energy Intensity Zone</t>
  </si>
  <si>
    <t>ACH</t>
  </si>
  <si>
    <t>GASBFG</t>
  </si>
  <si>
    <t>Table 19</t>
  </si>
  <si>
    <t>R-THL-STV_BIO01</t>
  </si>
  <si>
    <t>R-THL-STV_BIO02</t>
  </si>
  <si>
    <t>R-THL-STV_BIO03</t>
  </si>
  <si>
    <t>R-THL-HPA_ELC01</t>
  </si>
  <si>
    <t>R-THL-HPA_ELC02</t>
  </si>
  <si>
    <t>R-THL-HPA_ELC03</t>
  </si>
  <si>
    <t>R-THL-HPA_ELC04</t>
  </si>
  <si>
    <t>R-THL-HPA_ELC05</t>
  </si>
  <si>
    <t>R-THL-HPA_ELC06</t>
  </si>
  <si>
    <t>R-THL-RST_ELC07</t>
  </si>
  <si>
    <t>R-THL-BLR_GAS01</t>
  </si>
  <si>
    <t>Natural gas,Biogas</t>
  </si>
  <si>
    <t>RSDGAS,RSDBGS,RSDH2B,RSDH2F</t>
  </si>
  <si>
    <t>R-THL-BLR_GAS02</t>
  </si>
  <si>
    <t>R-THL-BLR_GAS03</t>
  </si>
  <si>
    <t>R-THL-BLR_GAS04</t>
  </si>
  <si>
    <t>R-THL-HPA_GAS05</t>
  </si>
  <si>
    <t>R-THL-HPA_GAS06</t>
  </si>
  <si>
    <t>R-THL-HPA_GAS07</t>
  </si>
  <si>
    <t>R-THL-HPG_ELC01</t>
  </si>
  <si>
    <t>R-THL-HPG_ELC02</t>
  </si>
  <si>
    <t>R-THL-HPG_ELC03</t>
  </si>
  <si>
    <t>R-THL-BLR_OIL01</t>
  </si>
  <si>
    <t>R-THL-BLR_OIL02</t>
  </si>
  <si>
    <t>R-THL-BLR_OIL03</t>
  </si>
  <si>
    <t>R-THL-HEX_SOL01</t>
  </si>
  <si>
    <t>R-THH-STV_BIO01</t>
  </si>
  <si>
    <t>R-THH-STV_BIO02</t>
  </si>
  <si>
    <t>R-THH-STV_BIO03</t>
  </si>
  <si>
    <t>R-THH-HPA_ELC01</t>
  </si>
  <si>
    <t>R-THH-HPA_ELC02</t>
  </si>
  <si>
    <t>R-THH-HPA_ELC03</t>
  </si>
  <si>
    <t>R-THH-HPA_ELC04</t>
  </si>
  <si>
    <t>R-THH-HPA_ELC05</t>
  </si>
  <si>
    <t>R-THH-HPA_ELC06</t>
  </si>
  <si>
    <t>R-THH-RST_ELC07</t>
  </si>
  <si>
    <t>R-THH-BLR_GAS01</t>
  </si>
  <si>
    <t>R-THH-BLR_GAS02</t>
  </si>
  <si>
    <t>R-THH-BLR_GAS03</t>
  </si>
  <si>
    <t>R-THH-BLR_GAS04</t>
  </si>
  <si>
    <t>R-THH-HPA_GAS05</t>
  </si>
  <si>
    <t>R-THH-HPA_GAS06</t>
  </si>
  <si>
    <t>R-THH-HPA_GAS07</t>
  </si>
  <si>
    <t>R-THH-HPG_ELC01</t>
  </si>
  <si>
    <t>R-THH-HPG_ELC02</t>
  </si>
  <si>
    <t>R-THH-HPG_ELC03</t>
  </si>
  <si>
    <t>R-THH-HEX_HET01</t>
  </si>
  <si>
    <t>R-THH-HEX_HET02</t>
  </si>
  <si>
    <t>R-THH-BLR_OIL01</t>
  </si>
  <si>
    <t>R-THH-BLR_OIL02</t>
  </si>
  <si>
    <t>R-THH-BLR_OIL03</t>
  </si>
  <si>
    <t>R-THH-HEX_SOL01</t>
  </si>
  <si>
    <t>R-ACL_ELC01</t>
  </si>
  <si>
    <t>R-ACL_ELC02</t>
  </si>
  <si>
    <t>R-ACL_ELC03</t>
  </si>
  <si>
    <t>R-ACH_ELC01</t>
  </si>
  <si>
    <t>R-ACH_ELC02</t>
  </si>
  <si>
    <t>R-ACH_ELC03</t>
  </si>
  <si>
    <t>R-CK_ELC01</t>
  </si>
  <si>
    <t>R-CK_GAS01</t>
  </si>
  <si>
    <t>R-CK_LPG01</t>
  </si>
  <si>
    <t>R-CK_COA01</t>
  </si>
  <si>
    <t>R-LIG_ELC01</t>
  </si>
  <si>
    <t>R-LIG_ELC02</t>
  </si>
  <si>
    <t>R-LIG_ELC03</t>
  </si>
  <si>
    <t>R-EAP_ELC01</t>
  </si>
  <si>
    <t>R-EAP_ELC02</t>
  </si>
  <si>
    <t>R-EAP_ELC03</t>
  </si>
  <si>
    <t>Table 20</t>
  </si>
  <si>
    <t>TUR</t>
  </si>
  <si>
    <t>Turkey</t>
  </si>
  <si>
    <t xml:space="preserve">Key input assumptions and elaborations for base year technologies </t>
  </si>
  <si>
    <t>BIOETH</t>
  </si>
  <si>
    <t>BIORNG</t>
  </si>
  <si>
    <t>BIOJET</t>
  </si>
  <si>
    <t>Synthetic methane</t>
  </si>
  <si>
    <t>RSDEFUM</t>
  </si>
  <si>
    <t>Date</t>
  </si>
  <si>
    <t>Mappliances/PJ</t>
  </si>
  <si>
    <t>R-CK_BIO01</t>
  </si>
  <si>
    <t>OMNIA Model</t>
  </si>
  <si>
    <t>Version:</t>
  </si>
  <si>
    <t>Imperial College London</t>
  </si>
  <si>
    <t>South Korea</t>
  </si>
  <si>
    <t>Republic of Korea</t>
  </si>
  <si>
    <t>R-THL-BLR_LPG01</t>
  </si>
  <si>
    <t>R-THH-BLR_LPG01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</si>
</sst>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_(* #,##0.00_);_(* \(#,##0.00\);_(* &quot;-&quot;??_);_(@_)"/>
    <numFmt numFmtId="165" formatCode="0.0"/>
    <numFmt numFmtId="166" formatCode="\Te\x\t"/>
    <numFmt numFmtId="167" formatCode="0.0%"/>
    <numFmt numFmtId="168" formatCode="0.0000"/>
    <numFmt numFmtId="169" formatCode="#,##0.0000000000000"/>
    <numFmt numFmtId="170" formatCode="#,##0.0000000"/>
    <numFmt numFmtId="171" formatCode="0.000000000"/>
    <numFmt numFmtId="172" formatCode="#,##0.00000000"/>
    <numFmt numFmtId="173" formatCode="0.00000%"/>
    <numFmt numFmtId="174" formatCode="0.00000000"/>
    <numFmt numFmtId="175" formatCode="0.000"/>
    <numFmt numFmtId="176" formatCode="0.000000%"/>
  </numFmts>
  <fonts count="10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1"/>
      <color theme="0"/>
      <name val="Calibri"/>
      <family val="2"/>
      <scheme val="minor"/>
    </font>
    <font>
      <b/>
      <sz val="18"/>
      <color theme="1"/>
      <name val="Calibri"/>
      <family val="2"/>
      <scheme val="minor"/>
    </font>
    <font>
      <b/>
      <u/>
      <sz val="11"/>
      <name val="Calibri"/>
      <family val="2"/>
      <scheme val="minor"/>
    </font>
    <font>
      <u/>
      <sz val="11"/>
      <color theme="10"/>
      <name val="Calibri"/>
      <family val="2"/>
      <scheme val="minor"/>
    </font>
    <font>
      <sz val="11"/>
      <name val="Calibri"/>
      <family val="2"/>
      <scheme val="minor"/>
    </font>
    <font>
      <b/>
      <sz val="16"/>
      <color theme="1"/>
      <name val="Calibri"/>
      <family val="2"/>
      <scheme val="minor"/>
    </font>
    <font>
      <b/>
      <sz val="11"/>
      <color rgb="FFFF0000"/>
      <name val="Calibri"/>
      <family val="2"/>
      <scheme val="minor"/>
    </font>
    <font>
      <b/>
      <sz val="14"/>
      <color theme="1"/>
      <name val="Calibri"/>
      <family val="2"/>
      <scheme val="minor"/>
    </font>
    <font>
      <b/>
      <sz val="11"/>
      <name val="Calibri"/>
      <family val="2"/>
      <scheme val="minor"/>
    </font>
    <font>
      <sz val="10"/>
      <color theme="1"/>
      <name val="Calibri"/>
      <family val="2"/>
      <scheme val="minor"/>
    </font>
    <font>
      <b/>
      <sz val="20"/>
      <color theme="1"/>
      <name val="Calibri"/>
      <family val="2"/>
      <scheme val="minor"/>
    </font>
    <font>
      <sz val="10"/>
      <name val="Arial"/>
      <family val="2"/>
    </font>
    <font>
      <b/>
      <sz val="11"/>
      <color indexed="12"/>
      <name val="Calibri"/>
      <family val="2"/>
      <scheme val="minor"/>
    </font>
    <font>
      <sz val="8"/>
      <color indexed="81"/>
      <name val="Tahoma"/>
      <family val="2"/>
    </font>
    <font>
      <b/>
      <sz val="8"/>
      <color indexed="81"/>
      <name val="Tahoma"/>
      <family val="2"/>
    </font>
    <font>
      <b/>
      <sz val="11"/>
      <color rgb="FFFA7D00"/>
      <name val="Calibri"/>
      <family val="2"/>
      <scheme val="minor"/>
    </font>
    <font>
      <sz val="11"/>
      <color rgb="FFFF0000"/>
      <name val="Calibri"/>
      <family val="2"/>
      <scheme val="minor"/>
    </font>
    <font>
      <sz val="11"/>
      <color rgb="FF1F497D"/>
      <name val="Calibri"/>
      <family val="2"/>
      <scheme val="minor"/>
    </font>
    <font>
      <sz val="9"/>
      <color indexed="81"/>
      <name val="Tahoma"/>
      <family val="2"/>
    </font>
    <font>
      <b/>
      <sz val="9"/>
      <color indexed="81"/>
      <name val="Tahoma"/>
      <family val="2"/>
    </font>
    <font>
      <b/>
      <sz val="11"/>
      <color theme="1"/>
      <name val="Calibri"/>
      <family val="2"/>
      <scheme val="minor"/>
    </font>
    <font>
      <sz val="10"/>
      <name val="Arial"/>
      <family val="2"/>
    </font>
    <font>
      <b/>
      <sz val="20"/>
      <name val="Calibri"/>
      <family val="2"/>
      <scheme val="minor"/>
    </font>
    <font>
      <sz val="20"/>
      <color rgb="FF1F497D"/>
      <name val="Calibri"/>
      <family val="2"/>
      <scheme val="minor"/>
    </font>
    <font>
      <sz val="10"/>
      <name val="Calibri"/>
      <family val="2"/>
      <scheme val="minor"/>
    </font>
    <font>
      <sz val="12"/>
      <color theme="1"/>
      <name val="Calibri"/>
      <family val="2"/>
      <scheme val="minor"/>
    </font>
    <font>
      <b/>
      <u/>
      <sz val="11"/>
      <color theme="3"/>
      <name val="Calibri"/>
      <family val="2"/>
      <scheme val="minor"/>
    </font>
    <font>
      <sz val="11"/>
      <color theme="3"/>
      <name val="Calibri"/>
      <family val="2"/>
      <scheme val="minor"/>
    </font>
    <font>
      <b/>
      <sz val="14"/>
      <color theme="0"/>
      <name val="Calibri"/>
      <family val="2"/>
      <scheme val="minor"/>
    </font>
    <font>
      <u/>
      <sz val="11"/>
      <color theme="1"/>
      <name val="Calibri"/>
      <family val="2"/>
      <scheme val="minor"/>
    </font>
    <font>
      <vertAlign val="subscript"/>
      <sz val="11"/>
      <color theme="1"/>
      <name val="Calibri"/>
      <family val="2"/>
      <scheme val="minor"/>
    </font>
    <font>
      <sz val="11"/>
      <color rgb="FF000000"/>
      <name val="Calibri"/>
      <family val="2"/>
    </font>
    <font>
      <sz val="11"/>
      <name val="Calibri"/>
      <family val="2"/>
    </font>
    <font>
      <sz val="11"/>
      <color indexed="8"/>
      <name val="Calibri"/>
      <family val="2"/>
    </font>
    <font>
      <sz val="11"/>
      <color theme="1"/>
      <name val="Calibri"/>
      <family val="2"/>
      <charset val="162"/>
      <scheme val="minor"/>
    </font>
    <font>
      <i/>
      <sz val="11"/>
      <name val="Calibri"/>
      <family val="2"/>
      <scheme val="minor"/>
    </font>
    <font>
      <sz val="8"/>
      <name val="Calibri"/>
      <family val="2"/>
      <scheme val="minor"/>
    </font>
    <font>
      <sz val="12"/>
      <color rgb="FFFF0000"/>
      <name val="Calibri"/>
      <family val="2"/>
      <scheme val="minor"/>
    </font>
    <font>
      <sz val="12"/>
      <name val="Calibri"/>
      <family val="2"/>
      <scheme val="minor"/>
    </font>
    <font>
      <sz val="16"/>
      <color theme="1"/>
      <name val="Calibri"/>
      <family val="2"/>
      <scheme val="minor"/>
    </font>
    <font>
      <sz val="11"/>
      <color theme="0" tint="-0.34998626667073579"/>
      <name val="Calibri"/>
      <family val="2"/>
      <scheme val="minor"/>
    </font>
    <font>
      <i/>
      <sz val="11"/>
      <color theme="1"/>
      <name val="Calibri"/>
      <family val="2"/>
      <scheme val="minor"/>
    </font>
    <font>
      <i/>
      <sz val="11"/>
      <color rgb="FFFF0000"/>
      <name val="Calibri"/>
      <family val="2"/>
      <scheme val="minor"/>
    </font>
    <font>
      <b/>
      <i/>
      <sz val="14"/>
      <color theme="1"/>
      <name val="Calibri"/>
      <family val="2"/>
      <scheme val="minor"/>
    </font>
    <font>
      <i/>
      <sz val="12"/>
      <color theme="1"/>
      <name val="Calibri"/>
      <family val="2"/>
      <scheme val="minor"/>
    </font>
    <font>
      <i/>
      <sz val="10"/>
      <color theme="0" tint="-0.249977111117893"/>
      <name val="Calibri"/>
      <family val="2"/>
      <scheme val="minor"/>
    </font>
    <font>
      <b/>
      <sz val="24"/>
      <color theme="0"/>
      <name val="Calibri"/>
      <family val="2"/>
      <scheme val="minor"/>
    </font>
    <font>
      <b/>
      <sz val="16"/>
      <name val="Aptos Narrow"/>
      <family val="2"/>
    </font>
    <font>
      <sz val="11"/>
      <color rgb="FF000000"/>
      <name val="Aptos Narrow"/>
      <family val="2"/>
    </font>
    <font>
      <b/>
      <sz val="12"/>
      <color rgb="FF000000"/>
      <name val="Aptos Narrow"/>
      <family val="2"/>
    </font>
    <font>
      <b/>
      <sz val="11"/>
      <color rgb="FF000000"/>
      <name val="Aptos Narrow"/>
      <family val="2"/>
    </font>
    <font>
      <b/>
      <i/>
      <sz val="10"/>
      <name val="Calibri"/>
      <family val="2"/>
      <scheme val="minor"/>
    </font>
    <font>
      <b/>
      <sz val="12"/>
      <name val="Calibri"/>
      <family val="2"/>
      <scheme val="minor"/>
    </font>
    <font>
      <i/>
      <u/>
      <sz val="11"/>
      <name val="Calibri"/>
      <family val="2"/>
      <scheme val="minor"/>
    </font>
    <font>
      <b/>
      <sz val="22"/>
      <color theme="1"/>
      <name val="Calibri"/>
      <family val="2"/>
      <scheme val="minor"/>
    </font>
    <font>
      <sz val="22"/>
      <color theme="1"/>
      <name val="Calibri"/>
      <family val="2"/>
      <scheme val="minor"/>
    </font>
    <font>
      <sz val="20"/>
      <color theme="1"/>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rgb="FFF2F2F2"/>
      </patternFill>
    </fill>
    <fill>
      <patternFill patternType="solid">
        <fgColor theme="7" tint="0.79998168889431442"/>
        <bgColor indexed="64"/>
      </patternFill>
    </fill>
    <fill>
      <patternFill patternType="solid">
        <fgColor theme="3"/>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BE2D5"/>
        <bgColor rgb="FF000000"/>
      </patternFill>
    </fill>
    <fill>
      <patternFill patternType="solid">
        <fgColor rgb="FFFFFFFF"/>
        <bgColor rgb="FF000000"/>
      </patternFill>
    </fill>
    <fill>
      <patternFill patternType="solid">
        <fgColor rgb="FFFDFDC5"/>
        <bgColor rgb="FF000000"/>
      </patternFill>
    </fill>
    <fill>
      <patternFill patternType="solid">
        <fgColor theme="2" tint="-0.249977111117893"/>
        <bgColor indexed="64"/>
      </patternFill>
    </fill>
    <fill>
      <patternFill patternType="solid">
        <fgColor theme="0" tint="-0.34998626667073579"/>
        <bgColor indexed="64"/>
      </patternFill>
    </fill>
    <fill>
      <patternFill patternType="solid">
        <fgColor rgb="FFFF0000"/>
        <bgColor indexed="64"/>
      </patternFill>
    </fill>
  </fills>
  <borders count="28">
    <border>
      <left/>
      <right/>
      <top/>
      <bottom/>
      <diagonal/>
    </border>
    <border>
      <left/>
      <right/>
      <top style="thin">
        <color theme="0"/>
      </top>
      <bottom style="medium">
        <color theme="0"/>
      </bottom>
      <diagonal/>
    </border>
    <border>
      <left/>
      <right/>
      <top/>
      <bottom style="thin">
        <color indexed="64"/>
      </bottom>
      <diagonal/>
    </border>
    <border>
      <left/>
      <right/>
      <top style="medium">
        <color theme="0"/>
      </top>
      <bottom style="thin">
        <color indexed="64"/>
      </bottom>
      <diagonal/>
    </border>
    <border>
      <left style="thin">
        <color rgb="FF7F7F7F"/>
      </left>
      <right style="thin">
        <color rgb="FF7F7F7F"/>
      </right>
      <top style="thin">
        <color rgb="FF7F7F7F"/>
      </top>
      <bottom style="thin">
        <color rgb="FF7F7F7F"/>
      </bottom>
      <diagonal/>
    </border>
    <border>
      <left/>
      <right/>
      <top style="thin">
        <color theme="0"/>
      </top>
      <bottom/>
      <diagonal/>
    </border>
    <border>
      <left/>
      <right/>
      <top style="thin">
        <color indexed="64"/>
      </top>
      <bottom style="thin">
        <color indexed="64"/>
      </bottom>
      <diagonal/>
    </border>
    <border>
      <left/>
      <right/>
      <top style="thin">
        <color indexed="64"/>
      </top>
      <bottom/>
      <diagonal/>
    </border>
    <border>
      <left/>
      <right/>
      <top style="medium">
        <color theme="0"/>
      </top>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theme="0"/>
      </left>
      <right/>
      <top style="thin">
        <color theme="0"/>
      </top>
      <bottom style="medium">
        <color theme="0"/>
      </bottom>
      <diagonal/>
    </border>
    <border>
      <left/>
      <right style="thin">
        <color theme="0"/>
      </right>
      <top style="thin">
        <color theme="0"/>
      </top>
      <bottom style="medium">
        <color theme="0"/>
      </bottom>
      <diagonal/>
    </border>
    <border>
      <left/>
      <right/>
      <top style="thin">
        <color indexed="64"/>
      </top>
      <bottom style="medium">
        <color indexed="64"/>
      </bottom>
      <diagonal/>
    </border>
  </borders>
  <cellStyleXfs count="44">
    <xf numFmtId="0" fontId="0" fillId="0" borderId="0"/>
    <xf numFmtId="0" fontId="42" fillId="0" borderId="0"/>
    <xf numFmtId="0" fontId="42" fillId="0" borderId="0"/>
    <xf numFmtId="0" fontId="47" fillId="0" borderId="0" applyNumberFormat="0" applyFill="0" applyBorder="0" applyAlignment="0" applyProtection="0"/>
    <xf numFmtId="0" fontId="42" fillId="0" borderId="0"/>
    <xf numFmtId="0" fontId="42" fillId="0" borderId="0"/>
    <xf numFmtId="0" fontId="55" fillId="0" borderId="0"/>
    <xf numFmtId="0" fontId="59" fillId="5" borderId="4" applyNumberFormat="0" applyAlignment="0" applyProtection="0"/>
    <xf numFmtId="43" fontId="55" fillId="0" borderId="0" applyFont="0" applyFill="0" applyBorder="0" applyAlignment="0" applyProtection="0"/>
    <xf numFmtId="9" fontId="55" fillId="0" borderId="0" applyFont="0" applyFill="0" applyBorder="0" applyAlignment="0" applyProtection="0"/>
    <xf numFmtId="0" fontId="55" fillId="0" borderId="0"/>
    <xf numFmtId="0" fontId="65" fillId="0" borderId="0"/>
    <xf numFmtId="9" fontId="65" fillId="0" borderId="0" applyFont="0" applyFill="0" applyBorder="0" applyAlignment="0" applyProtection="0"/>
    <xf numFmtId="164" fontId="65" fillId="0" borderId="0" applyFont="0" applyFill="0" applyBorder="0" applyAlignment="0" applyProtection="0"/>
    <xf numFmtId="9" fontId="69" fillId="0" borderId="0" applyFont="0" applyFill="0" applyBorder="0" applyAlignment="0" applyProtection="0"/>
    <xf numFmtId="0" fontId="69" fillId="0" borderId="0"/>
    <xf numFmtId="0" fontId="40" fillId="0" borderId="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0" fontId="77" fillId="0" borderId="0" applyFill="0" applyProtection="0"/>
    <xf numFmtId="9" fontId="40" fillId="0" borderId="0" applyFont="0" applyFill="0" applyBorder="0" applyAlignment="0" applyProtection="0"/>
    <xf numFmtId="0" fontId="78" fillId="0" borderId="0"/>
    <xf numFmtId="0" fontId="37" fillId="0" borderId="0"/>
    <xf numFmtId="164" fontId="37" fillId="0" borderId="0" applyFont="0" applyFill="0" applyBorder="0" applyAlignment="0" applyProtection="0"/>
    <xf numFmtId="0" fontId="33" fillId="0" borderId="0"/>
    <xf numFmtId="9" fontId="33" fillId="0" borderId="0" applyFont="0" applyFill="0" applyBorder="0" applyAlignment="0" applyProtection="0"/>
    <xf numFmtId="0" fontId="32" fillId="0" borderId="0"/>
    <xf numFmtId="43" fontId="69" fillId="0" borderId="0" applyFont="0" applyFill="0" applyBorder="0" applyAlignment="0" applyProtection="0"/>
    <xf numFmtId="0" fontId="55" fillId="0" borderId="0"/>
    <xf numFmtId="0" fontId="23" fillId="0" borderId="0"/>
    <xf numFmtId="0" fontId="21" fillId="0" borderId="0"/>
    <xf numFmtId="0" fontId="69" fillId="0" borderId="0"/>
    <xf numFmtId="0" fontId="5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cellStyleXfs>
  <cellXfs count="551">
    <xf numFmtId="0" fontId="0" fillId="0" borderId="0" xfId="0"/>
    <xf numFmtId="0" fontId="53" fillId="4" borderId="3" xfId="0" applyFont="1" applyFill="1" applyBorder="1" applyAlignment="1">
      <alignment horizontal="left" vertical="center" wrapText="1"/>
    </xf>
    <xf numFmtId="0" fontId="53" fillId="4" borderId="2" xfId="0" applyFont="1" applyFill="1" applyBorder="1" applyAlignment="1">
      <alignment horizontal="left" vertical="center" wrapText="1"/>
    </xf>
    <xf numFmtId="0" fontId="42" fillId="0" borderId="0" xfId="0" applyFont="1" applyAlignment="1">
      <alignment horizontal="left" vertical="center"/>
    </xf>
    <xf numFmtId="0" fontId="54" fillId="0" borderId="0" xfId="0" applyFont="1" applyAlignment="1">
      <alignment horizontal="left" vertical="center"/>
    </xf>
    <xf numFmtId="0" fontId="53" fillId="0" borderId="0" xfId="0" applyFont="1" applyAlignment="1">
      <alignment horizontal="left" vertical="center"/>
    </xf>
    <xf numFmtId="0" fontId="53" fillId="4" borderId="2" xfId="0" applyFont="1" applyFill="1" applyBorder="1" applyAlignment="1">
      <alignment horizontal="left" vertical="center"/>
    </xf>
    <xf numFmtId="0" fontId="61" fillId="0" borderId="0" xfId="0" applyFont="1" applyAlignment="1">
      <alignment horizontal="left" vertical="center"/>
    </xf>
    <xf numFmtId="0" fontId="0" fillId="0" borderId="0" xfId="0" applyAlignment="1">
      <alignment horizontal="left" vertical="center"/>
    </xf>
    <xf numFmtId="0" fontId="40" fillId="0" borderId="0" xfId="16" applyAlignment="1">
      <alignment vertical="center"/>
    </xf>
    <xf numFmtId="0" fontId="46" fillId="3" borderId="0" xfId="17" applyFont="1" applyFill="1" applyAlignment="1">
      <alignment vertical="center"/>
    </xf>
    <xf numFmtId="0" fontId="48" fillId="3" borderId="0" xfId="3" applyFont="1" applyFill="1" applyBorder="1" applyAlignment="1">
      <alignment vertical="center"/>
    </xf>
    <xf numFmtId="0" fontId="70" fillId="0" borderId="0" xfId="16" applyFont="1" applyAlignment="1">
      <alignment vertical="center"/>
    </xf>
    <xf numFmtId="0" fontId="50" fillId="0" borderId="0" xfId="16" applyFont="1" applyAlignment="1">
      <alignment vertical="center"/>
    </xf>
    <xf numFmtId="0" fontId="71" fillId="0" borderId="0" xfId="16" quotePrefix="1" applyFont="1" applyAlignment="1">
      <alignment vertical="center"/>
    </xf>
    <xf numFmtId="0" fontId="40" fillId="0" borderId="0" xfId="16" applyAlignment="1">
      <alignment horizontal="left" vertical="center"/>
    </xf>
    <xf numFmtId="0" fontId="49" fillId="0" borderId="0" xfId="16" applyFont="1" applyAlignment="1">
      <alignment vertical="center"/>
    </xf>
    <xf numFmtId="0" fontId="72" fillId="7" borderId="10" xfId="16" applyFont="1" applyFill="1" applyBorder="1" applyAlignment="1">
      <alignment vertical="center"/>
    </xf>
    <xf numFmtId="0" fontId="40" fillId="6" borderId="12" xfId="16" applyFill="1" applyBorder="1" applyAlignment="1">
      <alignment vertical="center"/>
    </xf>
    <xf numFmtId="0" fontId="50" fillId="6" borderId="12" xfId="16" applyFont="1" applyFill="1" applyBorder="1" applyAlignment="1">
      <alignment vertical="center"/>
    </xf>
    <xf numFmtId="0" fontId="40" fillId="0" borderId="13" xfId="16" applyBorder="1" applyAlignment="1">
      <alignment vertical="center"/>
    </xf>
    <xf numFmtId="0" fontId="40" fillId="8" borderId="14" xfId="19" applyFill="1" applyBorder="1" applyAlignment="1">
      <alignment vertical="center"/>
    </xf>
    <xf numFmtId="0" fontId="40" fillId="9" borderId="14" xfId="19" applyFill="1" applyBorder="1" applyAlignment="1">
      <alignment vertical="center"/>
    </xf>
    <xf numFmtId="0" fontId="40" fillId="10" borderId="13" xfId="19" applyFill="1" applyBorder="1" applyAlignment="1">
      <alignment vertical="center"/>
    </xf>
    <xf numFmtId="0" fontId="40" fillId="0" borderId="0" xfId="19" applyAlignment="1">
      <alignment vertical="center"/>
    </xf>
    <xf numFmtId="0" fontId="0" fillId="0" borderId="0" xfId="19" applyFont="1" applyAlignment="1">
      <alignment horizontal="left" vertical="center"/>
    </xf>
    <xf numFmtId="0" fontId="44" fillId="7" borderId="5" xfId="16" applyFont="1" applyFill="1" applyBorder="1" applyAlignment="1">
      <alignment horizontal="left" vertical="center"/>
    </xf>
    <xf numFmtId="0" fontId="64" fillId="0" borderId="0" xfId="16" applyFont="1" applyAlignment="1">
      <alignment vertical="center"/>
    </xf>
    <xf numFmtId="0" fontId="40" fillId="9" borderId="13" xfId="16" applyFill="1" applyBorder="1" applyAlignment="1">
      <alignment vertical="center"/>
    </xf>
    <xf numFmtId="0" fontId="40" fillId="0" borderId="0" xfId="16" quotePrefix="1" applyAlignment="1">
      <alignment vertical="center"/>
    </xf>
    <xf numFmtId="0" fontId="40" fillId="9" borderId="6" xfId="16" applyFill="1" applyBorder="1" applyAlignment="1">
      <alignment vertical="center"/>
    </xf>
    <xf numFmtId="0" fontId="40" fillId="9" borderId="11" xfId="16" applyFill="1" applyBorder="1" applyAlignment="1">
      <alignment vertical="center"/>
    </xf>
    <xf numFmtId="0" fontId="40" fillId="8" borderId="13" xfId="16" applyFill="1" applyBorder="1" applyAlignment="1">
      <alignment vertical="center"/>
    </xf>
    <xf numFmtId="0" fontId="40" fillId="8" borderId="6" xfId="16" applyFill="1" applyBorder="1" applyAlignment="1">
      <alignment vertical="center"/>
    </xf>
    <xf numFmtId="0" fontId="40" fillId="8" borderId="11" xfId="16" applyFill="1" applyBorder="1" applyAlignment="1">
      <alignment vertical="center"/>
    </xf>
    <xf numFmtId="0" fontId="40" fillId="8" borderId="10" xfId="16" applyFill="1" applyBorder="1" applyAlignment="1">
      <alignment vertical="center"/>
    </xf>
    <xf numFmtId="0" fontId="40" fillId="0" borderId="12" xfId="16" applyBorder="1" applyAlignment="1">
      <alignment vertical="center"/>
    </xf>
    <xf numFmtId="0" fontId="51" fillId="0" borderId="0" xfId="0" applyFont="1" applyAlignment="1">
      <alignment horizontal="left" vertical="center"/>
    </xf>
    <xf numFmtId="0" fontId="40" fillId="0" borderId="0" xfId="20"/>
    <xf numFmtId="0" fontId="44" fillId="7" borderId="1" xfId="20" applyFont="1" applyFill="1" applyBorder="1" applyAlignment="1">
      <alignment horizontal="left" vertical="center"/>
    </xf>
    <xf numFmtId="0" fontId="52" fillId="0" borderId="0" xfId="0" applyFont="1" applyAlignment="1">
      <alignment horizontal="left" vertical="center" wrapText="1"/>
    </xf>
    <xf numFmtId="0" fontId="75" fillId="0" borderId="0" xfId="0" applyFont="1" applyAlignment="1">
      <alignment vertical="center"/>
    </xf>
    <xf numFmtId="0" fontId="75" fillId="0" borderId="0" xfId="0" applyFont="1" applyAlignment="1">
      <alignment horizontal="left" vertical="center" wrapText="1"/>
    </xf>
    <xf numFmtId="0" fontId="75" fillId="0" borderId="0" xfId="0" applyFont="1" applyAlignment="1">
      <alignment vertical="center" wrapText="1"/>
    </xf>
    <xf numFmtId="0" fontId="52" fillId="0" borderId="0" xfId="0" applyFont="1" applyAlignment="1">
      <alignment vertical="center" wrapText="1"/>
    </xf>
    <xf numFmtId="0" fontId="66" fillId="0" borderId="0" xfId="0" applyFont="1" applyAlignment="1">
      <alignment horizontal="left" vertical="center"/>
    </xf>
    <xf numFmtId="0" fontId="48" fillId="0" borderId="0" xfId="0" applyFont="1" applyAlignment="1">
      <alignment horizontal="left" vertical="center"/>
    </xf>
    <xf numFmtId="0" fontId="52" fillId="0" borderId="0" xfId="0" applyFont="1" applyAlignment="1">
      <alignment horizontal="left" vertical="center"/>
    </xf>
    <xf numFmtId="0" fontId="48" fillId="0" borderId="2" xfId="0" applyFont="1" applyBorder="1" applyAlignment="1">
      <alignment horizontal="left" vertical="center"/>
    </xf>
    <xf numFmtId="0" fontId="48" fillId="0" borderId="0" xfId="1" applyFont="1" applyAlignment="1">
      <alignment horizontal="left" vertical="center"/>
    </xf>
    <xf numFmtId="166" fontId="42" fillId="0" borderId="0" xfId="0" applyNumberFormat="1" applyFont="1" applyAlignment="1">
      <alignment horizontal="left" vertical="center"/>
    </xf>
    <xf numFmtId="0" fontId="48" fillId="0" borderId="7" xfId="0" applyFont="1" applyBorder="1" applyAlignment="1">
      <alignment horizontal="left" vertical="center"/>
    </xf>
    <xf numFmtId="0" fontId="68" fillId="4" borderId="2" xfId="0" applyFont="1" applyFill="1" applyBorder="1" applyAlignment="1">
      <alignment horizontal="left" vertical="center" wrapText="1"/>
    </xf>
    <xf numFmtId="0" fontId="68" fillId="4" borderId="2" xfId="0" applyFont="1" applyFill="1" applyBorder="1" applyAlignment="1">
      <alignment horizontal="left" vertical="center"/>
    </xf>
    <xf numFmtId="0" fontId="45" fillId="0" borderId="0" xfId="0" applyFont="1" applyAlignment="1">
      <alignment horizontal="left" vertical="center"/>
    </xf>
    <xf numFmtId="0" fontId="51" fillId="0" borderId="0" xfId="0" applyFont="1" applyAlignment="1">
      <alignment vertical="center"/>
    </xf>
    <xf numFmtId="0" fontId="52" fillId="0" borderId="7" xfId="0" applyFont="1" applyBorder="1" applyAlignment="1">
      <alignment horizontal="left" vertical="center"/>
    </xf>
    <xf numFmtId="0" fontId="64" fillId="0" borderId="7" xfId="0" applyFont="1" applyBorder="1" applyAlignment="1">
      <alignment horizontal="left" vertical="center"/>
    </xf>
    <xf numFmtId="0" fontId="0" fillId="0" borderId="9" xfId="0" applyBorder="1" applyAlignment="1">
      <alignment horizontal="left" vertical="center"/>
    </xf>
    <xf numFmtId="0" fontId="79" fillId="0" borderId="0" xfId="0" applyFont="1" applyAlignment="1">
      <alignment horizontal="left" vertical="center"/>
    </xf>
    <xf numFmtId="0" fontId="52" fillId="0" borderId="6" xfId="0" applyFont="1" applyBorder="1" applyAlignment="1">
      <alignment horizontal="left" vertical="center"/>
    </xf>
    <xf numFmtId="0" fontId="48" fillId="0" borderId="6" xfId="0" applyFont="1" applyBorder="1" applyAlignment="1">
      <alignment horizontal="left" vertical="center"/>
    </xf>
    <xf numFmtId="0" fontId="52" fillId="0" borderId="2" xfId="0" applyFont="1" applyBorder="1" applyAlignment="1">
      <alignment horizontal="left" vertical="center"/>
    </xf>
    <xf numFmtId="0" fontId="79" fillId="0" borderId="0" xfId="7" applyFont="1" applyFill="1" applyBorder="1" applyAlignment="1">
      <alignment horizontal="left" vertical="center"/>
    </xf>
    <xf numFmtId="1" fontId="48" fillId="0" borderId="7" xfId="0" applyNumberFormat="1" applyFont="1" applyBorder="1" applyAlignment="1">
      <alignment horizontal="left" vertical="center"/>
    </xf>
    <xf numFmtId="1" fontId="48" fillId="0" borderId="0" xfId="0" applyNumberFormat="1" applyFont="1" applyAlignment="1">
      <alignment horizontal="left" vertical="center"/>
    </xf>
    <xf numFmtId="3" fontId="48" fillId="6" borderId="0" xfId="0" applyNumberFormat="1" applyFont="1" applyFill="1" applyAlignment="1">
      <alignment horizontal="left" vertical="center"/>
    </xf>
    <xf numFmtId="2" fontId="48" fillId="0" borderId="0" xfId="0" applyNumberFormat="1" applyFont="1" applyAlignment="1">
      <alignment horizontal="left" vertical="center"/>
    </xf>
    <xf numFmtId="3" fontId="52" fillId="6" borderId="6" xfId="0" applyNumberFormat="1" applyFont="1" applyFill="1" applyBorder="1" applyAlignment="1">
      <alignment horizontal="left" vertical="center"/>
    </xf>
    <xf numFmtId="1" fontId="48" fillId="0" borderId="6" xfId="0" applyNumberFormat="1" applyFont="1" applyBorder="1" applyAlignment="1">
      <alignment horizontal="left" vertical="center"/>
    </xf>
    <xf numFmtId="9" fontId="60" fillId="6" borderId="2" xfId="0" applyNumberFormat="1" applyFont="1" applyFill="1" applyBorder="1" applyAlignment="1">
      <alignment horizontal="left" vertical="center"/>
    </xf>
    <xf numFmtId="0" fontId="41" fillId="0" borderId="0" xfId="0" applyFont="1" applyAlignment="1">
      <alignment horizontal="left" vertical="center"/>
    </xf>
    <xf numFmtId="0" fontId="67" fillId="0" borderId="0" xfId="0" applyFont="1" applyAlignment="1">
      <alignment horizontal="left" vertical="center"/>
    </xf>
    <xf numFmtId="0" fontId="56" fillId="0" borderId="0" xfId="6" applyFont="1" applyAlignment="1">
      <alignment horizontal="left" vertical="center"/>
    </xf>
    <xf numFmtId="0" fontId="44" fillId="7" borderId="1" xfId="0" applyFont="1" applyFill="1" applyBorder="1" applyAlignment="1">
      <alignment horizontal="left" vertical="center"/>
    </xf>
    <xf numFmtId="2" fontId="48" fillId="0" borderId="2" xfId="0" applyNumberFormat="1" applyFont="1" applyBorder="1" applyAlignment="1">
      <alignment horizontal="left" vertical="center"/>
    </xf>
    <xf numFmtId="9" fontId="48" fillId="0" borderId="0" xfId="14" applyFont="1" applyFill="1" applyAlignment="1">
      <alignment horizontal="left" vertical="center"/>
    </xf>
    <xf numFmtId="0" fontId="44" fillId="7" borderId="1" xfId="0" applyFont="1" applyFill="1" applyBorder="1" applyAlignment="1">
      <alignment horizontal="left" vertical="center" wrapText="1"/>
    </xf>
    <xf numFmtId="0" fontId="68" fillId="4" borderId="6" xfId="0" applyFont="1" applyFill="1" applyBorder="1" applyAlignment="1">
      <alignment horizontal="left" vertical="center" wrapText="1"/>
    </xf>
    <xf numFmtId="0" fontId="68" fillId="4" borderId="6" xfId="0" applyFont="1" applyFill="1" applyBorder="1" applyAlignment="1">
      <alignment horizontal="left" vertical="center"/>
    </xf>
    <xf numFmtId="0" fontId="48" fillId="0" borderId="2" xfId="1" applyFont="1" applyBorder="1" applyAlignment="1">
      <alignment horizontal="left" vertical="center"/>
    </xf>
    <xf numFmtId="0" fontId="39" fillId="0" borderId="0" xfId="0" applyFont="1" applyAlignment="1">
      <alignment horizontal="left" vertical="center"/>
    </xf>
    <xf numFmtId="166" fontId="56" fillId="0" borderId="0" xfId="6" applyNumberFormat="1" applyFont="1" applyAlignment="1">
      <alignment horizontal="left" vertical="center"/>
    </xf>
    <xf numFmtId="0" fontId="44" fillId="7" borderId="1" xfId="0" applyFont="1" applyFill="1" applyBorder="1" applyAlignment="1">
      <alignment vertical="center" wrapText="1"/>
    </xf>
    <xf numFmtId="0" fontId="39" fillId="0" borderId="2" xfId="0" applyFont="1" applyBorder="1" applyAlignment="1">
      <alignment horizontal="left" vertical="center"/>
    </xf>
    <xf numFmtId="0" fontId="39" fillId="0" borderId="6" xfId="0" applyFont="1" applyBorder="1" applyAlignment="1">
      <alignment horizontal="left" vertical="center"/>
    </xf>
    <xf numFmtId="9" fontId="39" fillId="0" borderId="6" xfId="14" applyFont="1" applyBorder="1" applyAlignment="1">
      <alignment horizontal="left" vertical="center"/>
    </xf>
    <xf numFmtId="0" fontId="38" fillId="0" borderId="0" xfId="0" applyFont="1" applyAlignment="1">
      <alignment horizontal="left" vertical="center"/>
    </xf>
    <xf numFmtId="0" fontId="64" fillId="0" borderId="0" xfId="0" applyFont="1" applyAlignment="1">
      <alignment horizontal="left" vertical="center"/>
    </xf>
    <xf numFmtId="1" fontId="48" fillId="0" borderId="2" xfId="0" applyNumberFormat="1" applyFont="1" applyBorder="1" applyAlignment="1">
      <alignment horizontal="left" vertical="center"/>
    </xf>
    <xf numFmtId="0" fontId="0" fillId="0" borderId="2" xfId="0" applyBorder="1" applyAlignment="1">
      <alignment horizontal="left" vertical="center"/>
    </xf>
    <xf numFmtId="0" fontId="38" fillId="8" borderId="0" xfId="16" applyFont="1" applyFill="1" applyAlignment="1">
      <alignment vertical="center"/>
    </xf>
    <xf numFmtId="0" fontId="38" fillId="0" borderId="2" xfId="0" applyFont="1" applyBorder="1" applyAlignment="1">
      <alignment horizontal="left" vertical="center"/>
    </xf>
    <xf numFmtId="1" fontId="48" fillId="6" borderId="2" xfId="0" applyNumberFormat="1" applyFont="1" applyFill="1" applyBorder="1" applyAlignment="1">
      <alignment horizontal="left" vertical="center"/>
    </xf>
    <xf numFmtId="0" fontId="60" fillId="6" borderId="0" xfId="0" applyFont="1" applyFill="1" applyAlignment="1">
      <alignment horizontal="left" vertical="center"/>
    </xf>
    <xf numFmtId="0" fontId="60" fillId="6" borderId="2" xfId="0" applyFont="1" applyFill="1" applyBorder="1" applyAlignment="1">
      <alignment horizontal="left" vertical="center"/>
    </xf>
    <xf numFmtId="0" fontId="60" fillId="6" borderId="6" xfId="0" applyFont="1" applyFill="1" applyBorder="1" applyAlignment="1">
      <alignment horizontal="left" vertical="center"/>
    </xf>
    <xf numFmtId="0" fontId="36" fillId="0" borderId="0" xfId="0" applyFont="1" applyAlignment="1">
      <alignment horizontal="left" vertical="center"/>
    </xf>
    <xf numFmtId="0" fontId="36" fillId="0" borderId="2" xfId="0" applyFont="1" applyBorder="1" applyAlignment="1">
      <alignment horizontal="left" vertical="center"/>
    </xf>
    <xf numFmtId="0" fontId="60" fillId="0" borderId="0" xfId="16" applyFont="1" applyAlignment="1">
      <alignment vertical="center"/>
    </xf>
    <xf numFmtId="0" fontId="35" fillId="0" borderId="13" xfId="16" applyFont="1" applyBorder="1" applyAlignment="1">
      <alignment horizontal="left" vertical="center" wrapText="1"/>
    </xf>
    <xf numFmtId="0" fontId="48" fillId="0" borderId="13" xfId="16" applyFont="1" applyBorder="1" applyAlignment="1">
      <alignment vertical="center" wrapText="1"/>
    </xf>
    <xf numFmtId="0" fontId="40" fillId="0" borderId="13" xfId="16" applyBorder="1" applyAlignment="1">
      <alignment vertical="center" wrapText="1"/>
    </xf>
    <xf numFmtId="0" fontId="48" fillId="0" borderId="0" xfId="16" applyFont="1" applyAlignment="1">
      <alignment vertical="center" wrapText="1"/>
    </xf>
    <xf numFmtId="0" fontId="40" fillId="0" borderId="0" xfId="16" applyAlignment="1">
      <alignment vertical="center" wrapText="1"/>
    </xf>
    <xf numFmtId="0" fontId="40" fillId="0" borderId="0" xfId="16" applyAlignment="1">
      <alignment horizontal="left" vertical="center" wrapText="1"/>
    </xf>
    <xf numFmtId="0" fontId="40" fillId="0" borderId="12" xfId="16" applyBorder="1" applyAlignment="1">
      <alignment vertical="center" wrapText="1"/>
    </xf>
    <xf numFmtId="0" fontId="34" fillId="0" borderId="12" xfId="16" applyFont="1" applyBorder="1" applyAlignment="1">
      <alignment vertical="center" wrapText="1"/>
    </xf>
    <xf numFmtId="9" fontId="48" fillId="0" borderId="0" xfId="0" applyNumberFormat="1" applyFont="1" applyAlignment="1">
      <alignment horizontal="left" vertical="center"/>
    </xf>
    <xf numFmtId="0" fontId="33" fillId="0" borderId="0" xfId="27" applyAlignment="1">
      <alignment horizontal="left" vertical="center"/>
    </xf>
    <xf numFmtId="0" fontId="33" fillId="0" borderId="0" xfId="27" applyAlignment="1">
      <alignment vertical="center"/>
    </xf>
    <xf numFmtId="0" fontId="33" fillId="0" borderId="7" xfId="27" applyBorder="1" applyAlignment="1">
      <alignment vertical="center"/>
    </xf>
    <xf numFmtId="0" fontId="33" fillId="0" borderId="7" xfId="27" applyBorder="1" applyAlignment="1">
      <alignment horizontal="left" vertical="center"/>
    </xf>
    <xf numFmtId="0" fontId="48" fillId="0" borderId="0" xfId="27" applyFont="1" applyAlignment="1">
      <alignment horizontal="left" vertical="center"/>
    </xf>
    <xf numFmtId="2" fontId="33" fillId="0" borderId="0" xfId="27" applyNumberFormat="1" applyAlignment="1">
      <alignment horizontal="left" vertical="center"/>
    </xf>
    <xf numFmtId="0" fontId="56" fillId="0" borderId="0" xfId="6" applyFont="1" applyAlignment="1">
      <alignment horizontal="left" vertical="center" wrapText="1"/>
    </xf>
    <xf numFmtId="0" fontId="60" fillId="0" borderId="0" xfId="27" applyFont="1" applyAlignment="1">
      <alignment horizontal="left" vertical="center"/>
    </xf>
    <xf numFmtId="0" fontId="53" fillId="4" borderId="6" xfId="27" applyFont="1" applyFill="1" applyBorder="1" applyAlignment="1">
      <alignment horizontal="left" vertical="center" wrapText="1"/>
    </xf>
    <xf numFmtId="0" fontId="84" fillId="0" borderId="0" xfId="27" applyFont="1" applyAlignment="1">
      <alignment horizontal="left" vertical="center"/>
    </xf>
    <xf numFmtId="1" fontId="33" fillId="0" borderId="0" xfId="27" applyNumberFormat="1" applyAlignment="1">
      <alignment horizontal="left" vertical="center"/>
    </xf>
    <xf numFmtId="2" fontId="0" fillId="0" borderId="0" xfId="28" applyNumberFormat="1" applyFont="1" applyFill="1" applyBorder="1" applyAlignment="1">
      <alignment horizontal="left" vertical="center"/>
    </xf>
    <xf numFmtId="3" fontId="33" fillId="0" borderId="0" xfId="27" applyNumberFormat="1" applyAlignment="1">
      <alignment horizontal="left" vertical="center"/>
    </xf>
    <xf numFmtId="165" fontId="33" fillId="0" borderId="0" xfId="27" applyNumberFormat="1" applyAlignment="1">
      <alignment horizontal="left" vertical="center"/>
    </xf>
    <xf numFmtId="0" fontId="33" fillId="0" borderId="13" xfId="16" applyFont="1" applyBorder="1" applyAlignment="1">
      <alignment vertical="center"/>
    </xf>
    <xf numFmtId="2" fontId="33" fillId="0" borderId="7" xfId="27" applyNumberFormat="1" applyBorder="1" applyAlignment="1">
      <alignment horizontal="left" vertical="center"/>
    </xf>
    <xf numFmtId="0" fontId="33" fillId="0" borderId="2" xfId="27" applyBorder="1" applyAlignment="1">
      <alignment vertical="center"/>
    </xf>
    <xf numFmtId="0" fontId="33" fillId="0" borderId="0" xfId="27" applyAlignment="1">
      <alignment horizontal="left" vertical="center" wrapText="1"/>
    </xf>
    <xf numFmtId="0" fontId="64" fillId="0" borderId="0" xfId="27" applyFont="1" applyAlignment="1">
      <alignment horizontal="left" vertical="center" wrapText="1"/>
    </xf>
    <xf numFmtId="0" fontId="33" fillId="0" borderId="2" xfId="27" applyBorder="1" applyAlignment="1">
      <alignment horizontal="left" vertical="center"/>
    </xf>
    <xf numFmtId="2" fontId="0" fillId="0" borderId="2" xfId="28" applyNumberFormat="1" applyFont="1" applyFill="1" applyBorder="1" applyAlignment="1">
      <alignment horizontal="left" vertical="center"/>
    </xf>
    <xf numFmtId="1" fontId="33" fillId="0" borderId="7" xfId="27" applyNumberFormat="1" applyBorder="1" applyAlignment="1">
      <alignment horizontal="left" vertical="center"/>
    </xf>
    <xf numFmtId="49" fontId="32" fillId="0" borderId="0" xfId="29" applyNumberFormat="1" applyAlignment="1">
      <alignment vertical="center"/>
    </xf>
    <xf numFmtId="2" fontId="32" fillId="6" borderId="0" xfId="29" applyNumberFormat="1" applyFill="1" applyAlignment="1">
      <alignment horizontal="left" vertical="center"/>
    </xf>
    <xf numFmtId="0" fontId="31" fillId="0" borderId="0" xfId="27" applyFont="1" applyAlignment="1">
      <alignment vertical="center" wrapText="1"/>
    </xf>
    <xf numFmtId="9" fontId="48" fillId="6" borderId="21" xfId="14" applyFont="1" applyFill="1" applyBorder="1" applyAlignment="1">
      <alignment horizontal="left" vertical="center"/>
    </xf>
    <xf numFmtId="9" fontId="48" fillId="6" borderId="17" xfId="14" applyFont="1" applyFill="1" applyBorder="1" applyAlignment="1">
      <alignment horizontal="left" vertical="center"/>
    </xf>
    <xf numFmtId="9" fontId="48" fillId="6" borderId="22" xfId="14" applyFont="1" applyFill="1" applyBorder="1" applyAlignment="1">
      <alignment horizontal="left" vertical="center"/>
    </xf>
    <xf numFmtId="0" fontId="29" fillId="0" borderId="13" xfId="16" applyFont="1" applyBorder="1" applyAlignment="1">
      <alignment vertical="center"/>
    </xf>
    <xf numFmtId="0" fontId="29" fillId="0" borderId="13" xfId="16" applyFont="1" applyBorder="1" applyAlignment="1">
      <alignment vertical="center" wrapText="1"/>
    </xf>
    <xf numFmtId="0" fontId="28" fillId="0" borderId="0" xfId="16" applyFont="1" applyAlignment="1">
      <alignment vertical="center"/>
    </xf>
    <xf numFmtId="49" fontId="28" fillId="0" borderId="0" xfId="29" applyNumberFormat="1" applyFont="1" applyAlignment="1">
      <alignment vertical="center"/>
    </xf>
    <xf numFmtId="2" fontId="32" fillId="0" borderId="0" xfId="29" applyNumberFormat="1" applyAlignment="1">
      <alignment horizontal="left" vertical="center"/>
    </xf>
    <xf numFmtId="9" fontId="48" fillId="6" borderId="0" xfId="14" applyFont="1" applyFill="1" applyBorder="1" applyAlignment="1">
      <alignment horizontal="left" vertical="center"/>
    </xf>
    <xf numFmtId="49" fontId="27" fillId="0" borderId="0" xfId="29" applyNumberFormat="1" applyFont="1" applyAlignment="1">
      <alignment vertical="center"/>
    </xf>
    <xf numFmtId="0" fontId="27" fillId="0" borderId="13" xfId="16" applyFont="1" applyBorder="1" applyAlignment="1">
      <alignment vertical="center"/>
    </xf>
    <xf numFmtId="9" fontId="48" fillId="0" borderId="2" xfId="0" applyNumberFormat="1" applyFont="1" applyBorder="1" applyAlignment="1">
      <alignment horizontal="left" vertical="center"/>
    </xf>
    <xf numFmtId="0" fontId="27" fillId="8" borderId="13" xfId="16" applyFont="1" applyFill="1" applyBorder="1" applyAlignment="1">
      <alignment vertical="center"/>
    </xf>
    <xf numFmtId="0" fontId="27" fillId="8" borderId="10" xfId="16" applyFont="1" applyFill="1" applyBorder="1" applyAlignment="1">
      <alignment vertical="center"/>
    </xf>
    <xf numFmtId="0" fontId="27" fillId="9" borderId="13" xfId="16" applyFont="1" applyFill="1" applyBorder="1" applyAlignment="1">
      <alignment vertical="center"/>
    </xf>
    <xf numFmtId="0" fontId="27" fillId="9" borderId="10" xfId="16" applyFont="1" applyFill="1" applyBorder="1" applyAlignment="1">
      <alignment vertical="center"/>
    </xf>
    <xf numFmtId="0" fontId="85" fillId="0" borderId="0" xfId="0" applyFont="1" applyAlignment="1">
      <alignment horizontal="left" vertical="center"/>
    </xf>
    <xf numFmtId="0" fontId="85" fillId="0" borderId="2" xfId="0" applyFont="1" applyBorder="1" applyAlignment="1">
      <alignment horizontal="left" vertical="center"/>
    </xf>
    <xf numFmtId="1" fontId="79" fillId="0" borderId="0" xfId="0" applyNumberFormat="1" applyFont="1" applyAlignment="1">
      <alignment horizontal="left" vertical="center"/>
    </xf>
    <xf numFmtId="0" fontId="79" fillId="0" borderId="2" xfId="0" applyFont="1" applyBorder="1" applyAlignment="1">
      <alignment horizontal="left" vertical="center"/>
    </xf>
    <xf numFmtId="0" fontId="31" fillId="0" borderId="2" xfId="27" applyFont="1" applyBorder="1" applyAlignment="1">
      <alignment vertical="center" wrapText="1"/>
    </xf>
    <xf numFmtId="165" fontId="86" fillId="6" borderId="0" xfId="0" applyNumberFormat="1" applyFont="1" applyFill="1" applyAlignment="1">
      <alignment horizontal="left" vertical="center"/>
    </xf>
    <xf numFmtId="165" fontId="86" fillId="6" borderId="2" xfId="0" applyNumberFormat="1" applyFont="1" applyFill="1" applyBorder="1" applyAlignment="1">
      <alignment horizontal="left" vertical="center"/>
    </xf>
    <xf numFmtId="167" fontId="48" fillId="0" borderId="0" xfId="14" applyNumberFormat="1" applyFont="1" applyFill="1" applyAlignment="1">
      <alignment horizontal="left" vertical="center"/>
    </xf>
    <xf numFmtId="167" fontId="48" fillId="0" borderId="2" xfId="14" applyNumberFormat="1" applyFont="1" applyFill="1" applyBorder="1" applyAlignment="1">
      <alignment horizontal="left" vertical="center"/>
    </xf>
    <xf numFmtId="0" fontId="52" fillId="0" borderId="7" xfId="0" applyFont="1" applyBorder="1" applyAlignment="1">
      <alignment horizontal="left" vertical="center" wrapText="1"/>
    </xf>
    <xf numFmtId="2" fontId="48" fillId="0" borderId="23" xfId="14" applyNumberFormat="1" applyFont="1" applyFill="1" applyBorder="1" applyAlignment="1">
      <alignment horizontal="left" vertical="center"/>
    </xf>
    <xf numFmtId="2" fontId="48" fillId="0" borderId="24" xfId="14" applyNumberFormat="1" applyFont="1" applyFill="1" applyBorder="1" applyAlignment="1">
      <alignment horizontal="left" vertical="center"/>
    </xf>
    <xf numFmtId="2" fontId="48" fillId="0" borderId="12" xfId="14" applyNumberFormat="1" applyFont="1" applyFill="1" applyBorder="1" applyAlignment="1">
      <alignment horizontal="left" vertical="center"/>
    </xf>
    <xf numFmtId="2" fontId="48" fillId="0" borderId="14" xfId="14" applyNumberFormat="1" applyFont="1" applyFill="1" applyBorder="1" applyAlignment="1">
      <alignment horizontal="left" vertical="center"/>
    </xf>
    <xf numFmtId="9" fontId="48" fillId="0" borderId="0" xfId="14" applyFont="1" applyFill="1" applyBorder="1" applyAlignment="1">
      <alignment horizontal="left" vertical="center"/>
    </xf>
    <xf numFmtId="9" fontId="48" fillId="0" borderId="2" xfId="14" applyFont="1" applyFill="1" applyBorder="1" applyAlignment="1">
      <alignment horizontal="left" vertical="center"/>
    </xf>
    <xf numFmtId="9" fontId="48" fillId="0" borderId="18" xfId="14" applyFont="1" applyFill="1" applyBorder="1" applyAlignment="1">
      <alignment horizontal="left" vertical="center"/>
    </xf>
    <xf numFmtId="2" fontId="48" fillId="0" borderId="0" xfId="14" applyNumberFormat="1" applyFont="1" applyFill="1" applyAlignment="1">
      <alignment horizontal="left" vertical="center"/>
    </xf>
    <xf numFmtId="2" fontId="48" fillId="0" borderId="0" xfId="14" applyNumberFormat="1" applyFont="1" applyFill="1" applyBorder="1" applyAlignment="1">
      <alignment horizontal="left" vertical="center"/>
    </xf>
    <xf numFmtId="2" fontId="48" fillId="0" borderId="7" xfId="14" applyNumberFormat="1" applyFont="1" applyFill="1" applyBorder="1" applyAlignment="1">
      <alignment horizontal="left" vertical="center"/>
    </xf>
    <xf numFmtId="0" fontId="85" fillId="0" borderId="6" xfId="0" applyFont="1" applyBorder="1" applyAlignment="1">
      <alignment horizontal="left" vertical="center"/>
    </xf>
    <xf numFmtId="2" fontId="48" fillId="0" borderId="2" xfId="14" applyNumberFormat="1" applyFont="1" applyFill="1" applyBorder="1" applyAlignment="1">
      <alignment horizontal="left" vertical="center"/>
    </xf>
    <xf numFmtId="0" fontId="87" fillId="0" borderId="6" xfId="0" applyFont="1" applyBorder="1" applyAlignment="1">
      <alignment horizontal="left" vertical="center"/>
    </xf>
    <xf numFmtId="0" fontId="79" fillId="0" borderId="6" xfId="0" applyFont="1" applyBorder="1" applyAlignment="1">
      <alignment horizontal="left" vertical="center"/>
    </xf>
    <xf numFmtId="0" fontId="88" fillId="0" borderId="6" xfId="0" applyFont="1" applyBorder="1" applyAlignment="1">
      <alignment horizontal="left" vertical="center"/>
    </xf>
    <xf numFmtId="3" fontId="48" fillId="6" borderId="22" xfId="14" applyNumberFormat="1" applyFont="1" applyFill="1" applyBorder="1" applyAlignment="1">
      <alignment horizontal="left" vertical="center"/>
    </xf>
    <xf numFmtId="3" fontId="48" fillId="6" borderId="21" xfId="14" applyNumberFormat="1" applyFont="1" applyFill="1" applyBorder="1" applyAlignment="1">
      <alignment horizontal="left" vertical="center"/>
    </xf>
    <xf numFmtId="3" fontId="48" fillId="6" borderId="19" xfId="14" applyNumberFormat="1" applyFont="1" applyFill="1" applyBorder="1" applyAlignment="1">
      <alignment horizontal="left" vertical="center"/>
    </xf>
    <xf numFmtId="3" fontId="48" fillId="6" borderId="17" xfId="14" applyNumberFormat="1" applyFont="1" applyFill="1" applyBorder="1" applyAlignment="1">
      <alignment horizontal="left" vertical="center"/>
    </xf>
    <xf numFmtId="3" fontId="60" fillId="6" borderId="19" xfId="14" applyNumberFormat="1" applyFont="1" applyFill="1" applyBorder="1" applyAlignment="1">
      <alignment horizontal="left" vertical="center"/>
    </xf>
    <xf numFmtId="167" fontId="33" fillId="0" borderId="0" xfId="14" applyNumberFormat="1" applyFont="1" applyFill="1" applyAlignment="1">
      <alignment horizontal="left" vertical="center"/>
    </xf>
    <xf numFmtId="167" fontId="33" fillId="0" borderId="0" xfId="14" applyNumberFormat="1" applyFont="1" applyFill="1" applyBorder="1" applyAlignment="1">
      <alignment horizontal="left" vertical="center"/>
    </xf>
    <xf numFmtId="165" fontId="64" fillId="0" borderId="0" xfId="27" applyNumberFormat="1" applyFont="1" applyAlignment="1">
      <alignment horizontal="left" vertical="center"/>
    </xf>
    <xf numFmtId="2" fontId="64" fillId="0" borderId="0" xfId="27" applyNumberFormat="1" applyFont="1" applyAlignment="1">
      <alignment horizontal="left" vertical="center"/>
    </xf>
    <xf numFmtId="167" fontId="33" fillId="0" borderId="7" xfId="14" applyNumberFormat="1" applyFont="1" applyFill="1" applyBorder="1" applyAlignment="1">
      <alignment horizontal="left" vertical="center"/>
    </xf>
    <xf numFmtId="2" fontId="33" fillId="0" borderId="2" xfId="27" applyNumberFormat="1" applyBorder="1" applyAlignment="1">
      <alignment horizontal="left" vertical="center"/>
    </xf>
    <xf numFmtId="167" fontId="33" fillId="0" borderId="2" xfId="14" applyNumberFormat="1" applyFont="1" applyFill="1" applyBorder="1" applyAlignment="1">
      <alignment horizontal="left" vertical="center"/>
    </xf>
    <xf numFmtId="9" fontId="86" fillId="6" borderId="0" xfId="14" applyFont="1" applyFill="1" applyAlignment="1">
      <alignment horizontal="left" vertical="center"/>
    </xf>
    <xf numFmtId="1" fontId="60" fillId="6" borderId="0" xfId="0" applyNumberFormat="1" applyFont="1" applyFill="1" applyAlignment="1">
      <alignment horizontal="left" vertical="center"/>
    </xf>
    <xf numFmtId="9" fontId="48" fillId="0" borderId="7" xfId="14" applyFont="1" applyFill="1" applyBorder="1" applyAlignment="1">
      <alignment horizontal="left" vertical="center"/>
    </xf>
    <xf numFmtId="2" fontId="48" fillId="6" borderId="17" xfId="14" applyNumberFormat="1" applyFont="1" applyFill="1" applyBorder="1" applyAlignment="1">
      <alignment horizontal="left" vertical="center"/>
    </xf>
    <xf numFmtId="2" fontId="48" fillId="6" borderId="19" xfId="14" applyNumberFormat="1" applyFont="1" applyFill="1" applyBorder="1" applyAlignment="1">
      <alignment horizontal="left" vertical="center"/>
    </xf>
    <xf numFmtId="2" fontId="48" fillId="0" borderId="21" xfId="14" applyNumberFormat="1" applyFont="1" applyFill="1" applyBorder="1" applyAlignment="1">
      <alignment horizontal="left" vertical="center"/>
    </xf>
    <xf numFmtId="2" fontId="48" fillId="6" borderId="21" xfId="14" applyNumberFormat="1" applyFont="1" applyFill="1" applyBorder="1" applyAlignment="1">
      <alignment horizontal="left" vertical="center"/>
    </xf>
    <xf numFmtId="3" fontId="48" fillId="6" borderId="2" xfId="14" applyNumberFormat="1" applyFont="1" applyFill="1" applyBorder="1" applyAlignment="1">
      <alignment horizontal="left" vertical="center"/>
    </xf>
    <xf numFmtId="3" fontId="48" fillId="6" borderId="0" xfId="14" applyNumberFormat="1" applyFont="1" applyFill="1" applyBorder="1" applyAlignment="1">
      <alignment horizontal="left" vertical="center"/>
    </xf>
    <xf numFmtId="3" fontId="48" fillId="6" borderId="7" xfId="14" applyNumberFormat="1" applyFont="1" applyFill="1" applyBorder="1" applyAlignment="1">
      <alignment horizontal="left" vertical="center"/>
    </xf>
    <xf numFmtId="1" fontId="33" fillId="0" borderId="2" xfId="27" applyNumberFormat="1" applyBorder="1" applyAlignment="1">
      <alignment horizontal="left" vertical="center"/>
    </xf>
    <xf numFmtId="0" fontId="53" fillId="4" borderId="6" xfId="0" applyFont="1" applyFill="1" applyBorder="1" applyAlignment="1">
      <alignment horizontal="left" vertical="center"/>
    </xf>
    <xf numFmtId="9" fontId="79" fillId="6" borderId="0" xfId="0" applyNumberFormat="1" applyFont="1" applyFill="1" applyAlignment="1">
      <alignment horizontal="left" vertical="center"/>
    </xf>
    <xf numFmtId="0" fontId="31" fillId="0" borderId="7" xfId="27" applyFont="1" applyBorder="1" applyAlignment="1">
      <alignment vertical="center" wrapText="1"/>
    </xf>
    <xf numFmtId="0" fontId="26" fillId="0" borderId="0" xfId="27" applyFont="1" applyAlignment="1">
      <alignment horizontal="left" vertical="center" wrapText="1"/>
    </xf>
    <xf numFmtId="0" fontId="26" fillId="0" borderId="7" xfId="27" applyFont="1" applyBorder="1" applyAlignment="1">
      <alignment horizontal="left" vertical="center" wrapText="1"/>
    </xf>
    <xf numFmtId="0" fontId="26" fillId="0" borderId="7" xfId="27" applyFont="1" applyBorder="1" applyAlignment="1">
      <alignment horizontal="left" vertical="center"/>
    </xf>
    <xf numFmtId="0" fontId="26" fillId="0" borderId="0" xfId="27" applyFont="1" applyAlignment="1">
      <alignment horizontal="left" vertical="center"/>
    </xf>
    <xf numFmtId="0" fontId="26" fillId="0" borderId="2" xfId="27" applyFont="1" applyBorder="1" applyAlignment="1">
      <alignment horizontal="left" vertical="center" wrapText="1"/>
    </xf>
    <xf numFmtId="2" fontId="24" fillId="0" borderId="0" xfId="27" applyNumberFormat="1" applyFont="1" applyAlignment="1">
      <alignment horizontal="left" vertical="center"/>
    </xf>
    <xf numFmtId="0" fontId="23" fillId="0" borderId="13" xfId="16" applyFont="1" applyBorder="1" applyAlignment="1">
      <alignment vertical="center"/>
    </xf>
    <xf numFmtId="0" fontId="38" fillId="0" borderId="7" xfId="0" applyFont="1" applyBorder="1" applyAlignment="1">
      <alignment horizontal="left" vertical="center"/>
    </xf>
    <xf numFmtId="0" fontId="39" fillId="0" borderId="7" xfId="0" applyFont="1" applyBorder="1" applyAlignment="1">
      <alignment horizontal="left" vertical="center"/>
    </xf>
    <xf numFmtId="1" fontId="39" fillId="0" borderId="2" xfId="0" applyNumberFormat="1" applyFont="1" applyBorder="1" applyAlignment="1">
      <alignment horizontal="left" vertical="center"/>
    </xf>
    <xf numFmtId="9" fontId="39" fillId="0" borderId="0" xfId="14" applyFont="1" applyBorder="1" applyAlignment="1">
      <alignment horizontal="left" vertical="center"/>
    </xf>
    <xf numFmtId="0" fontId="25" fillId="0" borderId="0" xfId="0" applyFont="1" applyAlignment="1">
      <alignment horizontal="left" vertical="center"/>
    </xf>
    <xf numFmtId="9" fontId="39" fillId="0" borderId="7" xfId="14" applyFont="1" applyBorder="1" applyAlignment="1">
      <alignment horizontal="left" vertical="center"/>
    </xf>
    <xf numFmtId="9" fontId="38" fillId="0" borderId="7" xfId="14" applyFont="1" applyBorder="1" applyAlignment="1">
      <alignment horizontal="left" vertical="center"/>
    </xf>
    <xf numFmtId="9" fontId="39" fillId="0" borderId="2" xfId="14" applyFont="1" applyBorder="1" applyAlignment="1">
      <alignment horizontal="left" vertical="center"/>
    </xf>
    <xf numFmtId="9" fontId="25" fillId="0" borderId="0" xfId="14" applyFont="1" applyBorder="1" applyAlignment="1">
      <alignment horizontal="left" vertical="center"/>
    </xf>
    <xf numFmtId="0" fontId="22" fillId="0" borderId="13" xfId="16" applyFont="1" applyBorder="1" applyAlignment="1">
      <alignment vertical="center" wrapText="1"/>
    </xf>
    <xf numFmtId="0" fontId="21" fillId="0" borderId="13" xfId="16" applyFont="1" applyBorder="1" applyAlignment="1">
      <alignment vertical="center" wrapText="1"/>
    </xf>
    <xf numFmtId="0" fontId="64" fillId="0" borderId="0" xfId="33" applyFont="1" applyAlignment="1">
      <alignment vertical="center"/>
    </xf>
    <xf numFmtId="0" fontId="21" fillId="0" borderId="0" xfId="33" applyAlignment="1">
      <alignment vertical="center"/>
    </xf>
    <xf numFmtId="167" fontId="48" fillId="0" borderId="0" xfId="14" applyNumberFormat="1" applyFont="1" applyFill="1" applyBorder="1" applyAlignment="1">
      <alignment horizontal="left" vertical="center"/>
    </xf>
    <xf numFmtId="0" fontId="0" fillId="0" borderId="13" xfId="0" applyBorder="1" applyAlignment="1">
      <alignment wrapText="1"/>
    </xf>
    <xf numFmtId="0" fontId="48" fillId="6" borderId="0" xfId="0" applyFont="1" applyFill="1" applyAlignment="1">
      <alignment horizontal="left" vertical="center"/>
    </xf>
    <xf numFmtId="0" fontId="79" fillId="0" borderId="7" xfId="0" applyFont="1" applyBorder="1" applyAlignment="1">
      <alignment horizontal="left" vertical="center"/>
    </xf>
    <xf numFmtId="0" fontId="20" fillId="0" borderId="13" xfId="16" applyFont="1" applyBorder="1" applyAlignment="1">
      <alignment vertical="center"/>
    </xf>
    <xf numFmtId="0" fontId="53" fillId="4" borderId="6" xfId="0" applyFont="1" applyFill="1" applyBorder="1" applyAlignment="1">
      <alignment horizontal="left" vertical="center" wrapText="1"/>
    </xf>
    <xf numFmtId="9" fontId="48" fillId="0" borderId="0" xfId="14" applyFont="1" applyAlignment="1">
      <alignment horizontal="left" vertical="center"/>
    </xf>
    <xf numFmtId="9" fontId="48" fillId="0" borderId="2" xfId="14" applyFont="1" applyBorder="1" applyAlignment="1">
      <alignment horizontal="left" vertical="center"/>
    </xf>
    <xf numFmtId="0" fontId="20" fillId="0" borderId="0" xfId="0" applyFont="1" applyAlignment="1">
      <alignment horizontal="left" vertical="center"/>
    </xf>
    <xf numFmtId="0" fontId="60" fillId="6" borderId="7" xfId="0" applyFont="1" applyFill="1" applyBorder="1" applyAlignment="1">
      <alignment horizontal="left" vertical="center"/>
    </xf>
    <xf numFmtId="0" fontId="64" fillId="4" borderId="0" xfId="0" applyFont="1" applyFill="1" applyAlignment="1">
      <alignment horizontal="left" vertical="center"/>
    </xf>
    <xf numFmtId="0" fontId="39" fillId="4" borderId="0" xfId="0" applyFont="1" applyFill="1" applyAlignment="1">
      <alignment horizontal="left" vertical="center"/>
    </xf>
    <xf numFmtId="0" fontId="20" fillId="0" borderId="2" xfId="0" applyFont="1" applyBorder="1" applyAlignment="1">
      <alignment horizontal="left" vertical="center"/>
    </xf>
    <xf numFmtId="0" fontId="20" fillId="6" borderId="0" xfId="0" applyFont="1" applyFill="1"/>
    <xf numFmtId="0" fontId="48" fillId="6" borderId="2" xfId="0" applyFont="1" applyFill="1" applyBorder="1" applyAlignment="1">
      <alignment horizontal="left" vertical="center"/>
    </xf>
    <xf numFmtId="0" fontId="19" fillId="0" borderId="6" xfId="0" applyFont="1" applyBorder="1" applyAlignment="1">
      <alignment horizontal="left" vertical="center"/>
    </xf>
    <xf numFmtId="0" fontId="78" fillId="3" borderId="0" xfId="24" applyFill="1" applyAlignment="1">
      <alignment vertical="center"/>
    </xf>
    <xf numFmtId="168" fontId="78" fillId="6" borderId="0" xfId="24" applyNumberFormat="1" applyFill="1" applyAlignment="1">
      <alignment horizontal="left" vertical="center"/>
    </xf>
    <xf numFmtId="2" fontId="60" fillId="6" borderId="6" xfId="14" applyNumberFormat="1" applyFont="1" applyFill="1" applyBorder="1" applyAlignment="1">
      <alignment horizontal="left" vertical="center"/>
    </xf>
    <xf numFmtId="2" fontId="48" fillId="0" borderId="6" xfId="0" applyNumberFormat="1" applyFont="1" applyBorder="1" applyAlignment="1">
      <alignment horizontal="left" vertical="center"/>
    </xf>
    <xf numFmtId="3" fontId="39" fillId="0" borderId="7" xfId="30" applyNumberFormat="1" applyFont="1" applyBorder="1" applyAlignment="1">
      <alignment horizontal="left" vertical="center"/>
    </xf>
    <xf numFmtId="3" fontId="39" fillId="0" borderId="0" xfId="30" applyNumberFormat="1" applyFont="1" applyBorder="1" applyAlignment="1">
      <alignment horizontal="left" vertical="center"/>
    </xf>
    <xf numFmtId="3" fontId="39" fillId="0" borderId="2" xfId="30" applyNumberFormat="1" applyFont="1" applyBorder="1" applyAlignment="1">
      <alignment horizontal="left" vertical="center"/>
    </xf>
    <xf numFmtId="0" fontId="19" fillId="0" borderId="7" xfId="0" applyFont="1" applyBorder="1" applyAlignment="1">
      <alignment horizontal="left" vertical="center"/>
    </xf>
    <xf numFmtId="0" fontId="33" fillId="4" borderId="0" xfId="27" applyFill="1" applyAlignment="1">
      <alignment horizontal="left" vertical="center"/>
    </xf>
    <xf numFmtId="0" fontId="56" fillId="4" borderId="0" xfId="6" applyFont="1" applyFill="1" applyAlignment="1">
      <alignment horizontal="left" vertical="center"/>
    </xf>
    <xf numFmtId="0" fontId="64" fillId="4" borderId="6" xfId="27" applyFont="1" applyFill="1" applyBorder="1" applyAlignment="1">
      <alignment horizontal="left" vertical="center" wrapText="1"/>
    </xf>
    <xf numFmtId="0" fontId="33" fillId="4" borderId="9" xfId="27" applyFill="1" applyBorder="1" applyAlignment="1">
      <alignment horizontal="left" vertical="center" wrapText="1"/>
    </xf>
    <xf numFmtId="0" fontId="48" fillId="4" borderId="0" xfId="27" applyFont="1" applyFill="1" applyAlignment="1">
      <alignment horizontal="left" vertical="center"/>
    </xf>
    <xf numFmtId="49" fontId="33" fillId="4" borderId="0" xfId="27" applyNumberFormat="1" applyFill="1" applyAlignment="1">
      <alignment horizontal="left" vertical="center"/>
    </xf>
    <xf numFmtId="0" fontId="30" fillId="4" borderId="0" xfId="27" applyFont="1" applyFill="1" applyAlignment="1">
      <alignment horizontal="left" vertical="center"/>
    </xf>
    <xf numFmtId="0" fontId="31" fillId="4" borderId="0" xfId="27" applyFont="1" applyFill="1" applyAlignment="1">
      <alignment horizontal="left" vertical="center"/>
    </xf>
    <xf numFmtId="0" fontId="22" fillId="4" borderId="0" xfId="27" applyFont="1" applyFill="1" applyAlignment="1">
      <alignment horizontal="left" vertical="center"/>
    </xf>
    <xf numFmtId="0" fontId="48" fillId="4" borderId="0" xfId="0" applyFont="1" applyFill="1" applyAlignment="1">
      <alignment horizontal="left" vertical="center"/>
    </xf>
    <xf numFmtId="0" fontId="33" fillId="4" borderId="2" xfId="27" applyFill="1" applyBorder="1" applyAlignment="1">
      <alignment horizontal="left" vertical="center"/>
    </xf>
    <xf numFmtId="0" fontId="48" fillId="4" borderId="2" xfId="27" applyFont="1" applyFill="1" applyBorder="1" applyAlignment="1">
      <alignment horizontal="left" vertical="center"/>
    </xf>
    <xf numFmtId="49" fontId="33" fillId="4" borderId="2" xfId="27" applyNumberFormat="1" applyFill="1" applyBorder="1" applyAlignment="1">
      <alignment horizontal="left" vertical="center"/>
    </xf>
    <xf numFmtId="0" fontId="33" fillId="4" borderId="7" xfId="27" applyFill="1" applyBorder="1" applyAlignment="1">
      <alignment horizontal="left" vertical="center"/>
    </xf>
    <xf numFmtId="49" fontId="30" fillId="4" borderId="0" xfId="27" applyNumberFormat="1" applyFont="1" applyFill="1" applyAlignment="1">
      <alignment horizontal="left" vertical="center"/>
    </xf>
    <xf numFmtId="49" fontId="30" fillId="4" borderId="2" xfId="27" applyNumberFormat="1" applyFont="1" applyFill="1" applyBorder="1" applyAlignment="1">
      <alignment horizontal="left" vertical="center"/>
    </xf>
    <xf numFmtId="0" fontId="25" fillId="4" borderId="0" xfId="27" applyFont="1" applyFill="1" applyAlignment="1">
      <alignment horizontal="left" vertical="center"/>
    </xf>
    <xf numFmtId="0" fontId="31" fillId="4" borderId="7" xfId="27" applyFont="1" applyFill="1" applyBorder="1" applyAlignment="1">
      <alignment horizontal="left" vertical="center"/>
    </xf>
    <xf numFmtId="49" fontId="33" fillId="4" borderId="7" xfId="27" applyNumberFormat="1" applyFill="1" applyBorder="1" applyAlignment="1">
      <alignment horizontal="left" vertical="center"/>
    </xf>
    <xf numFmtId="0" fontId="25" fillId="4" borderId="2" xfId="27" applyFont="1" applyFill="1" applyBorder="1" applyAlignment="1">
      <alignment horizontal="left" vertical="center"/>
    </xf>
    <xf numFmtId="0" fontId="64" fillId="4" borderId="0" xfId="27" applyFont="1" applyFill="1" applyAlignment="1">
      <alignment horizontal="left" vertical="center" wrapText="1"/>
    </xf>
    <xf numFmtId="0" fontId="33" fillId="4" borderId="0" xfId="27" applyFill="1" applyAlignment="1">
      <alignment horizontal="left" vertical="center" wrapText="1"/>
    </xf>
    <xf numFmtId="0" fontId="64" fillId="4" borderId="0" xfId="27" applyFont="1" applyFill="1" applyAlignment="1">
      <alignment horizontal="left" vertical="center"/>
    </xf>
    <xf numFmtId="0" fontId="48" fillId="4" borderId="7" xfId="27" applyFont="1" applyFill="1" applyBorder="1" applyAlignment="1">
      <alignment horizontal="left" vertical="center"/>
    </xf>
    <xf numFmtId="0" fontId="31" fillId="4" borderId="2" xfId="27" applyFont="1" applyFill="1" applyBorder="1" applyAlignment="1">
      <alignment horizontal="left" vertical="center"/>
    </xf>
    <xf numFmtId="0" fontId="64" fillId="0" borderId="6" xfId="0" applyFont="1" applyBorder="1" applyAlignment="1">
      <alignment horizontal="left" vertical="center" wrapText="1"/>
    </xf>
    <xf numFmtId="0" fontId="53" fillId="0" borderId="6" xfId="0" applyFont="1" applyBorder="1" applyAlignment="1">
      <alignment horizontal="left" vertical="center" wrapText="1"/>
    </xf>
    <xf numFmtId="0" fontId="53" fillId="0" borderId="6" xfId="0" applyFont="1" applyBorder="1" applyAlignment="1">
      <alignment horizontal="left" vertical="center"/>
    </xf>
    <xf numFmtId="9" fontId="33" fillId="0" borderId="0" xfId="14" applyFont="1" applyFill="1" applyAlignment="1">
      <alignment horizontal="left" vertical="center"/>
    </xf>
    <xf numFmtId="0" fontId="89" fillId="0" borderId="6" xfId="0" applyFont="1" applyBorder="1" applyAlignment="1">
      <alignment horizontal="left" vertical="center"/>
    </xf>
    <xf numFmtId="0" fontId="18" fillId="0" borderId="13" xfId="16" applyFont="1" applyBorder="1" applyAlignment="1">
      <alignment vertical="center"/>
    </xf>
    <xf numFmtId="0" fontId="64" fillId="4" borderId="7" xfId="0" applyFont="1" applyFill="1" applyBorder="1" applyAlignment="1">
      <alignment horizontal="left" vertical="center"/>
    </xf>
    <xf numFmtId="0" fontId="0" fillId="4" borderId="9" xfId="0" applyFill="1" applyBorder="1" applyAlignment="1">
      <alignment horizontal="left" vertical="center"/>
    </xf>
    <xf numFmtId="0" fontId="52" fillId="4" borderId="7" xfId="0" applyFont="1" applyFill="1" applyBorder="1" applyAlignment="1">
      <alignment horizontal="left" vertical="center"/>
    </xf>
    <xf numFmtId="0" fontId="39" fillId="4" borderId="9" xfId="0" applyFont="1" applyFill="1" applyBorder="1" applyAlignment="1">
      <alignment horizontal="left" vertical="center"/>
    </xf>
    <xf numFmtId="0" fontId="48" fillId="4" borderId="7" xfId="0" applyFont="1" applyFill="1" applyBorder="1" applyAlignment="1">
      <alignment horizontal="left" vertical="center"/>
    </xf>
    <xf numFmtId="0" fontId="48" fillId="4" borderId="2" xfId="0" applyFont="1" applyFill="1" applyBorder="1" applyAlignment="1">
      <alignment horizontal="left" vertical="center"/>
    </xf>
    <xf numFmtId="0" fontId="48" fillId="4" borderId="6" xfId="0" applyFont="1" applyFill="1" applyBorder="1" applyAlignment="1">
      <alignment horizontal="left" vertical="center"/>
    </xf>
    <xf numFmtId="1" fontId="48" fillId="4" borderId="6" xfId="0" applyNumberFormat="1" applyFont="1" applyFill="1" applyBorder="1" applyAlignment="1">
      <alignment horizontal="left" vertical="center"/>
    </xf>
    <xf numFmtId="1" fontId="48" fillId="4" borderId="0" xfId="0" applyNumberFormat="1" applyFont="1" applyFill="1" applyAlignment="1">
      <alignment horizontal="left" vertical="center"/>
    </xf>
    <xf numFmtId="0" fontId="0" fillId="4" borderId="0" xfId="0" applyFill="1"/>
    <xf numFmtId="0" fontId="18" fillId="0" borderId="0" xfId="0" applyFont="1" applyAlignment="1">
      <alignment horizontal="left" vertical="center"/>
    </xf>
    <xf numFmtId="0" fontId="18" fillId="0" borderId="2" xfId="0" applyFont="1" applyBorder="1" applyAlignment="1">
      <alignment horizontal="left" vertical="center"/>
    </xf>
    <xf numFmtId="0" fontId="17" fillId="0" borderId="13" xfId="16" applyFont="1" applyBorder="1" applyAlignment="1">
      <alignment vertical="center"/>
    </xf>
    <xf numFmtId="0" fontId="16" fillId="0" borderId="13" xfId="16" applyFont="1" applyBorder="1" applyAlignment="1">
      <alignment vertical="center"/>
    </xf>
    <xf numFmtId="9" fontId="15" fillId="0" borderId="0" xfId="14" applyFont="1" applyBorder="1" applyAlignment="1">
      <alignment horizontal="left" vertical="center"/>
    </xf>
    <xf numFmtId="43" fontId="0" fillId="0" borderId="7" xfId="30" applyFont="1" applyBorder="1" applyAlignment="1">
      <alignment horizontal="left" vertical="center"/>
    </xf>
    <xf numFmtId="43" fontId="0" fillId="0" borderId="2" xfId="30" applyFont="1" applyBorder="1" applyAlignment="1">
      <alignment horizontal="left" vertical="center"/>
    </xf>
    <xf numFmtId="0" fontId="14" fillId="0" borderId="0" xfId="27" applyFont="1" applyAlignment="1">
      <alignment vertical="center"/>
    </xf>
    <xf numFmtId="0" fontId="13" fillId="0" borderId="0" xfId="0" applyFont="1" applyAlignment="1">
      <alignment horizontal="left" vertical="center"/>
    </xf>
    <xf numFmtId="0" fontId="13" fillId="0" borderId="7" xfId="0" applyFont="1" applyBorder="1" applyAlignment="1">
      <alignment horizontal="left" vertical="center"/>
    </xf>
    <xf numFmtId="0" fontId="13" fillId="0" borderId="2" xfId="0" applyFont="1" applyBorder="1" applyAlignment="1">
      <alignment horizontal="left" vertical="center"/>
    </xf>
    <xf numFmtId="14" fontId="0" fillId="3" borderId="0" xfId="0" applyNumberFormat="1" applyFill="1" applyAlignment="1">
      <alignment horizontal="left" vertical="center"/>
    </xf>
    <xf numFmtId="0" fontId="46" fillId="3" borderId="0" xfId="35" applyFont="1" applyFill="1" applyAlignment="1">
      <alignment vertical="center"/>
    </xf>
    <xf numFmtId="165" fontId="48" fillId="3" borderId="0" xfId="35" applyNumberFormat="1" applyFont="1" applyFill="1" applyAlignment="1">
      <alignment horizontal="left" vertical="center"/>
    </xf>
    <xf numFmtId="0" fontId="42" fillId="0" borderId="0" xfId="1" applyAlignment="1">
      <alignment vertical="center"/>
    </xf>
    <xf numFmtId="0" fontId="47" fillId="0" borderId="0" xfId="3" applyAlignment="1">
      <alignment vertical="center"/>
    </xf>
    <xf numFmtId="0" fontId="47" fillId="3" borderId="0" xfId="3" applyFill="1" applyAlignment="1">
      <alignment vertical="center"/>
    </xf>
    <xf numFmtId="0" fontId="53" fillId="3" borderId="0" xfId="35" applyFont="1" applyFill="1" applyAlignment="1">
      <alignment vertical="center"/>
    </xf>
    <xf numFmtId="0" fontId="49" fillId="0" borderId="0" xfId="0" applyFont="1" applyAlignment="1">
      <alignment vertical="center"/>
    </xf>
    <xf numFmtId="0" fontId="12" fillId="0" borderId="13" xfId="16" applyFont="1" applyBorder="1" applyAlignment="1">
      <alignment vertical="center"/>
    </xf>
    <xf numFmtId="0" fontId="11" fillId="6" borderId="0" xfId="0" applyFont="1" applyFill="1"/>
    <xf numFmtId="0" fontId="64" fillId="0" borderId="2" xfId="33" applyFont="1" applyBorder="1" applyAlignment="1">
      <alignment vertical="center"/>
    </xf>
    <xf numFmtId="0" fontId="21" fillId="0" borderId="2" xfId="33" applyBorder="1" applyAlignment="1">
      <alignment vertical="center"/>
    </xf>
    <xf numFmtId="0" fontId="45" fillId="0" borderId="0" xfId="0" applyFont="1"/>
    <xf numFmtId="0" fontId="92" fillId="12" borderId="17" xfId="0" applyFont="1" applyFill="1" applyBorder="1"/>
    <xf numFmtId="0" fontId="92" fillId="12" borderId="12" xfId="0" applyFont="1" applyFill="1" applyBorder="1"/>
    <xf numFmtId="0" fontId="92" fillId="12" borderId="7" xfId="0" applyFont="1" applyFill="1" applyBorder="1"/>
    <xf numFmtId="0" fontId="93" fillId="12" borderId="14" xfId="0" applyFont="1" applyFill="1" applyBorder="1"/>
    <xf numFmtId="0" fontId="94" fillId="12" borderId="2" xfId="0" applyFont="1" applyFill="1" applyBorder="1"/>
    <xf numFmtId="0" fontId="94" fillId="0" borderId="2" xfId="0" applyFont="1" applyBorder="1"/>
    <xf numFmtId="0" fontId="94" fillId="12" borderId="19" xfId="0" applyFont="1" applyFill="1" applyBorder="1"/>
    <xf numFmtId="0" fontId="92" fillId="12" borderId="21" xfId="0" applyFont="1" applyFill="1" applyBorder="1"/>
    <xf numFmtId="0" fontId="92" fillId="12" borderId="24" xfId="0" applyFont="1" applyFill="1" applyBorder="1" applyAlignment="1">
      <alignment horizontal="left" indent="1"/>
    </xf>
    <xf numFmtId="0" fontId="92" fillId="13" borderId="0" xfId="0" applyFont="1" applyFill="1"/>
    <xf numFmtId="3" fontId="92" fillId="13" borderId="0" xfId="0" applyNumberFormat="1" applyFont="1" applyFill="1"/>
    <xf numFmtId="0" fontId="92" fillId="13" borderId="17" xfId="0" applyFont="1" applyFill="1" applyBorder="1"/>
    <xf numFmtId="10" fontId="92" fillId="13" borderId="17" xfId="14" applyNumberFormat="1" applyFont="1" applyFill="1" applyBorder="1"/>
    <xf numFmtId="3" fontId="92" fillId="13" borderId="21" xfId="0" applyNumberFormat="1" applyFont="1" applyFill="1" applyBorder="1"/>
    <xf numFmtId="0" fontId="92" fillId="13" borderId="21" xfId="0" applyFont="1" applyFill="1" applyBorder="1"/>
    <xf numFmtId="3" fontId="92" fillId="13" borderId="16" xfId="0" applyNumberFormat="1" applyFont="1" applyFill="1" applyBorder="1"/>
    <xf numFmtId="0" fontId="92" fillId="12" borderId="21" xfId="0" applyFont="1" applyFill="1" applyBorder="1" applyAlignment="1">
      <alignment horizontal="left" indent="1"/>
    </xf>
    <xf numFmtId="0" fontId="92" fillId="12" borderId="19" xfId="0" applyFont="1" applyFill="1" applyBorder="1"/>
    <xf numFmtId="0" fontId="92" fillId="12" borderId="14" xfId="0" applyFont="1" applyFill="1" applyBorder="1" applyAlignment="1">
      <alignment horizontal="left" indent="1"/>
    </xf>
    <xf numFmtId="0" fontId="92" fillId="13" borderId="18" xfId="0" applyFont="1" applyFill="1" applyBorder="1"/>
    <xf numFmtId="3" fontId="92" fillId="13" borderId="2" xfId="0" applyNumberFormat="1" applyFont="1" applyFill="1" applyBorder="1"/>
    <xf numFmtId="0" fontId="92" fillId="13" borderId="2" xfId="0" applyFont="1" applyFill="1" applyBorder="1"/>
    <xf numFmtId="3" fontId="92" fillId="13" borderId="19" xfId="0" applyNumberFormat="1" applyFont="1" applyFill="1" applyBorder="1"/>
    <xf numFmtId="0" fontId="10" fillId="0" borderId="0" xfId="36"/>
    <xf numFmtId="0" fontId="52" fillId="0" borderId="7" xfId="37" applyFont="1" applyBorder="1" applyAlignment="1">
      <alignment horizontal="left" vertical="center"/>
    </xf>
    <xf numFmtId="0" fontId="10" fillId="0" borderId="0" xfId="38"/>
    <xf numFmtId="9" fontId="82" fillId="0" borderId="0" xfId="14" applyFont="1" applyBorder="1"/>
    <xf numFmtId="9" fontId="82" fillId="0" borderId="0" xfId="14" applyFont="1"/>
    <xf numFmtId="9" fontId="96" fillId="0" borderId="2" xfId="14" applyFont="1" applyBorder="1"/>
    <xf numFmtId="0" fontId="95" fillId="0" borderId="2" xfId="0" applyFont="1" applyBorder="1" applyAlignment="1">
      <alignment horizontal="left" vertical="center"/>
    </xf>
    <xf numFmtId="0" fontId="95" fillId="0" borderId="2" xfId="7" applyFont="1" applyFill="1" applyBorder="1" applyAlignment="1">
      <alignment horizontal="left" vertical="center"/>
    </xf>
    <xf numFmtId="0" fontId="10" fillId="0" borderId="0" xfId="0" applyFont="1" applyAlignment="1">
      <alignment horizontal="left" vertical="center"/>
    </xf>
    <xf numFmtId="0" fontId="10" fillId="0" borderId="0" xfId="37"/>
    <xf numFmtId="2" fontId="0" fillId="0" borderId="0" xfId="14" applyNumberFormat="1" applyFont="1"/>
    <xf numFmtId="1" fontId="79" fillId="0" borderId="0" xfId="7" applyNumberFormat="1" applyFont="1" applyFill="1" applyBorder="1" applyAlignment="1">
      <alignment horizontal="left" vertical="center"/>
    </xf>
    <xf numFmtId="3" fontId="10" fillId="0" borderId="0" xfId="0" applyNumberFormat="1" applyFont="1" applyAlignment="1">
      <alignment horizontal="left" vertical="center"/>
    </xf>
    <xf numFmtId="2" fontId="52" fillId="0" borderId="2" xfId="0" applyNumberFormat="1" applyFont="1" applyBorder="1" applyAlignment="1">
      <alignment horizontal="left" vertical="center"/>
    </xf>
    <xf numFmtId="1" fontId="52" fillId="0" borderId="2" xfId="0" applyNumberFormat="1" applyFont="1" applyBorder="1" applyAlignment="1">
      <alignment horizontal="left" vertical="center"/>
    </xf>
    <xf numFmtId="1" fontId="52" fillId="0" borderId="6" xfId="0" applyNumberFormat="1" applyFont="1" applyBorder="1" applyAlignment="1">
      <alignment horizontal="left" vertical="center"/>
    </xf>
    <xf numFmtId="3" fontId="97" fillId="0" borderId="7" xfId="0" applyNumberFormat="1" applyFont="1" applyBorder="1" applyAlignment="1">
      <alignment horizontal="left" vertical="center"/>
    </xf>
    <xf numFmtId="0" fontId="88" fillId="0" borderId="0" xfId="0" applyFont="1"/>
    <xf numFmtId="170" fontId="0" fillId="0" borderId="0" xfId="0" applyNumberFormat="1"/>
    <xf numFmtId="3" fontId="92" fillId="13" borderId="24" xfId="0" applyNumberFormat="1" applyFont="1" applyFill="1" applyBorder="1"/>
    <xf numFmtId="3" fontId="92" fillId="13" borderId="14" xfId="0" applyNumberFormat="1" applyFont="1" applyFill="1" applyBorder="1"/>
    <xf numFmtId="10" fontId="92" fillId="13" borderId="24" xfId="14" applyNumberFormat="1" applyFont="1" applyFill="1" applyBorder="1"/>
    <xf numFmtId="10" fontId="92" fillId="13" borderId="14" xfId="14" applyNumberFormat="1" applyFont="1" applyFill="1" applyBorder="1"/>
    <xf numFmtId="10" fontId="0" fillId="0" borderId="0" xfId="0" applyNumberFormat="1"/>
    <xf numFmtId="0" fontId="98" fillId="0" borderId="0" xfId="0" applyFont="1" applyAlignment="1">
      <alignment vertical="center"/>
    </xf>
    <xf numFmtId="0" fontId="99" fillId="0" borderId="0" xfId="38" applyFont="1"/>
    <xf numFmtId="0" fontId="64" fillId="0" borderId="0" xfId="38" applyFont="1"/>
    <xf numFmtId="0" fontId="48" fillId="14" borderId="0" xfId="0" applyFont="1" applyFill="1" applyAlignment="1">
      <alignment horizontal="left" vertical="center"/>
    </xf>
    <xf numFmtId="0" fontId="48" fillId="15" borderId="0" xfId="0" applyFont="1" applyFill="1" applyAlignment="1">
      <alignment horizontal="left" vertical="center"/>
    </xf>
    <xf numFmtId="171" fontId="79" fillId="0" borderId="0" xfId="7" applyNumberFormat="1" applyFont="1" applyFill="1" applyBorder="1" applyAlignment="1">
      <alignment horizontal="left" vertical="center"/>
    </xf>
    <xf numFmtId="172" fontId="97" fillId="0" borderId="7" xfId="0" applyNumberFormat="1" applyFont="1" applyBorder="1" applyAlignment="1">
      <alignment horizontal="left" vertical="center"/>
    </xf>
    <xf numFmtId="172" fontId="48" fillId="0" borderId="0" xfId="0" applyNumberFormat="1" applyFont="1" applyAlignment="1">
      <alignment horizontal="left" vertical="center"/>
    </xf>
    <xf numFmtId="0" fontId="10" fillId="6" borderId="0" xfId="38" applyFill="1"/>
    <xf numFmtId="9" fontId="81" fillId="6" borderId="7" xfId="14" applyFont="1" applyFill="1" applyBorder="1"/>
    <xf numFmtId="9" fontId="82" fillId="6" borderId="7" xfId="14" applyFont="1" applyFill="1" applyBorder="1"/>
    <xf numFmtId="9" fontId="0" fillId="6" borderId="7" xfId="14" applyFont="1" applyFill="1" applyBorder="1"/>
    <xf numFmtId="9" fontId="0" fillId="6" borderId="0" xfId="14" applyFont="1" applyFill="1"/>
    <xf numFmtId="9" fontId="81" fillId="6" borderId="7" xfId="0" applyNumberFormat="1" applyFont="1" applyFill="1" applyBorder="1"/>
    <xf numFmtId="9" fontId="81" fillId="6" borderId="0" xfId="14" applyFont="1" applyFill="1" applyBorder="1"/>
    <xf numFmtId="9" fontId="82" fillId="6" borderId="0" xfId="14" applyFont="1" applyFill="1" applyBorder="1"/>
    <xf numFmtId="9" fontId="82" fillId="6" borderId="0" xfId="14" applyFont="1" applyFill="1"/>
    <xf numFmtId="9" fontId="81" fillId="6" borderId="0" xfId="0" applyNumberFormat="1" applyFont="1" applyFill="1"/>
    <xf numFmtId="9" fontId="81" fillId="6" borderId="0" xfId="14" applyFont="1" applyFill="1"/>
    <xf numFmtId="9" fontId="0" fillId="6" borderId="0" xfId="14" applyFont="1" applyFill="1" applyBorder="1"/>
    <xf numFmtId="0" fontId="10" fillId="0" borderId="9" xfId="0" applyFont="1" applyBorder="1" applyAlignment="1">
      <alignment horizontal="left" vertical="center"/>
    </xf>
    <xf numFmtId="0" fontId="52" fillId="0" borderId="27" xfId="37" applyFont="1" applyBorder="1" applyAlignment="1">
      <alignment horizontal="left" vertical="center"/>
    </xf>
    <xf numFmtId="0" fontId="10" fillId="0" borderId="2" xfId="39" applyBorder="1" applyAlignment="1">
      <alignment horizontal="left" vertical="center"/>
    </xf>
    <xf numFmtId="0" fontId="10" fillId="0" borderId="2" xfId="0" applyFont="1" applyBorder="1" applyAlignment="1">
      <alignment horizontal="left" vertical="center"/>
    </xf>
    <xf numFmtId="0" fontId="10" fillId="0" borderId="6" xfId="0" applyFont="1" applyBorder="1" applyAlignment="1">
      <alignment horizontal="left" vertical="center"/>
    </xf>
    <xf numFmtId="0" fontId="10" fillId="0" borderId="0" xfId="0" applyFont="1" applyAlignment="1">
      <alignment vertical="center"/>
    </xf>
    <xf numFmtId="0" fontId="48" fillId="3" borderId="0" xfId="0" applyFont="1" applyFill="1" applyAlignment="1">
      <alignment horizontal="left" vertical="center"/>
    </xf>
    <xf numFmtId="1" fontId="10" fillId="0" borderId="0" xfId="0" applyNumberFormat="1" applyFont="1" applyAlignment="1">
      <alignment horizontal="left" vertical="center"/>
    </xf>
    <xf numFmtId="0" fontId="10" fillId="0" borderId="0" xfId="39" applyAlignment="1">
      <alignment horizontal="left" vertical="center"/>
    </xf>
    <xf numFmtId="9" fontId="10" fillId="6" borderId="2" xfId="14" applyFont="1" applyFill="1" applyBorder="1" applyAlignment="1">
      <alignment horizontal="left" vertical="center"/>
    </xf>
    <xf numFmtId="9" fontId="10" fillId="6" borderId="0" xfId="14" applyFont="1" applyFill="1" applyAlignment="1">
      <alignment horizontal="left" vertical="center"/>
    </xf>
    <xf numFmtId="0" fontId="10" fillId="0" borderId="7" xfId="0" applyFont="1" applyBorder="1" applyAlignment="1">
      <alignment horizontal="left" vertical="center"/>
    </xf>
    <xf numFmtId="9" fontId="10" fillId="6" borderId="7" xfId="14" applyFont="1" applyFill="1" applyBorder="1" applyAlignment="1">
      <alignment horizontal="left" vertical="center"/>
    </xf>
    <xf numFmtId="9" fontId="48" fillId="0" borderId="7" xfId="0" applyNumberFormat="1" applyFont="1" applyBorder="1" applyAlignment="1">
      <alignment horizontal="left" vertical="center"/>
    </xf>
    <xf numFmtId="9" fontId="10" fillId="6" borderId="0" xfId="14" applyFont="1" applyFill="1" applyBorder="1" applyAlignment="1">
      <alignment horizontal="left" vertical="center"/>
    </xf>
    <xf numFmtId="0" fontId="10" fillId="0" borderId="2" xfId="0" applyFont="1" applyBorder="1" applyAlignment="1">
      <alignment vertical="center"/>
    </xf>
    <xf numFmtId="0" fontId="10" fillId="0" borderId="7" xfId="0" applyFont="1" applyBorder="1" applyAlignment="1">
      <alignment vertical="center"/>
    </xf>
    <xf numFmtId="0" fontId="10" fillId="0" borderId="0" xfId="0" applyFont="1"/>
    <xf numFmtId="9" fontId="10" fillId="0" borderId="2" xfId="0" applyNumberFormat="1" applyFont="1" applyBorder="1" applyAlignment="1">
      <alignment horizontal="left" vertical="center"/>
    </xf>
    <xf numFmtId="9" fontId="10" fillId="0" borderId="6" xfId="0" applyNumberFormat="1" applyFont="1" applyBorder="1" applyAlignment="1">
      <alignment horizontal="left" vertical="center"/>
    </xf>
    <xf numFmtId="0" fontId="85" fillId="2" borderId="0" xfId="0" applyFont="1" applyFill="1" applyAlignment="1">
      <alignment horizontal="left" vertical="center"/>
    </xf>
    <xf numFmtId="165" fontId="86" fillId="6" borderId="0" xfId="37" applyNumberFormat="1" applyFont="1" applyFill="1" applyAlignment="1">
      <alignment horizontal="left" vertical="center"/>
    </xf>
    <xf numFmtId="165" fontId="86" fillId="6" borderId="0" xfId="40" applyNumberFormat="1" applyFont="1" applyFill="1" applyAlignment="1">
      <alignment horizontal="left" vertical="center"/>
    </xf>
    <xf numFmtId="0" fontId="85" fillId="0" borderId="0" xfId="39" applyFont="1" applyAlignment="1">
      <alignment horizontal="left" vertical="center"/>
    </xf>
    <xf numFmtId="0" fontId="10" fillId="0" borderId="13" xfId="41" applyBorder="1" applyAlignment="1">
      <alignment vertical="center" wrapText="1"/>
    </xf>
    <xf numFmtId="0" fontId="85" fillId="2" borderId="2" xfId="0" applyFont="1" applyFill="1" applyBorder="1" applyAlignment="1">
      <alignment horizontal="left" vertical="center"/>
    </xf>
    <xf numFmtId="165" fontId="86" fillId="6" borderId="2" xfId="37" applyNumberFormat="1" applyFont="1" applyFill="1" applyBorder="1" applyAlignment="1">
      <alignment horizontal="left" vertical="center"/>
    </xf>
    <xf numFmtId="165" fontId="86" fillId="6" borderId="2" xfId="40" applyNumberFormat="1" applyFont="1" applyFill="1" applyBorder="1" applyAlignment="1">
      <alignment horizontal="left" vertical="center"/>
    </xf>
    <xf numFmtId="0" fontId="55" fillId="0" borderId="0" xfId="31"/>
    <xf numFmtId="167" fontId="10" fillId="0" borderId="0" xfId="39" applyNumberFormat="1" applyAlignment="1">
      <alignment horizontal="left" vertical="center"/>
    </xf>
    <xf numFmtId="0" fontId="48" fillId="10" borderId="0" xfId="0" applyFont="1" applyFill="1" applyAlignment="1">
      <alignment horizontal="left" vertical="center"/>
    </xf>
    <xf numFmtId="0" fontId="54" fillId="0" borderId="2" xfId="0" applyFont="1" applyBorder="1" applyAlignment="1">
      <alignment horizontal="left" vertical="center"/>
    </xf>
    <xf numFmtId="0" fontId="55" fillId="0" borderId="2" xfId="31" applyBorder="1"/>
    <xf numFmtId="3" fontId="10" fillId="0" borderId="0" xfId="14" applyNumberFormat="1" applyFont="1" applyBorder="1" applyAlignment="1">
      <alignment horizontal="left" vertical="center"/>
    </xf>
    <xf numFmtId="0" fontId="48" fillId="0" borderId="0" xfId="37" applyFont="1" applyAlignment="1">
      <alignment horizontal="left" vertical="center"/>
    </xf>
    <xf numFmtId="0" fontId="52" fillId="0" borderId="0" xfId="37" applyFont="1" applyAlignment="1">
      <alignment horizontal="left" vertical="center"/>
    </xf>
    <xf numFmtId="0" fontId="10" fillId="6" borderId="0" xfId="0" applyFont="1" applyFill="1" applyAlignment="1">
      <alignment horizontal="left" vertical="center"/>
    </xf>
    <xf numFmtId="0" fontId="10" fillId="6" borderId="2" xfId="0" applyFont="1" applyFill="1" applyBorder="1" applyAlignment="1">
      <alignment horizontal="left" vertical="center"/>
    </xf>
    <xf numFmtId="0" fontId="54" fillId="16" borderId="0" xfId="0" applyFont="1" applyFill="1" applyAlignment="1">
      <alignment horizontal="left" vertical="center"/>
    </xf>
    <xf numFmtId="0" fontId="85" fillId="0" borderId="2" xfId="39" applyFont="1" applyBorder="1" applyAlignment="1">
      <alignment horizontal="left" vertical="center"/>
    </xf>
    <xf numFmtId="0" fontId="48" fillId="0" borderId="15" xfId="0" applyFont="1" applyBorder="1" applyAlignment="1">
      <alignment horizontal="left" vertical="center"/>
    </xf>
    <xf numFmtId="0" fontId="10" fillId="0" borderId="13" xfId="41" applyBorder="1" applyAlignment="1">
      <alignment vertical="center"/>
    </xf>
    <xf numFmtId="0" fontId="48" fillId="4" borderId="15" xfId="0" applyFont="1" applyFill="1" applyBorder="1" applyAlignment="1">
      <alignment horizontal="left" vertical="center"/>
    </xf>
    <xf numFmtId="0" fontId="10" fillId="0" borderId="13" xfId="16" applyFont="1" applyBorder="1" applyAlignment="1">
      <alignment vertical="center"/>
    </xf>
    <xf numFmtId="9" fontId="20" fillId="0" borderId="7" xfId="14" applyFont="1" applyFill="1" applyBorder="1" applyAlignment="1">
      <alignment horizontal="left" vertical="center"/>
    </xf>
    <xf numFmtId="9" fontId="20" fillId="0" borderId="0" xfId="14" applyFont="1" applyFill="1" applyBorder="1" applyAlignment="1">
      <alignment horizontal="left" vertical="center"/>
    </xf>
    <xf numFmtId="9" fontId="20" fillId="0" borderId="2" xfId="14" applyFont="1" applyFill="1" applyBorder="1" applyAlignment="1">
      <alignment horizontal="left" vertical="center"/>
    </xf>
    <xf numFmtId="0" fontId="10" fillId="0" borderId="0" xfId="42" applyAlignment="1">
      <alignment vertical="center"/>
    </xf>
    <xf numFmtId="0" fontId="10" fillId="0" borderId="0" xfId="42" applyAlignment="1">
      <alignment horizontal="left" vertical="center"/>
    </xf>
    <xf numFmtId="0" fontId="10" fillId="0" borderId="0" xfId="39"/>
    <xf numFmtId="0" fontId="49" fillId="0" borderId="0" xfId="42" applyFont="1" applyAlignment="1">
      <alignment horizontal="left" vertical="center"/>
    </xf>
    <xf numFmtId="0" fontId="83" fillId="0" borderId="0" xfId="42" applyFont="1" applyAlignment="1">
      <alignment horizontal="left" vertical="center"/>
    </xf>
    <xf numFmtId="0" fontId="43" fillId="0" borderId="0" xfId="42" applyFont="1" applyAlignment="1">
      <alignment horizontal="left" vertical="center"/>
    </xf>
    <xf numFmtId="0" fontId="69" fillId="0" borderId="0" xfId="42" applyFont="1" applyAlignment="1">
      <alignment horizontal="left" vertical="center"/>
    </xf>
    <xf numFmtId="0" fontId="100" fillId="0" borderId="0" xfId="42" applyFont="1" applyAlignment="1">
      <alignment horizontal="left" vertical="center"/>
    </xf>
    <xf numFmtId="0" fontId="10" fillId="0" borderId="2" xfId="42" applyBorder="1" applyAlignment="1">
      <alignment horizontal="left" vertical="center"/>
    </xf>
    <xf numFmtId="0" fontId="64" fillId="0" borderId="7" xfId="42" applyFont="1" applyBorder="1" applyAlignment="1">
      <alignment vertical="center" wrapText="1"/>
    </xf>
    <xf numFmtId="0" fontId="64" fillId="0" borderId="7" xfId="42" applyFont="1" applyBorder="1" applyAlignment="1">
      <alignment vertical="center"/>
    </xf>
    <xf numFmtId="0" fontId="64" fillId="0" borderId="7" xfId="42" applyFont="1" applyBorder="1" applyAlignment="1">
      <alignment horizontal="left" vertical="center" wrapText="1"/>
    </xf>
    <xf numFmtId="0" fontId="64" fillId="0" borderId="0" xfId="42" applyFont="1" applyAlignment="1">
      <alignment horizontal="left" vertical="center"/>
    </xf>
    <xf numFmtId="0" fontId="10" fillId="0" borderId="6" xfId="42" applyBorder="1" applyAlignment="1">
      <alignment horizontal="left" vertical="center"/>
    </xf>
    <xf numFmtId="0" fontId="64" fillId="0" borderId="0" xfId="42" applyFont="1" applyAlignment="1">
      <alignment horizontal="left" vertical="center" wrapText="1"/>
    </xf>
    <xf numFmtId="0" fontId="52" fillId="0" borderId="7" xfId="39" applyFont="1" applyBorder="1" applyAlignment="1">
      <alignment horizontal="left" vertical="center"/>
    </xf>
    <xf numFmtId="0" fontId="10" fillId="0" borderId="9" xfId="42" applyBorder="1" applyAlignment="1">
      <alignment horizontal="left" vertical="center"/>
    </xf>
    <xf numFmtId="0" fontId="64" fillId="0" borderId="9" xfId="42" applyFont="1" applyBorder="1" applyAlignment="1">
      <alignment horizontal="left" vertical="center" wrapText="1"/>
    </xf>
    <xf numFmtId="0" fontId="52" fillId="0" borderId="27" xfId="39" applyFont="1" applyBorder="1" applyAlignment="1">
      <alignment horizontal="left" vertical="center"/>
    </xf>
    <xf numFmtId="0" fontId="60" fillId="6" borderId="0" xfId="42" applyFont="1" applyFill="1" applyAlignment="1">
      <alignment horizontal="left" vertical="center"/>
    </xf>
    <xf numFmtId="0" fontId="48" fillId="6" borderId="0" xfId="42" applyFont="1" applyFill="1" applyAlignment="1">
      <alignment horizontal="left" vertical="center"/>
    </xf>
    <xf numFmtId="0" fontId="48" fillId="0" borderId="0" xfId="42" applyFont="1" applyAlignment="1">
      <alignment horizontal="left" vertical="center"/>
    </xf>
    <xf numFmtId="0" fontId="10" fillId="6" borderId="0" xfId="42" applyFill="1" applyAlignment="1">
      <alignment vertical="center"/>
    </xf>
    <xf numFmtId="0" fontId="10" fillId="0" borderId="0" xfId="39" quotePrefix="1"/>
    <xf numFmtId="0" fontId="10" fillId="0" borderId="7" xfId="42" applyBorder="1" applyAlignment="1">
      <alignment vertical="center"/>
    </xf>
    <xf numFmtId="0" fontId="10" fillId="0" borderId="7" xfId="42" applyBorder="1" applyAlignment="1">
      <alignment horizontal="left" vertical="center"/>
    </xf>
    <xf numFmtId="0" fontId="60" fillId="6" borderId="7" xfId="42" applyFont="1" applyFill="1" applyBorder="1" applyAlignment="1">
      <alignment horizontal="left" vertical="center"/>
    </xf>
    <xf numFmtId="0" fontId="48" fillId="6" borderId="7" xfId="42" applyFont="1" applyFill="1" applyBorder="1" applyAlignment="1">
      <alignment horizontal="left" vertical="center"/>
    </xf>
    <xf numFmtId="0" fontId="48" fillId="0" borderId="7" xfId="42" applyFont="1" applyBorder="1" applyAlignment="1">
      <alignment horizontal="left" vertical="center"/>
    </xf>
    <xf numFmtId="9" fontId="10" fillId="6" borderId="17" xfId="14" applyFont="1" applyFill="1" applyBorder="1" applyAlignment="1">
      <alignment horizontal="left" vertical="center"/>
    </xf>
    <xf numFmtId="9" fontId="10" fillId="6" borderId="21" xfId="14" applyFont="1" applyFill="1" applyBorder="1" applyAlignment="1">
      <alignment horizontal="left" vertical="center"/>
    </xf>
    <xf numFmtId="0" fontId="48" fillId="6" borderId="0" xfId="42" applyFont="1" applyFill="1" applyAlignment="1">
      <alignment vertical="center"/>
    </xf>
    <xf numFmtId="0" fontId="10" fillId="0" borderId="2" xfId="42" applyBorder="1" applyAlignment="1">
      <alignment vertical="center"/>
    </xf>
    <xf numFmtId="0" fontId="60" fillId="6" borderId="2" xfId="42" applyFont="1" applyFill="1" applyBorder="1" applyAlignment="1">
      <alignment horizontal="left" vertical="center"/>
    </xf>
    <xf numFmtId="0" fontId="48" fillId="0" borderId="2" xfId="42" applyFont="1" applyBorder="1" applyAlignment="1">
      <alignment horizontal="left" vertical="center"/>
    </xf>
    <xf numFmtId="1" fontId="48" fillId="6" borderId="7" xfId="42" applyNumberFormat="1" applyFont="1" applyFill="1" applyBorder="1" applyAlignment="1">
      <alignment horizontal="left" vertical="center"/>
    </xf>
    <xf numFmtId="1" fontId="48" fillId="6" borderId="0" xfId="42" applyNumberFormat="1" applyFont="1" applyFill="1" applyAlignment="1">
      <alignment horizontal="left" vertical="center"/>
    </xf>
    <xf numFmtId="0" fontId="48" fillId="6" borderId="2" xfId="42" applyFont="1" applyFill="1" applyBorder="1" applyAlignment="1">
      <alignment horizontal="left" vertical="center"/>
    </xf>
    <xf numFmtId="2" fontId="48" fillId="0" borderId="0" xfId="42" applyNumberFormat="1" applyFont="1" applyAlignment="1">
      <alignment horizontal="left" vertical="center"/>
    </xf>
    <xf numFmtId="0" fontId="60" fillId="0" borderId="0" xfId="42" applyFont="1" applyAlignment="1">
      <alignment horizontal="left" vertical="center"/>
    </xf>
    <xf numFmtId="0" fontId="60" fillId="0" borderId="7" xfId="42" applyFont="1" applyBorder="1" applyAlignment="1">
      <alignment horizontal="left" vertical="center"/>
    </xf>
    <xf numFmtId="0" fontId="64" fillId="0" borderId="6" xfId="42" applyFont="1" applyBorder="1" applyAlignment="1">
      <alignment horizontal="left" vertical="center"/>
    </xf>
    <xf numFmtId="0" fontId="10" fillId="0" borderId="6" xfId="42" applyBorder="1" applyAlignment="1">
      <alignment vertical="center"/>
    </xf>
    <xf numFmtId="0" fontId="10" fillId="0" borderId="9" xfId="42" applyBorder="1" applyAlignment="1">
      <alignment horizontal="left" vertical="center" wrapText="1"/>
    </xf>
    <xf numFmtId="0" fontId="48" fillId="0" borderId="9" xfId="39" applyFont="1" applyBorder="1" applyAlignment="1">
      <alignment horizontal="left" vertical="center"/>
    </xf>
    <xf numFmtId="0" fontId="10" fillId="0" borderId="23" xfId="42" applyBorder="1" applyAlignment="1">
      <alignment horizontal="left" vertical="center"/>
    </xf>
    <xf numFmtId="3" fontId="48" fillId="0" borderId="0" xfId="42" applyNumberFormat="1" applyFont="1" applyAlignment="1">
      <alignment horizontal="left" vertical="center"/>
    </xf>
    <xf numFmtId="0" fontId="10" fillId="0" borderId="24" xfId="42" applyBorder="1" applyAlignment="1">
      <alignment horizontal="left" vertical="center"/>
    </xf>
    <xf numFmtId="0" fontId="85" fillId="0" borderId="0" xfId="42" applyFont="1" applyAlignment="1">
      <alignment vertical="center"/>
    </xf>
    <xf numFmtId="0" fontId="10" fillId="0" borderId="14" xfId="42" applyBorder="1" applyAlignment="1">
      <alignment horizontal="left" vertical="center"/>
    </xf>
    <xf numFmtId="2" fontId="10" fillId="0" borderId="7" xfId="14" applyNumberFormat="1" applyFont="1" applyFill="1" applyBorder="1" applyAlignment="1">
      <alignment horizontal="left" vertical="center"/>
    </xf>
    <xf numFmtId="3" fontId="10" fillId="6" borderId="17" xfId="14" applyNumberFormat="1" applyFont="1" applyFill="1" applyBorder="1" applyAlignment="1">
      <alignment horizontal="left" vertical="center"/>
    </xf>
    <xf numFmtId="2" fontId="10" fillId="0" borderId="0" xfId="14" applyNumberFormat="1" applyFont="1" applyFill="1" applyBorder="1" applyAlignment="1">
      <alignment horizontal="left" vertical="center"/>
    </xf>
    <xf numFmtId="3" fontId="10" fillId="6" borderId="21" xfId="14" applyNumberFormat="1" applyFont="1" applyFill="1" applyBorder="1" applyAlignment="1">
      <alignment horizontal="left" vertical="center"/>
    </xf>
    <xf numFmtId="3" fontId="10" fillId="6" borderId="0" xfId="14" applyNumberFormat="1" applyFont="1" applyFill="1" applyBorder="1" applyAlignment="1">
      <alignment horizontal="left" vertical="center"/>
    </xf>
    <xf numFmtId="3" fontId="48" fillId="0" borderId="2" xfId="42" applyNumberFormat="1" applyFont="1" applyBorder="1" applyAlignment="1">
      <alignment horizontal="left" vertical="center"/>
    </xf>
    <xf numFmtId="0" fontId="10" fillId="0" borderId="12" xfId="42" applyBorder="1" applyAlignment="1">
      <alignment horizontal="left" vertical="center"/>
    </xf>
    <xf numFmtId="0" fontId="86" fillId="0" borderId="6" xfId="39" applyFont="1" applyBorder="1" applyAlignment="1">
      <alignment horizontal="left" vertical="center"/>
    </xf>
    <xf numFmtId="2" fontId="86" fillId="6" borderId="6" xfId="39" applyNumberFormat="1" applyFont="1" applyFill="1" applyBorder="1" applyAlignment="1">
      <alignment horizontal="left" vertical="center"/>
    </xf>
    <xf numFmtId="1" fontId="10" fillId="0" borderId="0" xfId="42" applyNumberFormat="1" applyAlignment="1">
      <alignment horizontal="left" vertical="center"/>
    </xf>
    <xf numFmtId="1" fontId="60" fillId="6" borderId="2" xfId="0" applyNumberFormat="1" applyFont="1" applyFill="1" applyBorder="1" applyAlignment="1">
      <alignment horizontal="left" vertical="center"/>
    </xf>
    <xf numFmtId="1" fontId="48" fillId="6" borderId="0" xfId="0" applyNumberFormat="1" applyFont="1" applyFill="1" applyAlignment="1">
      <alignment horizontal="left" vertical="center"/>
    </xf>
    <xf numFmtId="173" fontId="96" fillId="0" borderId="2" xfId="14" applyNumberFormat="1" applyFont="1" applyBorder="1"/>
    <xf numFmtId="43" fontId="0" fillId="0" borderId="0" xfId="30" applyFont="1" applyBorder="1" applyAlignment="1">
      <alignment horizontal="left" vertical="center"/>
    </xf>
    <xf numFmtId="3" fontId="48" fillId="0" borderId="0" xfId="7" applyNumberFormat="1" applyFont="1" applyFill="1" applyBorder="1" applyAlignment="1">
      <alignment horizontal="left" vertical="center"/>
    </xf>
    <xf numFmtId="3" fontId="52" fillId="0" borderId="2" xfId="7" applyNumberFormat="1" applyFont="1" applyFill="1" applyBorder="1" applyAlignment="1">
      <alignment horizontal="left" vertical="center"/>
    </xf>
    <xf numFmtId="1" fontId="52" fillId="0" borderId="2" xfId="30" applyNumberFormat="1" applyFont="1" applyFill="1" applyBorder="1" applyAlignment="1">
      <alignment horizontal="left" vertical="center"/>
    </xf>
    <xf numFmtId="169" fontId="48" fillId="0" borderId="0" xfId="0" applyNumberFormat="1" applyFont="1" applyAlignment="1">
      <alignment horizontal="left" vertical="center"/>
    </xf>
    <xf numFmtId="9" fontId="48" fillId="0" borderId="16" xfId="14" applyFont="1" applyFill="1" applyBorder="1" applyAlignment="1">
      <alignment horizontal="left" vertical="center"/>
    </xf>
    <xf numFmtId="9" fontId="48" fillId="6" borderId="2" xfId="14" applyFont="1" applyFill="1" applyBorder="1" applyAlignment="1">
      <alignment horizontal="left" vertical="center"/>
    </xf>
    <xf numFmtId="9" fontId="48" fillId="0" borderId="20" xfId="14" applyFont="1" applyFill="1" applyBorder="1" applyAlignment="1">
      <alignment horizontal="left" vertical="center"/>
    </xf>
    <xf numFmtId="3" fontId="48" fillId="0" borderId="18" xfId="42" applyNumberFormat="1" applyFont="1" applyBorder="1" applyAlignment="1">
      <alignment horizontal="left" vertical="center"/>
    </xf>
    <xf numFmtId="174" fontId="79" fillId="0" borderId="0" xfId="7" applyNumberFormat="1" applyFont="1" applyFill="1" applyBorder="1" applyAlignment="1">
      <alignment horizontal="left" vertical="center"/>
    </xf>
    <xf numFmtId="0" fontId="9" fillId="0" borderId="13" xfId="16" applyFont="1" applyBorder="1" applyAlignment="1">
      <alignment vertical="center"/>
    </xf>
    <xf numFmtId="0" fontId="8" fillId="0" borderId="13" xfId="16" applyFont="1" applyBorder="1" applyAlignment="1">
      <alignment vertical="center"/>
    </xf>
    <xf numFmtId="0" fontId="6" fillId="0" borderId="0" xfId="39" applyFont="1" applyAlignment="1">
      <alignment horizontal="left" vertical="center"/>
    </xf>
    <xf numFmtId="0" fontId="6" fillId="0" borderId="0" xfId="0" applyFont="1" applyAlignment="1">
      <alignment horizontal="left" vertical="center"/>
    </xf>
    <xf numFmtId="9" fontId="60" fillId="6" borderId="0" xfId="14" applyFont="1" applyFill="1" applyAlignment="1">
      <alignment horizontal="left" vertical="center"/>
    </xf>
    <xf numFmtId="0" fontId="6" fillId="4" borderId="0" xfId="27" applyFont="1" applyFill="1" applyAlignment="1">
      <alignment horizontal="left" vertical="center"/>
    </xf>
    <xf numFmtId="167" fontId="48" fillId="0" borderId="7" xfId="14" applyNumberFormat="1" applyFont="1" applyFill="1" applyBorder="1" applyAlignment="1">
      <alignment horizontal="left" vertical="center"/>
    </xf>
    <xf numFmtId="175" fontId="48" fillId="0" borderId="6" xfId="0" applyNumberFormat="1" applyFont="1" applyBorder="1" applyAlignment="1">
      <alignment horizontal="left" vertical="center"/>
    </xf>
    <xf numFmtId="175" fontId="86" fillId="6" borderId="0" xfId="37" applyNumberFormat="1" applyFont="1" applyFill="1" applyAlignment="1">
      <alignment horizontal="left" vertical="center"/>
    </xf>
    <xf numFmtId="0" fontId="5" fillId="0" borderId="0" xfId="0" applyFont="1" applyAlignment="1">
      <alignment horizontal="left" vertical="center"/>
    </xf>
    <xf numFmtId="0" fontId="4" fillId="0" borderId="0" xfId="42" applyFont="1" applyAlignment="1">
      <alignment horizontal="left" vertical="center"/>
    </xf>
    <xf numFmtId="3" fontId="60" fillId="6" borderId="21" xfId="14" applyNumberFormat="1" applyFont="1" applyFill="1" applyBorder="1" applyAlignment="1">
      <alignment horizontal="left" vertical="center"/>
    </xf>
    <xf numFmtId="14" fontId="48" fillId="3" borderId="0" xfId="35" applyNumberFormat="1" applyFont="1" applyFill="1" applyAlignment="1">
      <alignment horizontal="left" vertical="center"/>
    </xf>
    <xf numFmtId="176" fontId="96" fillId="0" borderId="2" xfId="14" applyNumberFormat="1" applyFont="1" applyBorder="1"/>
    <xf numFmtId="0" fontId="3" fillId="0" borderId="0" xfId="33" applyFont="1" applyAlignment="1">
      <alignment vertical="center"/>
    </xf>
    <xf numFmtId="0" fontId="2" fillId="0" borderId="0" xfId="42" applyFont="1" applyAlignment="1">
      <alignment horizontal="left" vertical="center"/>
    </xf>
    <xf numFmtId="49" fontId="2" fillId="4" borderId="0" xfId="27" applyNumberFormat="1" applyFont="1" applyFill="1" applyAlignment="1">
      <alignment horizontal="left" vertical="center"/>
    </xf>
    <xf numFmtId="0" fontId="40" fillId="0" borderId="13" xfId="16" applyBorder="1" applyAlignment="1">
      <alignment vertical="center"/>
    </xf>
    <xf numFmtId="0" fontId="64" fillId="4" borderId="13" xfId="16" applyFont="1" applyFill="1" applyBorder="1" applyAlignment="1">
      <alignment horizontal="left" vertical="center"/>
    </xf>
    <xf numFmtId="0" fontId="17" fillId="0" borderId="13" xfId="16" applyFont="1" applyBorder="1" applyAlignment="1">
      <alignment vertical="center"/>
    </xf>
    <xf numFmtId="0" fontId="40" fillId="0" borderId="10" xfId="16" applyBorder="1" applyAlignment="1">
      <alignment vertical="center"/>
    </xf>
    <xf numFmtId="0" fontId="40" fillId="0" borderId="11" xfId="16" applyBorder="1" applyAlignment="1">
      <alignment vertical="center"/>
    </xf>
    <xf numFmtId="0" fontId="0" fillId="0" borderId="10" xfId="19" applyFont="1" applyBorder="1" applyAlignment="1">
      <alignment vertical="center"/>
    </xf>
    <xf numFmtId="0" fontId="0" fillId="0" borderId="6" xfId="19" applyFont="1" applyBorder="1" applyAlignment="1">
      <alignment vertical="center"/>
    </xf>
    <xf numFmtId="0" fontId="0" fillId="0" borderId="11" xfId="19" applyFont="1" applyBorder="1" applyAlignment="1">
      <alignment vertical="center"/>
    </xf>
    <xf numFmtId="0" fontId="40" fillId="9" borderId="10" xfId="16" applyFill="1" applyBorder="1" applyAlignment="1">
      <alignment vertical="center"/>
    </xf>
    <xf numFmtId="0" fontId="40" fillId="9" borderId="6" xfId="16" applyFill="1" applyBorder="1" applyAlignment="1">
      <alignment vertical="center"/>
    </xf>
    <xf numFmtId="0" fontId="40" fillId="9" borderId="11" xfId="16" applyFill="1" applyBorder="1" applyAlignment="1">
      <alignment vertical="center"/>
    </xf>
    <xf numFmtId="0" fontId="10" fillId="0" borderId="13" xfId="41" applyBorder="1" applyAlignment="1">
      <alignment vertical="center"/>
    </xf>
    <xf numFmtId="0" fontId="72" fillId="7" borderId="6" xfId="16" applyFont="1" applyFill="1" applyBorder="1" applyAlignment="1">
      <alignment vertical="center"/>
    </xf>
    <xf numFmtId="0" fontId="72" fillId="7" borderId="11" xfId="16" applyFont="1" applyFill="1" applyBorder="1" applyAlignment="1">
      <alignment vertical="center"/>
    </xf>
    <xf numFmtId="0" fontId="40" fillId="0" borderId="6" xfId="16" applyBorder="1" applyAlignment="1">
      <alignment vertical="center"/>
    </xf>
    <xf numFmtId="0" fontId="64" fillId="4" borderId="10" xfId="16" applyFont="1" applyFill="1" applyBorder="1" applyAlignment="1">
      <alignment horizontal="left" vertical="center"/>
    </xf>
    <xf numFmtId="0" fontId="64" fillId="4" borderId="6" xfId="16" applyFont="1" applyFill="1" applyBorder="1" applyAlignment="1">
      <alignment horizontal="left" vertical="center"/>
    </xf>
    <xf numFmtId="0" fontId="64" fillId="4" borderId="11" xfId="16" applyFont="1" applyFill="1" applyBorder="1" applyAlignment="1">
      <alignment horizontal="left" vertical="center"/>
    </xf>
    <xf numFmtId="0" fontId="75" fillId="0" borderId="0" xfId="0" applyFont="1" applyAlignment="1">
      <alignment vertical="center" wrapText="1"/>
    </xf>
    <xf numFmtId="0" fontId="75" fillId="0" borderId="8" xfId="0" applyFont="1" applyBorder="1" applyAlignment="1">
      <alignment vertical="center" wrapText="1"/>
    </xf>
    <xf numFmtId="0" fontId="76" fillId="0" borderId="0" xfId="0" applyFont="1" applyAlignment="1">
      <alignment vertical="center" wrapText="1"/>
    </xf>
    <xf numFmtId="0" fontId="0" fillId="0" borderId="0" xfId="0" applyAlignment="1">
      <alignment horizontal="left" wrapText="1"/>
    </xf>
    <xf numFmtId="0" fontId="90" fillId="7" borderId="25" xfId="34" applyFont="1" applyFill="1" applyBorder="1" applyAlignment="1">
      <alignment horizontal="center" vertical="center"/>
    </xf>
    <xf numFmtId="0" fontId="90" fillId="7" borderId="1" xfId="34" applyFont="1" applyFill="1" applyBorder="1" applyAlignment="1">
      <alignment horizontal="center" vertical="center"/>
    </xf>
    <xf numFmtId="0" fontId="90" fillId="7" borderId="26" xfId="34" applyFont="1" applyFill="1" applyBorder="1" applyAlignment="1">
      <alignment horizontal="center" vertical="center"/>
    </xf>
    <xf numFmtId="0" fontId="48" fillId="3" borderId="0" xfId="35" applyFont="1" applyFill="1" applyAlignment="1">
      <alignment vertical="center"/>
    </xf>
    <xf numFmtId="0" fontId="21" fillId="0" borderId="0" xfId="33" applyAlignment="1">
      <alignment vertical="center" wrapText="1"/>
    </xf>
    <xf numFmtId="0" fontId="3" fillId="0" borderId="0" xfId="33" applyFont="1" applyAlignment="1">
      <alignment vertical="center" wrapText="1"/>
    </xf>
    <xf numFmtId="0" fontId="21" fillId="0" borderId="2" xfId="33" applyBorder="1" applyAlignment="1">
      <alignment vertical="center" wrapText="1"/>
    </xf>
    <xf numFmtId="0" fontId="91" fillId="11" borderId="20" xfId="0" applyFont="1" applyFill="1" applyBorder="1" applyAlignment="1">
      <alignment horizontal="left" vertical="center"/>
    </xf>
    <xf numFmtId="0" fontId="91" fillId="11" borderId="7" xfId="0" applyFont="1" applyFill="1" applyBorder="1" applyAlignment="1">
      <alignment horizontal="left" vertical="center"/>
    </xf>
    <xf numFmtId="0" fontId="91" fillId="11" borderId="17" xfId="0" applyFont="1" applyFill="1" applyBorder="1" applyAlignment="1">
      <alignment horizontal="left" vertical="center"/>
    </xf>
    <xf numFmtId="0" fontId="91" fillId="11" borderId="18" xfId="0" applyFont="1" applyFill="1" applyBorder="1" applyAlignment="1">
      <alignment horizontal="left" vertical="center"/>
    </xf>
    <xf numFmtId="0" fontId="91" fillId="11" borderId="2" xfId="0" applyFont="1" applyFill="1" applyBorder="1" applyAlignment="1">
      <alignment horizontal="left" vertical="center"/>
    </xf>
    <xf numFmtId="0" fontId="91" fillId="11" borderId="19" xfId="0" applyFont="1" applyFill="1" applyBorder="1" applyAlignment="1">
      <alignment horizontal="left" vertical="center"/>
    </xf>
    <xf numFmtId="0" fontId="64" fillId="4" borderId="6" xfId="27" applyFont="1" applyFill="1" applyBorder="1" applyAlignment="1">
      <alignment horizontal="left" vertical="center" wrapText="1"/>
    </xf>
    <xf numFmtId="0" fontId="64" fillId="4" borderId="0" xfId="27" applyFont="1" applyFill="1" applyAlignment="1">
      <alignment horizontal="left" vertical="center" wrapText="1"/>
    </xf>
  </cellXfs>
  <cellStyles count="44">
    <cellStyle name="Calculation" xfId="7" builtinId="22"/>
    <cellStyle name="Comma" xfId="30" builtinId="3"/>
    <cellStyle name="Comma 2" xfId="8" xr:uid="{00000000-0005-0000-0000-000001000000}"/>
    <cellStyle name="Comma 2 2" xfId="26" xr:uid="{C59DE54E-86C7-43F6-BD5B-7C72A045EB56}"/>
    <cellStyle name="Comma 3" xfId="13" xr:uid="{00000000-0005-0000-0000-000002000000}"/>
    <cellStyle name="Comma 4" xfId="21" xr:uid="{B52920D1-A68F-4255-AADA-141716329297}"/>
    <cellStyle name="Hyperlink" xfId="3" builtinId="8"/>
    <cellStyle name="Normal" xfId="0" builtinId="0"/>
    <cellStyle name="Normal 10 2" xfId="6" xr:uid="{00000000-0005-0000-0000-000005000000}"/>
    <cellStyle name="Normal 2" xfId="1" xr:uid="{00000000-0005-0000-0000-000006000000}"/>
    <cellStyle name="Normal 2 10" xfId="35" xr:uid="{2C2A7369-1838-4550-8FE4-B2BE2C48F592}"/>
    <cellStyle name="Normal 2 10 2" xfId="20" xr:uid="{D0D4795B-909D-4D24-A771-F3CEDDB52C2C}"/>
    <cellStyle name="Normal 2 10 2 2" xfId="39" xr:uid="{7CD57E55-AC8E-4EDE-AEDF-58E46EFA4FC4}"/>
    <cellStyle name="Normal 2 2" xfId="24" xr:uid="{554B598D-6B3A-451C-8D3A-D113B7F26CA3}"/>
    <cellStyle name="Normal 2 3" xfId="32" xr:uid="{D61C0E38-9446-4CEA-B932-5DACC618263E}"/>
    <cellStyle name="Normal 2 3 2" xfId="40" xr:uid="{AB3594B5-AD51-403B-B600-24AE2EED9881}"/>
    <cellStyle name="Normal 2 4" xfId="37" xr:uid="{417C8CEE-0512-4882-B5DA-050B2DE4AB27}"/>
    <cellStyle name="Normal 2 45" xfId="34" xr:uid="{DCECB15D-3D3E-4290-B185-D6743093095B}"/>
    <cellStyle name="Normal 3" xfId="11" xr:uid="{00000000-0005-0000-0000-000007000000}"/>
    <cellStyle name="Normal 3 2" xfId="31" xr:uid="{AF725841-29C6-430E-BF29-A2A3C207C4BD}"/>
    <cellStyle name="Normal 3 28" xfId="5" xr:uid="{00000000-0005-0000-0000-000008000000}"/>
    <cellStyle name="Normal 3 28 2" xfId="19" xr:uid="{115CC548-DD44-4AE7-9D91-DA25F4D952B2}"/>
    <cellStyle name="Normal 3 3" xfId="22" xr:uid="{ADB10CD4-4A6A-4941-9262-C6467B9B731B}"/>
    <cellStyle name="Normal 4" xfId="16" xr:uid="{3C554E17-AC9A-467D-9801-ED38B8AED660}"/>
    <cellStyle name="Normal 4 2" xfId="41" xr:uid="{899E870A-F05C-402A-8142-20CA2580DA23}"/>
    <cellStyle name="Normal 5" xfId="25" xr:uid="{BBF2A4A3-4DEB-4198-BD5C-3C5191C038BF}"/>
    <cellStyle name="Normal 5 10" xfId="33" xr:uid="{B9166BF9-2664-49A5-900F-AEDD24100894}"/>
    <cellStyle name="Normal 50" xfId="2" xr:uid="{00000000-0005-0000-0000-000009000000}"/>
    <cellStyle name="Normal 50 2" xfId="17" xr:uid="{89B6A7B1-33C8-409A-B1D8-24C07204669F}"/>
    <cellStyle name="Normal 50 7" xfId="4" xr:uid="{00000000-0005-0000-0000-00000A000000}"/>
    <cellStyle name="Normal 50 7 2" xfId="18" xr:uid="{E52643A8-2D10-410D-AE59-B32FE8676BCF}"/>
    <cellStyle name="Normal 56" xfId="15" xr:uid="{50FEA88E-9A10-4705-8C03-887943642E2C}"/>
    <cellStyle name="Normal 6" xfId="27" xr:uid="{653634E8-D455-44A0-8120-AD73C9CC764A}"/>
    <cellStyle name="Normal 6 2" xfId="42" xr:uid="{193C3374-B19B-4CBC-9CBB-CC5FD8028A9C}"/>
    <cellStyle name="Normal 62 2" xfId="29" xr:uid="{DC35DA09-7436-4F71-B934-05DD4575A1E7}"/>
    <cellStyle name="Normal 62 2 2" xfId="36" xr:uid="{6B49ED2C-8805-4120-B749-E65F76E4A331}"/>
    <cellStyle name="Normal 7" xfId="38" xr:uid="{5F54C59D-147C-46A5-8A5D-534D793F492B}"/>
    <cellStyle name="Normal 7 13" xfId="43" xr:uid="{771AEBFC-328B-4647-B7F7-F29DAAA18961}"/>
    <cellStyle name="Percent" xfId="14" builtinId="5"/>
    <cellStyle name="Percent 2" xfId="9" xr:uid="{00000000-0005-0000-0000-00000B000000}"/>
    <cellStyle name="Percent 3" xfId="12" xr:uid="{00000000-0005-0000-0000-00000C000000}"/>
    <cellStyle name="Percent 4" xfId="23" xr:uid="{9AABB95B-1902-43DA-A659-85A27138E4B2}"/>
    <cellStyle name="Percent 5" xfId="28" xr:uid="{B0892E7F-840B-4F58-B2D0-8F9E89A02198}"/>
    <cellStyle name="Standard_Sce_D_Extraction" xfId="10" xr:uid="{00000000-0005-0000-0000-00000D000000}"/>
  </cellStyles>
  <dxfs count="0"/>
  <tableStyles count="0" defaultTableStyle="TableStyleMedium2" defaultPivotStyle="PivotStyleLight16"/>
  <colors>
    <mruColors>
      <color rgb="FFBB87AC"/>
      <color rgb="FFD27079"/>
      <color rgb="FFFA7D00"/>
      <color rgb="FFC5D9F2"/>
      <color rgb="FFFFFFCC"/>
      <color rgb="FF1F497D"/>
      <color rgb="FFFFFF99"/>
      <color rgb="FFFDAFA9"/>
      <color rgb="FFE2EFDA"/>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91</xdr:row>
      <xdr:rowOff>257175</xdr:rowOff>
    </xdr:from>
    <xdr:to>
      <xdr:col>5</xdr:col>
      <xdr:colOff>593073</xdr:colOff>
      <xdr:row>115</xdr:row>
      <xdr:rowOff>54726</xdr:rowOff>
    </xdr:to>
    <xdr:pic>
      <xdr:nvPicPr>
        <xdr:cNvPr id="3" name="Picture 2">
          <a:extLst>
            <a:ext uri="{FF2B5EF4-FFF2-40B4-BE49-F238E27FC236}">
              <a16:creationId xmlns:a16="http://schemas.microsoft.com/office/drawing/2014/main" id="{46F1119A-CC40-CE4D-C7B1-E372BB125AE9}"/>
            </a:ext>
          </a:extLst>
        </xdr:cNvPr>
        <xdr:cNvPicPr>
          <a:picLocks noChangeAspect="1"/>
        </xdr:cNvPicPr>
      </xdr:nvPicPr>
      <xdr:blipFill>
        <a:blip xmlns:r="http://schemas.openxmlformats.org/officeDocument/2006/relationships" r:embed="rId1"/>
        <a:stretch>
          <a:fillRect/>
        </a:stretch>
      </xdr:blipFill>
      <xdr:spPr>
        <a:xfrm>
          <a:off x="28575" y="22040850"/>
          <a:ext cx="10095213" cy="444003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4.0/"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ABF34-333F-493D-B878-3E1DE445615F}">
  <sheetPr codeName="Sheet1">
    <tabColor rgb="FFFF0000"/>
  </sheetPr>
  <dimension ref="A1:G146"/>
  <sheetViews>
    <sheetView showGridLines="0" tabSelected="1" workbookViewId="0">
      <selection activeCell="C142" sqref="C142:D142"/>
    </sheetView>
  </sheetViews>
  <sheetFormatPr defaultColWidth="8" defaultRowHeight="15" x14ac:dyDescent="0.25"/>
  <cols>
    <col min="1" max="1" width="31.75" style="9" customWidth="1"/>
    <col min="2" max="4" width="24.75" style="9" customWidth="1"/>
    <col min="5" max="5" width="19" style="9" bestFit="1" customWidth="1"/>
    <col min="6" max="16384" width="8" style="9"/>
  </cols>
  <sheetData>
    <row r="1" spans="1:6" ht="32.25" thickBot="1" x14ac:dyDescent="0.3">
      <c r="A1" s="536" t="s">
        <v>584</v>
      </c>
      <c r="B1" s="537"/>
      <c r="C1" s="537"/>
      <c r="D1" s="538"/>
      <c r="F1" s="12"/>
    </row>
    <row r="2" spans="1:6" x14ac:dyDescent="0.25">
      <c r="A2" s="10" t="s">
        <v>23</v>
      </c>
      <c r="B2" s="11" t="s">
        <v>126</v>
      </c>
      <c r="C2" s="13"/>
      <c r="F2" s="14"/>
    </row>
    <row r="3" spans="1:6" x14ac:dyDescent="0.25">
      <c r="A3" s="10" t="s">
        <v>127</v>
      </c>
      <c r="B3" s="9" t="s">
        <v>128</v>
      </c>
      <c r="C3" s="11"/>
      <c r="F3" s="14"/>
    </row>
    <row r="4" spans="1:6" x14ac:dyDescent="0.25">
      <c r="A4" s="10" t="s">
        <v>129</v>
      </c>
      <c r="B4" s="11" t="s">
        <v>33</v>
      </c>
      <c r="C4" s="9" t="s">
        <v>102</v>
      </c>
      <c r="F4" s="14"/>
    </row>
    <row r="5" spans="1:6" x14ac:dyDescent="0.25">
      <c r="A5" s="10" t="s">
        <v>24</v>
      </c>
      <c r="B5" s="15">
        <v>2019</v>
      </c>
      <c r="F5" s="14"/>
    </row>
    <row r="6" spans="1:6" ht="15.75" x14ac:dyDescent="0.25">
      <c r="A6" s="10" t="s">
        <v>130</v>
      </c>
      <c r="B6" s="297" t="s">
        <v>406</v>
      </c>
      <c r="F6" s="14"/>
    </row>
    <row r="7" spans="1:6" ht="15" customHeight="1" x14ac:dyDescent="0.25">
      <c r="A7" s="16"/>
      <c r="B7" s="297" t="s">
        <v>586</v>
      </c>
    </row>
    <row r="8" spans="1:6" x14ac:dyDescent="0.25">
      <c r="A8" s="10" t="s">
        <v>131</v>
      </c>
      <c r="B8" s="9" t="s">
        <v>132</v>
      </c>
    </row>
    <row r="9" spans="1:6" ht="15.75" x14ac:dyDescent="0.25">
      <c r="A9" s="298" t="s">
        <v>585</v>
      </c>
      <c r="B9" s="299">
        <v>1</v>
      </c>
      <c r="C9" s="297"/>
      <c r="D9" s="300"/>
    </row>
    <row r="10" spans="1:6" ht="15.75" x14ac:dyDescent="0.25">
      <c r="A10" s="298" t="s">
        <v>581</v>
      </c>
      <c r="B10" s="509">
        <v>45868</v>
      </c>
      <c r="C10" s="297"/>
      <c r="D10" s="300"/>
    </row>
    <row r="11" spans="1:6" ht="15.75" x14ac:dyDescent="0.25">
      <c r="A11" s="298" t="s">
        <v>407</v>
      </c>
      <c r="B11" s="301"/>
      <c r="C11" s="297"/>
      <c r="D11" s="300"/>
    </row>
    <row r="12" spans="1:6" x14ac:dyDescent="0.25">
      <c r="A12" s="298" t="s">
        <v>408</v>
      </c>
      <c r="B12" s="539" t="s">
        <v>409</v>
      </c>
      <c r="C12" s="539"/>
      <c r="D12" s="539"/>
    </row>
    <row r="13" spans="1:6" x14ac:dyDescent="0.25">
      <c r="A13" s="300"/>
      <c r="B13" s="302" t="s">
        <v>410</v>
      </c>
      <c r="C13" s="303"/>
      <c r="D13" s="303"/>
    </row>
    <row r="14" spans="1:6" x14ac:dyDescent="0.25">
      <c r="A14" s="300"/>
      <c r="B14" s="302"/>
      <c r="C14" s="303"/>
      <c r="D14" s="303"/>
    </row>
    <row r="15" spans="1:6" ht="21" x14ac:dyDescent="0.25">
      <c r="A15" s="304" t="s">
        <v>411</v>
      </c>
    </row>
    <row r="16" spans="1:6" ht="18.75" x14ac:dyDescent="0.25">
      <c r="A16" s="17" t="s">
        <v>28</v>
      </c>
      <c r="B16" s="526"/>
      <c r="C16" s="526"/>
      <c r="D16" s="527"/>
    </row>
    <row r="17" spans="1:7" x14ac:dyDescent="0.25">
      <c r="A17" s="18" t="s">
        <v>133</v>
      </c>
      <c r="B17" s="517" t="s">
        <v>134</v>
      </c>
      <c r="C17" s="528"/>
      <c r="D17" s="518"/>
    </row>
    <row r="18" spans="1:7" x14ac:dyDescent="0.25">
      <c r="A18" s="19" t="s">
        <v>133</v>
      </c>
      <c r="B18" s="517" t="s">
        <v>135</v>
      </c>
      <c r="C18" s="528"/>
      <c r="D18" s="518"/>
    </row>
    <row r="19" spans="1:7" x14ac:dyDescent="0.25">
      <c r="A19" s="20"/>
      <c r="B19" s="517" t="s">
        <v>136</v>
      </c>
      <c r="C19" s="528"/>
      <c r="D19" s="518"/>
    </row>
    <row r="21" spans="1:7" ht="18.75" x14ac:dyDescent="0.25">
      <c r="A21" s="17" t="s">
        <v>29</v>
      </c>
      <c r="B21" s="526"/>
      <c r="C21" s="526"/>
      <c r="D21" s="527"/>
    </row>
    <row r="22" spans="1:7" ht="15.75" x14ac:dyDescent="0.25">
      <c r="A22" s="21"/>
      <c r="B22" s="519" t="s">
        <v>30</v>
      </c>
      <c r="C22" s="520"/>
      <c r="D22" s="521"/>
    </row>
    <row r="23" spans="1:7" ht="15.75" x14ac:dyDescent="0.25">
      <c r="A23" s="22"/>
      <c r="B23" s="519" t="s">
        <v>137</v>
      </c>
      <c r="C23" s="520"/>
      <c r="D23" s="521"/>
    </row>
    <row r="24" spans="1:7" ht="15.75" x14ac:dyDescent="0.25">
      <c r="A24" s="23"/>
      <c r="B24" s="519" t="s">
        <v>138</v>
      </c>
      <c r="C24" s="520"/>
      <c r="D24" s="521"/>
    </row>
    <row r="25" spans="1:7" ht="15.75" x14ac:dyDescent="0.25">
      <c r="A25" s="24"/>
      <c r="B25" s="25"/>
      <c r="C25" s="25"/>
    </row>
    <row r="26" spans="1:7" ht="15" customHeight="1" x14ac:dyDescent="0.25">
      <c r="A26" s="16" t="s">
        <v>25</v>
      </c>
    </row>
    <row r="27" spans="1:7" ht="15" customHeight="1" x14ac:dyDescent="0.25">
      <c r="A27" s="26" t="s">
        <v>26</v>
      </c>
      <c r="B27" s="26" t="s">
        <v>27</v>
      </c>
      <c r="C27" s="26"/>
      <c r="D27" s="26"/>
      <c r="F27" s="27"/>
    </row>
    <row r="28" spans="1:7" ht="15" customHeight="1" x14ac:dyDescent="0.25">
      <c r="A28" s="148" t="s">
        <v>288</v>
      </c>
      <c r="B28" s="522" t="s">
        <v>139</v>
      </c>
      <c r="C28" s="523"/>
      <c r="D28" s="524"/>
      <c r="G28" s="29"/>
    </row>
    <row r="29" spans="1:7" ht="15" customHeight="1" x14ac:dyDescent="0.25">
      <c r="A29" s="28" t="s">
        <v>289</v>
      </c>
      <c r="B29" s="149" t="s">
        <v>291</v>
      </c>
      <c r="C29" s="30"/>
      <c r="D29" s="31"/>
      <c r="G29" s="29"/>
    </row>
    <row r="30" spans="1:7" ht="15" customHeight="1" x14ac:dyDescent="0.25">
      <c r="A30" s="148" t="s">
        <v>290</v>
      </c>
      <c r="B30" s="149" t="s">
        <v>292</v>
      </c>
      <c r="C30" s="30"/>
      <c r="D30" s="31"/>
      <c r="G30" s="29"/>
    </row>
    <row r="31" spans="1:7" ht="15" customHeight="1" x14ac:dyDescent="0.25">
      <c r="A31" s="146" t="s">
        <v>293</v>
      </c>
      <c r="B31" s="91" t="s">
        <v>208</v>
      </c>
      <c r="C31" s="33"/>
      <c r="D31" s="34"/>
      <c r="G31" s="29"/>
    </row>
    <row r="32" spans="1:7" ht="15" customHeight="1" x14ac:dyDescent="0.25">
      <c r="A32" s="32" t="s">
        <v>140</v>
      </c>
      <c r="B32" s="35" t="s">
        <v>141</v>
      </c>
      <c r="C32" s="33"/>
      <c r="D32" s="34"/>
      <c r="G32" s="29"/>
    </row>
    <row r="33" spans="1:7" ht="15" customHeight="1" x14ac:dyDescent="0.25">
      <c r="A33" s="146" t="s">
        <v>284</v>
      </c>
      <c r="B33" s="147" t="s">
        <v>286</v>
      </c>
      <c r="C33" s="33"/>
      <c r="D33" s="34"/>
      <c r="G33" s="29"/>
    </row>
    <row r="34" spans="1:7" ht="15" customHeight="1" x14ac:dyDescent="0.25">
      <c r="A34" s="146" t="s">
        <v>285</v>
      </c>
      <c r="B34" s="147" t="s">
        <v>287</v>
      </c>
      <c r="C34" s="33"/>
      <c r="D34" s="34"/>
      <c r="G34" s="29"/>
    </row>
    <row r="35" spans="1:7" ht="15" customHeight="1" x14ac:dyDescent="0.25">
      <c r="A35" s="146" t="s">
        <v>204</v>
      </c>
      <c r="B35" s="147" t="s">
        <v>209</v>
      </c>
      <c r="C35" s="33"/>
      <c r="D35" s="34"/>
      <c r="G35" s="29"/>
    </row>
    <row r="36" spans="1:7" x14ac:dyDescent="0.25">
      <c r="A36" s="24"/>
    </row>
    <row r="37" spans="1:7" ht="21" x14ac:dyDescent="0.25">
      <c r="A37" s="16" t="s">
        <v>142</v>
      </c>
    </row>
    <row r="38" spans="1:7" x14ac:dyDescent="0.25">
      <c r="A38" s="143" t="s">
        <v>282</v>
      </c>
      <c r="B38" s="132">
        <f>1.0778*1.183</f>
        <v>1.2750374000000002</v>
      </c>
      <c r="C38" s="131" t="s">
        <v>260</v>
      </c>
    </row>
    <row r="39" spans="1:7" x14ac:dyDescent="0.25">
      <c r="A39" s="139" t="s">
        <v>280</v>
      </c>
      <c r="B39" s="132">
        <v>1.2</v>
      </c>
      <c r="C39" s="140" t="s">
        <v>260</v>
      </c>
    </row>
    <row r="40" spans="1:7" x14ac:dyDescent="0.25">
      <c r="A40" s="237" t="s">
        <v>374</v>
      </c>
      <c r="B40" s="238">
        <v>3.6000000000000003E-3</v>
      </c>
      <c r="C40" s="140"/>
    </row>
    <row r="41" spans="1:7" x14ac:dyDescent="0.25">
      <c r="A41" s="139"/>
      <c r="B41" s="141"/>
      <c r="C41" s="140"/>
    </row>
    <row r="42" spans="1:7" ht="21" x14ac:dyDescent="0.25">
      <c r="A42" s="16" t="s">
        <v>143</v>
      </c>
    </row>
    <row r="43" spans="1:7" x14ac:dyDescent="0.25">
      <c r="A43" s="26" t="s">
        <v>144</v>
      </c>
      <c r="B43" s="26" t="s">
        <v>32</v>
      </c>
      <c r="C43" s="26" t="s">
        <v>27</v>
      </c>
      <c r="D43" s="26"/>
    </row>
    <row r="44" spans="1:7" x14ac:dyDescent="0.25">
      <c r="A44" s="515" t="s">
        <v>145</v>
      </c>
      <c r="B44" s="515"/>
      <c r="C44" s="515"/>
      <c r="D44" s="515"/>
    </row>
    <row r="45" spans="1:7" x14ac:dyDescent="0.25">
      <c r="A45" s="20" t="s">
        <v>122</v>
      </c>
      <c r="B45" s="20" t="s">
        <v>172</v>
      </c>
      <c r="C45" s="514" t="s">
        <v>167</v>
      </c>
      <c r="D45" s="514"/>
    </row>
    <row r="46" spans="1:7" x14ac:dyDescent="0.25">
      <c r="A46" s="418" t="s">
        <v>491</v>
      </c>
      <c r="B46" s="418" t="s">
        <v>492</v>
      </c>
      <c r="C46" s="525" t="s">
        <v>493</v>
      </c>
      <c r="D46" s="525"/>
    </row>
    <row r="47" spans="1:7" x14ac:dyDescent="0.25">
      <c r="A47" s="418" t="s">
        <v>494</v>
      </c>
      <c r="B47" s="418" t="s">
        <v>495</v>
      </c>
      <c r="C47" s="525" t="s">
        <v>496</v>
      </c>
      <c r="D47" s="525"/>
    </row>
    <row r="48" spans="1:7" x14ac:dyDescent="0.25">
      <c r="A48" s="20" t="s">
        <v>124</v>
      </c>
      <c r="B48" s="20" t="s">
        <v>168</v>
      </c>
      <c r="C48" s="514"/>
      <c r="D48" s="514"/>
    </row>
    <row r="49" spans="1:4" x14ac:dyDescent="0.25">
      <c r="A49" s="418" t="s">
        <v>497</v>
      </c>
      <c r="B49" s="418" t="s">
        <v>498</v>
      </c>
      <c r="C49" s="525" t="s">
        <v>499</v>
      </c>
      <c r="D49" s="525"/>
    </row>
    <row r="50" spans="1:4" x14ac:dyDescent="0.25">
      <c r="A50" s="418" t="s">
        <v>500</v>
      </c>
      <c r="B50" s="418" t="s">
        <v>501</v>
      </c>
      <c r="C50" s="525" t="s">
        <v>499</v>
      </c>
      <c r="D50" s="525"/>
    </row>
    <row r="51" spans="1:4" x14ac:dyDescent="0.25">
      <c r="A51" s="20" t="s">
        <v>119</v>
      </c>
      <c r="B51" s="20" t="s">
        <v>146</v>
      </c>
      <c r="C51" s="514"/>
      <c r="D51" s="514"/>
    </row>
    <row r="52" spans="1:4" x14ac:dyDescent="0.25">
      <c r="A52" s="20" t="s">
        <v>94</v>
      </c>
      <c r="B52" s="20" t="s">
        <v>147</v>
      </c>
      <c r="C52" s="514"/>
      <c r="D52" s="514"/>
    </row>
    <row r="53" spans="1:4" x14ac:dyDescent="0.25">
      <c r="A53" s="20" t="s">
        <v>148</v>
      </c>
      <c r="B53" s="20" t="s">
        <v>149</v>
      </c>
      <c r="C53" s="514"/>
      <c r="D53" s="514"/>
    </row>
    <row r="54" spans="1:4" x14ac:dyDescent="0.25">
      <c r="A54" s="20" t="s">
        <v>169</v>
      </c>
      <c r="B54" s="20" t="s">
        <v>99</v>
      </c>
      <c r="C54" s="514"/>
      <c r="D54" s="514"/>
    </row>
    <row r="55" spans="1:4" x14ac:dyDescent="0.25">
      <c r="A55" s="515" t="s">
        <v>382</v>
      </c>
      <c r="B55" s="515"/>
      <c r="C55" s="515"/>
      <c r="D55" s="515"/>
    </row>
    <row r="56" spans="1:4" x14ac:dyDescent="0.25">
      <c r="A56" s="275" t="s">
        <v>383</v>
      </c>
      <c r="B56" s="288" t="s">
        <v>388</v>
      </c>
      <c r="C56" s="514"/>
      <c r="D56" s="514"/>
    </row>
    <row r="57" spans="1:4" x14ac:dyDescent="0.25">
      <c r="A57" s="288" t="s">
        <v>390</v>
      </c>
      <c r="B57" s="288" t="s">
        <v>389</v>
      </c>
      <c r="C57" s="516" t="s">
        <v>396</v>
      </c>
      <c r="D57" s="514"/>
    </row>
    <row r="58" spans="1:4" x14ac:dyDescent="0.25">
      <c r="A58" s="288" t="s">
        <v>395</v>
      </c>
      <c r="B58" s="288" t="s">
        <v>391</v>
      </c>
      <c r="C58" s="516" t="s">
        <v>397</v>
      </c>
      <c r="D58" s="514"/>
    </row>
    <row r="59" spans="1:4" x14ac:dyDescent="0.25">
      <c r="A59" s="275" t="s">
        <v>384</v>
      </c>
      <c r="B59" s="288" t="s">
        <v>392</v>
      </c>
      <c r="C59" s="517"/>
      <c r="D59" s="518"/>
    </row>
    <row r="60" spans="1:4" x14ac:dyDescent="0.25">
      <c r="A60" s="275" t="s">
        <v>385</v>
      </c>
      <c r="B60" s="288" t="s">
        <v>393</v>
      </c>
      <c r="C60" s="514"/>
      <c r="D60" s="514"/>
    </row>
    <row r="61" spans="1:4" x14ac:dyDescent="0.25">
      <c r="A61" s="275" t="s">
        <v>387</v>
      </c>
      <c r="B61" s="288" t="s">
        <v>394</v>
      </c>
      <c r="C61" s="514"/>
      <c r="D61" s="514"/>
    </row>
    <row r="62" spans="1:4" x14ac:dyDescent="0.25">
      <c r="A62" s="515" t="s">
        <v>150</v>
      </c>
      <c r="B62" s="515"/>
      <c r="C62" s="515"/>
      <c r="D62" s="515"/>
    </row>
    <row r="63" spans="1:4" x14ac:dyDescent="0.25">
      <c r="A63" s="20" t="s">
        <v>78</v>
      </c>
      <c r="B63" s="20" t="s">
        <v>103</v>
      </c>
      <c r="C63" s="514"/>
      <c r="D63" s="514"/>
    </row>
    <row r="64" spans="1:4" x14ac:dyDescent="0.25">
      <c r="A64" s="225" t="s">
        <v>115</v>
      </c>
      <c r="B64" s="225" t="s">
        <v>368</v>
      </c>
      <c r="C64" s="514"/>
      <c r="D64" s="514"/>
    </row>
    <row r="65" spans="1:4" x14ac:dyDescent="0.25">
      <c r="A65" s="20" t="s">
        <v>18</v>
      </c>
      <c r="B65" s="20" t="s">
        <v>104</v>
      </c>
      <c r="C65" s="514"/>
      <c r="D65" s="514"/>
    </row>
    <row r="66" spans="1:4" x14ac:dyDescent="0.25">
      <c r="A66" s="20" t="s">
        <v>19</v>
      </c>
      <c r="B66" s="20" t="s">
        <v>105</v>
      </c>
      <c r="C66" s="514"/>
      <c r="D66" s="514"/>
    </row>
    <row r="67" spans="1:4" x14ac:dyDescent="0.25">
      <c r="A67" s="20" t="s">
        <v>21</v>
      </c>
      <c r="B67" s="20" t="s">
        <v>107</v>
      </c>
      <c r="C67" s="514"/>
      <c r="D67" s="514"/>
    </row>
    <row r="68" spans="1:4" x14ac:dyDescent="0.25">
      <c r="A68" s="144" t="s">
        <v>20</v>
      </c>
      <c r="B68" s="20" t="s">
        <v>108</v>
      </c>
      <c r="C68" s="514" t="s">
        <v>211</v>
      </c>
      <c r="D68" s="514"/>
    </row>
    <row r="69" spans="1:4" x14ac:dyDescent="0.25">
      <c r="A69" s="207" t="s">
        <v>326</v>
      </c>
      <c r="B69" s="20" t="s">
        <v>170</v>
      </c>
      <c r="C69" s="514"/>
      <c r="D69" s="514"/>
    </row>
    <row r="70" spans="1:4" x14ac:dyDescent="0.25">
      <c r="A70" s="20" t="s">
        <v>0</v>
      </c>
      <c r="B70" s="20" t="s">
        <v>109</v>
      </c>
      <c r="C70" s="514"/>
      <c r="D70" s="514"/>
    </row>
    <row r="71" spans="1:4" x14ac:dyDescent="0.25">
      <c r="A71" s="20" t="s">
        <v>93</v>
      </c>
      <c r="B71" s="20" t="s">
        <v>106</v>
      </c>
      <c r="C71" s="514"/>
      <c r="D71" s="514"/>
    </row>
    <row r="72" spans="1:4" x14ac:dyDescent="0.25">
      <c r="A72" s="420" t="s">
        <v>458</v>
      </c>
      <c r="B72" s="420" t="s">
        <v>457</v>
      </c>
      <c r="C72" s="20"/>
      <c r="D72" s="20"/>
    </row>
    <row r="73" spans="1:4" x14ac:dyDescent="0.25">
      <c r="A73" s="225" t="s">
        <v>367</v>
      </c>
      <c r="B73" s="225" t="s">
        <v>110</v>
      </c>
      <c r="C73" s="514"/>
      <c r="D73" s="514"/>
    </row>
    <row r="74" spans="1:4" x14ac:dyDescent="0.25">
      <c r="A74" s="20" t="s">
        <v>22</v>
      </c>
      <c r="B74" s="20" t="s">
        <v>111</v>
      </c>
      <c r="C74" s="514"/>
      <c r="D74" s="514"/>
    </row>
    <row r="75" spans="1:4" x14ac:dyDescent="0.25">
      <c r="A75" s="123" t="s">
        <v>254</v>
      </c>
      <c r="B75" s="289" t="s">
        <v>398</v>
      </c>
      <c r="C75" s="514"/>
      <c r="D75" s="514"/>
    </row>
    <row r="76" spans="1:4" x14ac:dyDescent="0.25">
      <c r="A76" s="123" t="s">
        <v>402</v>
      </c>
      <c r="B76" s="305" t="s">
        <v>415</v>
      </c>
      <c r="C76" s="514"/>
      <c r="D76" s="514"/>
    </row>
    <row r="77" spans="1:4" x14ac:dyDescent="0.25">
      <c r="A77" s="497" t="s">
        <v>579</v>
      </c>
      <c r="B77" s="498" t="s">
        <v>580</v>
      </c>
      <c r="C77" s="514"/>
      <c r="D77" s="514"/>
    </row>
    <row r="78" spans="1:4" x14ac:dyDescent="0.25">
      <c r="A78" s="529" t="s">
        <v>76</v>
      </c>
      <c r="B78" s="530"/>
      <c r="C78" s="530"/>
      <c r="D78" s="531"/>
    </row>
    <row r="79" spans="1:4" ht="18" x14ac:dyDescent="0.25">
      <c r="A79" s="20" t="s">
        <v>151</v>
      </c>
      <c r="B79" s="20" t="s">
        <v>152</v>
      </c>
      <c r="C79" s="514" t="s">
        <v>153</v>
      </c>
      <c r="D79" s="514"/>
    </row>
    <row r="80" spans="1:4" ht="18" x14ac:dyDescent="0.25">
      <c r="A80" s="20" t="s">
        <v>154</v>
      </c>
      <c r="B80" s="20" t="s">
        <v>155</v>
      </c>
      <c r="C80" s="517" t="s">
        <v>156</v>
      </c>
      <c r="D80" s="518"/>
    </row>
    <row r="81" spans="1:5" ht="18" x14ac:dyDescent="0.25">
      <c r="A81" s="20" t="s">
        <v>157</v>
      </c>
      <c r="B81" s="20" t="s">
        <v>158</v>
      </c>
      <c r="C81" s="517" t="s">
        <v>159</v>
      </c>
      <c r="D81" s="518"/>
    </row>
    <row r="82" spans="1:5" ht="18" x14ac:dyDescent="0.25">
      <c r="A82" s="20" t="s">
        <v>160</v>
      </c>
      <c r="B82" s="20" t="s">
        <v>161</v>
      </c>
      <c r="C82" s="517" t="s">
        <v>162</v>
      </c>
      <c r="D82" s="518"/>
    </row>
    <row r="84" spans="1:5" ht="21" x14ac:dyDescent="0.25">
      <c r="A84" s="16" t="s">
        <v>163</v>
      </c>
    </row>
    <row r="85" spans="1:5" x14ac:dyDescent="0.25">
      <c r="A85" s="26" t="s">
        <v>164</v>
      </c>
      <c r="B85" s="26" t="s">
        <v>165</v>
      </c>
      <c r="C85" s="26" t="s">
        <v>86</v>
      </c>
      <c r="D85" s="26" t="s">
        <v>226</v>
      </c>
      <c r="E85" s="26" t="s">
        <v>224</v>
      </c>
    </row>
    <row r="86" spans="1:5" x14ac:dyDescent="0.25">
      <c r="A86" s="20" t="s">
        <v>216</v>
      </c>
      <c r="B86" s="100" t="s">
        <v>218</v>
      </c>
      <c r="C86" s="217" t="s">
        <v>344</v>
      </c>
      <c r="D86" s="217" t="s">
        <v>227</v>
      </c>
      <c r="E86" s="102"/>
    </row>
    <row r="87" spans="1:5" ht="90" x14ac:dyDescent="0.25">
      <c r="A87" s="20" t="s">
        <v>212</v>
      </c>
      <c r="B87" s="100" t="s">
        <v>219</v>
      </c>
      <c r="C87" s="101" t="s">
        <v>222</v>
      </c>
      <c r="D87" s="101" t="s">
        <v>227</v>
      </c>
      <c r="E87" s="101" t="s">
        <v>223</v>
      </c>
    </row>
    <row r="88" spans="1:5" ht="75" x14ac:dyDescent="0.25">
      <c r="A88" s="36" t="s">
        <v>214</v>
      </c>
      <c r="B88" s="100" t="s">
        <v>220</v>
      </c>
      <c r="C88" s="106" t="s">
        <v>213</v>
      </c>
      <c r="D88" s="107" t="s">
        <v>227</v>
      </c>
      <c r="E88" s="102" t="s">
        <v>225</v>
      </c>
    </row>
    <row r="89" spans="1:5" ht="60" x14ac:dyDescent="0.25">
      <c r="A89" s="137" t="s">
        <v>279</v>
      </c>
      <c r="B89" s="100" t="s">
        <v>221</v>
      </c>
      <c r="C89" s="138" t="s">
        <v>275</v>
      </c>
      <c r="D89" s="138" t="s">
        <v>227</v>
      </c>
      <c r="E89" s="102" t="s">
        <v>276</v>
      </c>
    </row>
    <row r="90" spans="1:5" ht="31.5" x14ac:dyDescent="0.25">
      <c r="A90" s="137" t="s">
        <v>345</v>
      </c>
      <c r="B90" s="100" t="s">
        <v>348</v>
      </c>
      <c r="C90" s="218" t="s">
        <v>346</v>
      </c>
      <c r="D90" s="218" t="s">
        <v>227</v>
      </c>
      <c r="E90" s="222" t="s">
        <v>347</v>
      </c>
    </row>
    <row r="91" spans="1:5" x14ac:dyDescent="0.25">
      <c r="A91" s="104"/>
      <c r="B91" s="105"/>
      <c r="C91" s="103"/>
      <c r="D91" s="103"/>
    </row>
    <row r="92" spans="1:5" ht="21" x14ac:dyDescent="0.25">
      <c r="A92" s="16" t="s">
        <v>166</v>
      </c>
    </row>
    <row r="93" spans="1:5" x14ac:dyDescent="0.25">
      <c r="A93" s="99"/>
    </row>
    <row r="117" spans="1:4" ht="18.75" x14ac:dyDescent="0.25">
      <c r="A117" s="37" t="s">
        <v>31</v>
      </c>
      <c r="B117" s="8"/>
      <c r="C117" s="8"/>
      <c r="D117" s="38"/>
    </row>
    <row r="118" spans="1:4" ht="15.75" thickBot="1" x14ac:dyDescent="0.3">
      <c r="A118" s="39" t="s">
        <v>31</v>
      </c>
      <c r="B118" s="39" t="s">
        <v>27</v>
      </c>
      <c r="C118" s="39" t="s">
        <v>171</v>
      </c>
      <c r="D118" s="39"/>
    </row>
    <row r="119" spans="1:4" ht="27.6" customHeight="1" x14ac:dyDescent="0.25">
      <c r="A119" s="40" t="s">
        <v>314</v>
      </c>
      <c r="B119" s="41" t="s">
        <v>327</v>
      </c>
      <c r="C119" s="533" t="s">
        <v>433</v>
      </c>
      <c r="D119" s="533"/>
    </row>
    <row r="120" spans="1:4" x14ac:dyDescent="0.25">
      <c r="A120" s="40" t="s">
        <v>315</v>
      </c>
      <c r="B120" s="42" t="s">
        <v>328</v>
      </c>
      <c r="C120" s="534" t="s">
        <v>434</v>
      </c>
      <c r="D120" s="534"/>
    </row>
    <row r="121" spans="1:4" ht="15.75" x14ac:dyDescent="0.25">
      <c r="A121" s="40" t="s">
        <v>317</v>
      </c>
      <c r="B121" s="43" t="s">
        <v>330</v>
      </c>
      <c r="C121" s="535" t="s">
        <v>435</v>
      </c>
      <c r="D121" s="535"/>
    </row>
    <row r="122" spans="1:4" x14ac:dyDescent="0.25">
      <c r="A122" s="40" t="s">
        <v>316</v>
      </c>
      <c r="B122" s="42" t="s">
        <v>329</v>
      </c>
      <c r="C122" s="532" t="s">
        <v>436</v>
      </c>
      <c r="D122" s="532"/>
    </row>
    <row r="123" spans="1:4" x14ac:dyDescent="0.25">
      <c r="A123" s="40" t="s">
        <v>318</v>
      </c>
      <c r="B123" s="43" t="s">
        <v>331</v>
      </c>
      <c r="C123" s="532" t="s">
        <v>437</v>
      </c>
      <c r="D123" s="532"/>
    </row>
    <row r="124" spans="1:4" x14ac:dyDescent="0.25">
      <c r="A124" s="40" t="s">
        <v>319</v>
      </c>
      <c r="B124" s="42" t="s">
        <v>332</v>
      </c>
      <c r="C124" s="532" t="s">
        <v>438</v>
      </c>
      <c r="D124" s="532"/>
    </row>
    <row r="125" spans="1:4" x14ac:dyDescent="0.25">
      <c r="A125" s="44" t="s">
        <v>320</v>
      </c>
      <c r="B125" s="42" t="s">
        <v>333</v>
      </c>
      <c r="C125" s="532" t="s">
        <v>439</v>
      </c>
      <c r="D125" s="532"/>
    </row>
    <row r="126" spans="1:4" x14ac:dyDescent="0.25">
      <c r="A126" s="40" t="s">
        <v>321</v>
      </c>
      <c r="B126" s="42" t="s">
        <v>334</v>
      </c>
      <c r="C126" s="532" t="s">
        <v>440</v>
      </c>
      <c r="D126" s="532"/>
    </row>
    <row r="127" spans="1:4" x14ac:dyDescent="0.25">
      <c r="A127" s="40" t="s">
        <v>1</v>
      </c>
      <c r="B127" s="43" t="s">
        <v>87</v>
      </c>
      <c r="C127" s="532" t="s">
        <v>87</v>
      </c>
      <c r="D127" s="532"/>
    </row>
    <row r="128" spans="1:4" x14ac:dyDescent="0.25">
      <c r="A128" s="40" t="s">
        <v>2</v>
      </c>
      <c r="B128" s="43" t="s">
        <v>88</v>
      </c>
      <c r="C128" s="43" t="s">
        <v>88</v>
      </c>
      <c r="D128" s="43"/>
    </row>
    <row r="129" spans="1:4" x14ac:dyDescent="0.25">
      <c r="A129" s="40" t="s">
        <v>416</v>
      </c>
      <c r="B129" s="42" t="s">
        <v>425</v>
      </c>
      <c r="C129" s="42" t="s">
        <v>425</v>
      </c>
      <c r="D129" s="42"/>
    </row>
    <row r="130" spans="1:4" x14ac:dyDescent="0.25">
      <c r="A130" s="40" t="s">
        <v>3</v>
      </c>
      <c r="B130" s="42" t="s">
        <v>426</v>
      </c>
      <c r="C130" s="42" t="s">
        <v>426</v>
      </c>
      <c r="D130" s="42"/>
    </row>
    <row r="131" spans="1:4" x14ac:dyDescent="0.25">
      <c r="A131" s="40" t="s">
        <v>322</v>
      </c>
      <c r="B131" s="43" t="s">
        <v>335</v>
      </c>
      <c r="C131" s="532" t="s">
        <v>441</v>
      </c>
      <c r="D131" s="532"/>
    </row>
    <row r="132" spans="1:4" x14ac:dyDescent="0.25">
      <c r="A132" s="40" t="s">
        <v>323</v>
      </c>
      <c r="B132" s="43" t="s">
        <v>336</v>
      </c>
      <c r="C132" s="532" t="s">
        <v>442</v>
      </c>
      <c r="D132" s="532"/>
    </row>
    <row r="133" spans="1:4" x14ac:dyDescent="0.25">
      <c r="A133" s="40" t="s">
        <v>324</v>
      </c>
      <c r="B133" s="42" t="s">
        <v>337</v>
      </c>
      <c r="C133" s="532" t="s">
        <v>443</v>
      </c>
      <c r="D133" s="532"/>
    </row>
    <row r="134" spans="1:4" x14ac:dyDescent="0.25">
      <c r="A134" s="40" t="s">
        <v>417</v>
      </c>
      <c r="B134" s="43" t="s">
        <v>427</v>
      </c>
      <c r="C134" s="532" t="s">
        <v>444</v>
      </c>
      <c r="D134" s="532"/>
    </row>
    <row r="135" spans="1:4" x14ac:dyDescent="0.25">
      <c r="A135" s="44" t="s">
        <v>325</v>
      </c>
      <c r="B135" s="43" t="s">
        <v>338</v>
      </c>
      <c r="C135" s="532" t="s">
        <v>445</v>
      </c>
      <c r="D135" s="532"/>
    </row>
    <row r="136" spans="1:4" ht="30" x14ac:dyDescent="0.25">
      <c r="A136" s="40" t="s">
        <v>4</v>
      </c>
      <c r="B136" s="43" t="s">
        <v>428</v>
      </c>
      <c r="C136" s="532" t="s">
        <v>446</v>
      </c>
      <c r="D136" s="532"/>
    </row>
    <row r="137" spans="1:4" x14ac:dyDescent="0.25">
      <c r="A137" s="40" t="s">
        <v>5</v>
      </c>
      <c r="B137" s="42" t="s">
        <v>89</v>
      </c>
      <c r="C137" s="532" t="s">
        <v>89</v>
      </c>
      <c r="D137" s="532"/>
    </row>
    <row r="138" spans="1:4" x14ac:dyDescent="0.25">
      <c r="A138" s="40" t="s">
        <v>6</v>
      </c>
      <c r="B138" s="43" t="s">
        <v>90</v>
      </c>
      <c r="C138" s="532" t="s">
        <v>90</v>
      </c>
      <c r="D138" s="532"/>
    </row>
    <row r="139" spans="1:4" x14ac:dyDescent="0.25">
      <c r="A139" s="40" t="s">
        <v>7</v>
      </c>
      <c r="B139" s="42" t="s">
        <v>91</v>
      </c>
      <c r="C139" s="532" t="s">
        <v>447</v>
      </c>
      <c r="D139" s="532"/>
    </row>
    <row r="140" spans="1:4" x14ac:dyDescent="0.25">
      <c r="A140" s="44" t="s">
        <v>418</v>
      </c>
      <c r="B140" s="43" t="s">
        <v>429</v>
      </c>
      <c r="C140" s="534" t="s">
        <v>448</v>
      </c>
      <c r="D140" s="534"/>
    </row>
    <row r="141" spans="1:4" x14ac:dyDescent="0.25">
      <c r="A141" s="40" t="s">
        <v>8</v>
      </c>
      <c r="B141" s="41" t="s">
        <v>430</v>
      </c>
      <c r="C141" s="532" t="s">
        <v>449</v>
      </c>
      <c r="D141" s="532"/>
    </row>
    <row r="142" spans="1:4" x14ac:dyDescent="0.25">
      <c r="A142" s="219" t="s">
        <v>9</v>
      </c>
      <c r="B142" s="220" t="s">
        <v>92</v>
      </c>
      <c r="C142" s="540" t="s">
        <v>92</v>
      </c>
      <c r="D142" s="540"/>
    </row>
    <row r="143" spans="1:4" x14ac:dyDescent="0.25">
      <c r="A143" s="219" t="s">
        <v>419</v>
      </c>
      <c r="B143" s="220" t="s">
        <v>431</v>
      </c>
      <c r="C143" s="540" t="s">
        <v>431</v>
      </c>
      <c r="D143" s="540"/>
    </row>
    <row r="144" spans="1:4" x14ac:dyDescent="0.25">
      <c r="A144" s="219" t="s">
        <v>10</v>
      </c>
      <c r="B144" s="220" t="s">
        <v>432</v>
      </c>
      <c r="C144" s="540" t="s">
        <v>432</v>
      </c>
      <c r="D144" s="540"/>
    </row>
    <row r="145" spans="1:4" x14ac:dyDescent="0.25">
      <c r="A145" s="219" t="s">
        <v>420</v>
      </c>
      <c r="B145" s="511" t="s">
        <v>587</v>
      </c>
      <c r="C145" s="541" t="s">
        <v>588</v>
      </c>
      <c r="D145" s="540"/>
    </row>
    <row r="146" spans="1:4" x14ac:dyDescent="0.25">
      <c r="A146" s="307" t="s">
        <v>11</v>
      </c>
      <c r="B146" s="308" t="s">
        <v>339</v>
      </c>
      <c r="C146" s="542" t="s">
        <v>339</v>
      </c>
      <c r="D146" s="542"/>
    </row>
  </sheetData>
  <sortState xmlns:xlrd2="http://schemas.microsoft.com/office/spreadsheetml/2017/richdata2" ref="A63:B74">
    <sortCondition ref="A63:A74"/>
  </sortState>
  <mergeCells count="74">
    <mergeCell ref="C146:D146"/>
    <mergeCell ref="C138:D138"/>
    <mergeCell ref="C139:D139"/>
    <mergeCell ref="C140:D140"/>
    <mergeCell ref="C141:D141"/>
    <mergeCell ref="C142:D142"/>
    <mergeCell ref="A1:D1"/>
    <mergeCell ref="B12:D12"/>
    <mergeCell ref="C143:D143"/>
    <mergeCell ref="C144:D144"/>
    <mergeCell ref="C145:D145"/>
    <mergeCell ref="C133:D133"/>
    <mergeCell ref="C134:D134"/>
    <mergeCell ref="C135:D135"/>
    <mergeCell ref="C136:D136"/>
    <mergeCell ref="C137:D137"/>
    <mergeCell ref="C131:D131"/>
    <mergeCell ref="C132:D132"/>
    <mergeCell ref="C123:D123"/>
    <mergeCell ref="C124:D124"/>
    <mergeCell ref="C125:D125"/>
    <mergeCell ref="C126:D126"/>
    <mergeCell ref="C127:D127"/>
    <mergeCell ref="C119:D119"/>
    <mergeCell ref="C120:D120"/>
    <mergeCell ref="C121:D121"/>
    <mergeCell ref="C122:D122"/>
    <mergeCell ref="A78:D78"/>
    <mergeCell ref="C79:D79"/>
    <mergeCell ref="C80:D80"/>
    <mergeCell ref="C81:D81"/>
    <mergeCell ref="C82:D82"/>
    <mergeCell ref="C68:D68"/>
    <mergeCell ref="C75:D75"/>
    <mergeCell ref="C69:D69"/>
    <mergeCell ref="C70:D70"/>
    <mergeCell ref="C71:D71"/>
    <mergeCell ref="C73:D73"/>
    <mergeCell ref="C74:D74"/>
    <mergeCell ref="C63:D63"/>
    <mergeCell ref="C64:D64"/>
    <mergeCell ref="C65:D65"/>
    <mergeCell ref="C66:D66"/>
    <mergeCell ref="C67:D67"/>
    <mergeCell ref="B16:D16"/>
    <mergeCell ref="B17:D17"/>
    <mergeCell ref="B18:D18"/>
    <mergeCell ref="B19:D19"/>
    <mergeCell ref="B21:D21"/>
    <mergeCell ref="C58:D58"/>
    <mergeCell ref="B22:D22"/>
    <mergeCell ref="B23:D23"/>
    <mergeCell ref="B24:D24"/>
    <mergeCell ref="B28:D28"/>
    <mergeCell ref="C46:D46"/>
    <mergeCell ref="C47:D47"/>
    <mergeCell ref="C49:D49"/>
    <mergeCell ref="C50:D50"/>
    <mergeCell ref="C76:D76"/>
    <mergeCell ref="C77:D77"/>
    <mergeCell ref="A44:D44"/>
    <mergeCell ref="C52:D52"/>
    <mergeCell ref="C53:D53"/>
    <mergeCell ref="A62:D62"/>
    <mergeCell ref="C45:D45"/>
    <mergeCell ref="C48:D48"/>
    <mergeCell ref="C51:D51"/>
    <mergeCell ref="C54:D54"/>
    <mergeCell ref="A55:D55"/>
    <mergeCell ref="C56:D56"/>
    <mergeCell ref="C57:D57"/>
    <mergeCell ref="C59:D59"/>
    <mergeCell ref="C60:D60"/>
    <mergeCell ref="C61:D61"/>
  </mergeCells>
  <phoneticPr fontId="80" type="noConversion"/>
  <hyperlinks>
    <hyperlink ref="B13" r:id="rId1" xr:uid="{672D5502-2263-4AC0-B0BF-3C7CC3F5F5AC}"/>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0CDFC-56C1-45AB-ABC1-0D1D4A35397B}">
  <sheetPr>
    <tabColor theme="4" tint="0.39997558519241921"/>
  </sheetPr>
  <dimension ref="A1:AK313"/>
  <sheetViews>
    <sheetView topLeftCell="R296" zoomScale="90" zoomScaleNormal="90" workbookViewId="0">
      <selection activeCell="AH267" sqref="AH267"/>
    </sheetView>
  </sheetViews>
  <sheetFormatPr defaultRowHeight="15.75" x14ac:dyDescent="0.25"/>
  <cols>
    <col min="2" max="2" width="31" customWidth="1"/>
    <col min="3" max="3" width="10.75" customWidth="1"/>
    <col min="4" max="4" width="19.25" bestFit="1" customWidth="1"/>
    <col min="5" max="5" width="12.25" customWidth="1"/>
    <col min="6" max="6" width="22.5" customWidth="1"/>
    <col min="7" max="7" width="31.25" customWidth="1"/>
    <col min="8" max="8" width="16.75" bestFit="1" customWidth="1"/>
    <col min="9" max="9" width="16.5" customWidth="1"/>
    <col min="10" max="11" width="16.75" bestFit="1" customWidth="1"/>
    <col min="12" max="12" width="12.875" customWidth="1"/>
    <col min="13" max="13" width="13.5" customWidth="1"/>
    <col min="14" max="14" width="17.25" bestFit="1" customWidth="1"/>
    <col min="15" max="15" width="16.75" bestFit="1" customWidth="1"/>
    <col min="16" max="16" width="14.25" customWidth="1"/>
    <col min="17" max="18" width="13.25" customWidth="1"/>
    <col min="19" max="19" width="13.625" customWidth="1"/>
    <col min="20" max="20" width="11.625" customWidth="1"/>
    <col min="21" max="21" width="11.75" customWidth="1"/>
    <col min="22" max="23" width="12.75" customWidth="1"/>
    <col min="24" max="24" width="15" customWidth="1"/>
    <col min="25" max="27" width="16.75" bestFit="1" customWidth="1"/>
    <col min="28" max="28" width="12.25" customWidth="1"/>
    <col min="29" max="29" width="12.625" customWidth="1"/>
    <col min="30" max="32" width="16.25" bestFit="1" customWidth="1"/>
    <col min="33" max="33" width="16.75" bestFit="1" customWidth="1"/>
    <col min="34" max="34" width="14.75" customWidth="1"/>
    <col min="35" max="35" width="17.125" customWidth="1"/>
    <col min="36" max="36" width="10" bestFit="1" customWidth="1"/>
    <col min="37" max="38" width="8.75" bestFit="1" customWidth="1"/>
  </cols>
  <sheetData>
    <row r="1" spans="1:37" x14ac:dyDescent="0.25">
      <c r="A1" s="543" t="s">
        <v>33</v>
      </c>
      <c r="B1" s="544"/>
      <c r="C1" s="544"/>
      <c r="D1" s="544"/>
      <c r="E1" s="545"/>
    </row>
    <row r="2" spans="1:37" x14ac:dyDescent="0.25">
      <c r="A2" s="546"/>
      <c r="B2" s="547"/>
      <c r="C2" s="547"/>
      <c r="D2" s="547"/>
      <c r="E2" s="548"/>
    </row>
    <row r="3" spans="1:37" ht="24" customHeight="1" x14ac:dyDescent="0.25"/>
    <row r="4" spans="1:37" ht="22.9" customHeight="1" x14ac:dyDescent="0.35">
      <c r="B4" s="309" t="s">
        <v>15</v>
      </c>
      <c r="C4" s="309" t="s">
        <v>453</v>
      </c>
      <c r="E4" s="310"/>
      <c r="F4" s="310"/>
      <c r="G4" s="311"/>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0"/>
      <c r="AJ4" s="310"/>
      <c r="AK4" s="310"/>
    </row>
    <row r="5" spans="1:37" ht="15.6" customHeight="1" x14ac:dyDescent="0.25">
      <c r="E5" s="313" t="s">
        <v>454</v>
      </c>
      <c r="F5" s="313" t="s">
        <v>455</v>
      </c>
      <c r="G5" s="313" t="s">
        <v>46</v>
      </c>
      <c r="H5" s="314" t="s">
        <v>314</v>
      </c>
      <c r="I5" s="314" t="s">
        <v>315</v>
      </c>
      <c r="J5" s="314" t="s">
        <v>317</v>
      </c>
      <c r="K5" s="314" t="s">
        <v>316</v>
      </c>
      <c r="L5" s="315" t="s">
        <v>318</v>
      </c>
      <c r="M5" s="314" t="s">
        <v>319</v>
      </c>
      <c r="N5" s="314" t="s">
        <v>320</v>
      </c>
      <c r="O5" s="314" t="s">
        <v>321</v>
      </c>
      <c r="P5" s="314" t="s">
        <v>1</v>
      </c>
      <c r="Q5" s="314" t="s">
        <v>2</v>
      </c>
      <c r="R5" s="314" t="s">
        <v>416</v>
      </c>
      <c r="S5" s="314" t="s">
        <v>3</v>
      </c>
      <c r="T5" s="314" t="s">
        <v>322</v>
      </c>
      <c r="U5" s="314" t="s">
        <v>323</v>
      </c>
      <c r="V5" s="314" t="s">
        <v>324</v>
      </c>
      <c r="W5" s="314" t="s">
        <v>417</v>
      </c>
      <c r="X5" s="314" t="s">
        <v>325</v>
      </c>
      <c r="Y5" s="314" t="s">
        <v>4</v>
      </c>
      <c r="Z5" s="314" t="s">
        <v>5</v>
      </c>
      <c r="AA5" s="314" t="s">
        <v>6</v>
      </c>
      <c r="AB5" s="314" t="s">
        <v>7</v>
      </c>
      <c r="AC5" s="314" t="s">
        <v>418</v>
      </c>
      <c r="AD5" s="314" t="s">
        <v>8</v>
      </c>
      <c r="AE5" s="314" t="s">
        <v>9</v>
      </c>
      <c r="AF5" s="314" t="s">
        <v>419</v>
      </c>
      <c r="AG5" s="314" t="s">
        <v>10</v>
      </c>
      <c r="AH5" s="314" t="s">
        <v>420</v>
      </c>
      <c r="AI5" s="316" t="s">
        <v>11</v>
      </c>
      <c r="AJ5" s="316" t="s">
        <v>460</v>
      </c>
      <c r="AK5" s="316" t="s">
        <v>461</v>
      </c>
    </row>
    <row r="6" spans="1:37" x14ac:dyDescent="0.25">
      <c r="D6" s="46"/>
      <c r="E6" s="317" t="s">
        <v>103</v>
      </c>
      <c r="F6" s="46" t="s">
        <v>78</v>
      </c>
      <c r="G6" s="318" t="s">
        <v>456</v>
      </c>
      <c r="H6" s="319">
        <v>0</v>
      </c>
      <c r="I6" s="319">
        <v>0</v>
      </c>
      <c r="J6" s="319">
        <v>0</v>
      </c>
      <c r="K6" s="319">
        <v>0</v>
      </c>
      <c r="L6" s="319">
        <v>0</v>
      </c>
      <c r="M6" s="319">
        <v>0</v>
      </c>
      <c r="N6" s="319">
        <v>1</v>
      </c>
      <c r="O6" s="320">
        <v>7255</v>
      </c>
      <c r="P6" s="319">
        <v>0</v>
      </c>
      <c r="Q6" s="319">
        <v>0</v>
      </c>
      <c r="R6" s="319">
        <v>12</v>
      </c>
      <c r="S6" s="319">
        <v>0</v>
      </c>
      <c r="T6" s="319">
        <v>0</v>
      </c>
      <c r="U6" s="319">
        <v>0</v>
      </c>
      <c r="V6" s="319">
        <v>0</v>
      </c>
      <c r="W6" s="319">
        <v>0</v>
      </c>
      <c r="X6" s="320">
        <v>8121</v>
      </c>
      <c r="Y6" s="319">
        <v>435</v>
      </c>
      <c r="Z6" s="319">
        <v>0</v>
      </c>
      <c r="AA6" s="319">
        <v>0</v>
      </c>
      <c r="AB6" s="319">
        <v>2</v>
      </c>
      <c r="AC6" s="319">
        <v>0</v>
      </c>
      <c r="AD6" s="319">
        <v>0</v>
      </c>
      <c r="AE6" s="319">
        <v>0</v>
      </c>
      <c r="AF6" s="319">
        <v>0</v>
      </c>
      <c r="AG6" s="319">
        <v>0</v>
      </c>
      <c r="AH6" s="319">
        <v>0</v>
      </c>
      <c r="AI6" s="321">
        <v>0</v>
      </c>
      <c r="AJ6" s="321">
        <f>SUM(H6:AI6)</f>
        <v>15826</v>
      </c>
      <c r="AK6" s="322">
        <f>AJ6/AJ$18</f>
        <v>1.8845207683691059E-4</v>
      </c>
    </row>
    <row r="7" spans="1:37" x14ac:dyDescent="0.25">
      <c r="D7" s="46"/>
      <c r="E7" s="317" t="s">
        <v>368</v>
      </c>
      <c r="F7" s="46" t="s">
        <v>115</v>
      </c>
      <c r="G7" s="318" t="s">
        <v>456</v>
      </c>
      <c r="H7" s="320">
        <v>2906205</v>
      </c>
      <c r="I7" s="320">
        <v>134955</v>
      </c>
      <c r="J7" s="320">
        <v>2111128</v>
      </c>
      <c r="K7" s="320">
        <v>1073651</v>
      </c>
      <c r="L7" s="320">
        <v>14122</v>
      </c>
      <c r="M7" s="320">
        <v>86917</v>
      </c>
      <c r="N7" s="320">
        <v>925554</v>
      </c>
      <c r="O7" s="320">
        <v>1562790</v>
      </c>
      <c r="P7" s="320">
        <v>364158</v>
      </c>
      <c r="Q7" s="320">
        <v>113333</v>
      </c>
      <c r="R7" s="320">
        <v>78426</v>
      </c>
      <c r="S7" s="320">
        <v>702682</v>
      </c>
      <c r="T7" s="320">
        <v>257130</v>
      </c>
      <c r="U7" s="320">
        <v>66471</v>
      </c>
      <c r="V7" s="320">
        <v>654353</v>
      </c>
      <c r="W7" s="320">
        <v>669337</v>
      </c>
      <c r="X7" s="320">
        <v>493220</v>
      </c>
      <c r="Y7" s="320">
        <v>1162415</v>
      </c>
      <c r="Z7" s="320">
        <v>4161209</v>
      </c>
      <c r="AA7" s="319">
        <v>343</v>
      </c>
      <c r="AB7" s="320">
        <v>703484</v>
      </c>
      <c r="AC7" s="320">
        <v>71356</v>
      </c>
      <c r="AD7" s="320">
        <v>84914</v>
      </c>
      <c r="AE7" s="320">
        <v>247758</v>
      </c>
      <c r="AF7" s="320">
        <v>4266533</v>
      </c>
      <c r="AG7" s="320">
        <v>43714</v>
      </c>
      <c r="AH7" s="320">
        <v>5465</v>
      </c>
      <c r="AI7" s="323">
        <v>515757</v>
      </c>
      <c r="AJ7" s="352">
        <f>SUM(H7:AI7)</f>
        <v>23477380</v>
      </c>
      <c r="AK7" s="354">
        <f>AJ7/AJ$18</f>
        <v>0.27956280928152077</v>
      </c>
    </row>
    <row r="8" spans="1:37" x14ac:dyDescent="0.25">
      <c r="D8" s="46"/>
      <c r="E8" s="317" t="s">
        <v>170</v>
      </c>
      <c r="F8" s="46" t="s">
        <v>326</v>
      </c>
      <c r="G8" s="318" t="s">
        <v>456</v>
      </c>
      <c r="H8" s="319">
        <v>0</v>
      </c>
      <c r="I8" s="319">
        <v>0</v>
      </c>
      <c r="J8" s="319">
        <v>0</v>
      </c>
      <c r="K8" s="319">
        <v>0</v>
      </c>
      <c r="L8" s="319">
        <v>0</v>
      </c>
      <c r="M8" s="319">
        <v>0</v>
      </c>
      <c r="N8" s="319">
        <v>0</v>
      </c>
      <c r="O8" s="319">
        <v>0</v>
      </c>
      <c r="P8" s="319">
        <v>0</v>
      </c>
      <c r="Q8" s="319">
        <v>0</v>
      </c>
      <c r="R8" s="319">
        <v>0</v>
      </c>
      <c r="S8" s="320">
        <v>44800</v>
      </c>
      <c r="T8" s="319">
        <v>0</v>
      </c>
      <c r="U8" s="319">
        <v>0</v>
      </c>
      <c r="V8" s="319">
        <v>0</v>
      </c>
      <c r="W8" s="319">
        <v>0</v>
      </c>
      <c r="X8" s="319">
        <v>687</v>
      </c>
      <c r="Y8" s="319">
        <v>0</v>
      </c>
      <c r="Z8" s="319">
        <v>0</v>
      </c>
      <c r="AA8" s="319">
        <v>0</v>
      </c>
      <c r="AB8" s="319">
        <v>561</v>
      </c>
      <c r="AC8" s="319">
        <v>0</v>
      </c>
      <c r="AD8" s="319">
        <v>0</v>
      </c>
      <c r="AE8" s="319">
        <v>0</v>
      </c>
      <c r="AF8" s="319">
        <v>0</v>
      </c>
      <c r="AG8" s="319">
        <v>0</v>
      </c>
      <c r="AH8" s="319">
        <v>0</v>
      </c>
      <c r="AI8" s="323">
        <v>8568</v>
      </c>
      <c r="AJ8" s="352">
        <f t="shared" ref="AJ8:AJ17" si="0">SUM(H8:AI8)</f>
        <v>54616</v>
      </c>
      <c r="AK8" s="354">
        <f t="shared" ref="AK8:AK17" si="1">AJ8/AJ$18</f>
        <v>6.5035376143843737E-4</v>
      </c>
    </row>
    <row r="9" spans="1:37" x14ac:dyDescent="0.25">
      <c r="D9" s="46"/>
      <c r="E9" s="317" t="s">
        <v>104</v>
      </c>
      <c r="F9" s="46" t="s">
        <v>18</v>
      </c>
      <c r="G9" s="318" t="s">
        <v>456</v>
      </c>
      <c r="H9" s="319">
        <v>223</v>
      </c>
      <c r="I9" s="319">
        <v>128</v>
      </c>
      <c r="J9" s="319">
        <v>0</v>
      </c>
      <c r="K9" s="320">
        <v>197348</v>
      </c>
      <c r="L9" s="319">
        <v>279</v>
      </c>
      <c r="M9" s="320">
        <v>216611</v>
      </c>
      <c r="N9" s="320">
        <v>55344</v>
      </c>
      <c r="O9" s="319">
        <v>106</v>
      </c>
      <c r="P9" s="319">
        <v>0</v>
      </c>
      <c r="Q9" s="319">
        <v>0</v>
      </c>
      <c r="R9" s="319">
        <v>0</v>
      </c>
      <c r="S9" s="320">
        <v>1432296</v>
      </c>
      <c r="T9" s="320">
        <v>27175</v>
      </c>
      <c r="U9" s="320">
        <v>18975</v>
      </c>
      <c r="V9" s="320">
        <v>242327</v>
      </c>
      <c r="W9" s="320">
        <v>3746</v>
      </c>
      <c r="X9" s="320">
        <v>30108</v>
      </c>
      <c r="Y9" s="320">
        <v>54759</v>
      </c>
      <c r="Z9" s="320">
        <v>9500</v>
      </c>
      <c r="AA9" s="319">
        <v>0</v>
      </c>
      <c r="AB9" s="320">
        <v>4705</v>
      </c>
      <c r="AC9" s="320">
        <v>36562</v>
      </c>
      <c r="AD9" s="319">
        <v>389</v>
      </c>
      <c r="AE9" s="319">
        <v>0</v>
      </c>
      <c r="AF9" s="319">
        <v>0</v>
      </c>
      <c r="AG9" s="320">
        <v>76270</v>
      </c>
      <c r="AH9" s="320">
        <v>12477</v>
      </c>
      <c r="AI9" s="324">
        <v>0</v>
      </c>
      <c r="AJ9" s="352">
        <f t="shared" si="0"/>
        <v>2419328</v>
      </c>
      <c r="AK9" s="354">
        <f t="shared" si="1"/>
        <v>2.880875686526534E-2</v>
      </c>
    </row>
    <row r="10" spans="1:37" x14ac:dyDescent="0.25">
      <c r="D10" s="46"/>
      <c r="E10" s="317" t="s">
        <v>105</v>
      </c>
      <c r="F10" s="46" t="s">
        <v>19</v>
      </c>
      <c r="G10" s="318" t="s">
        <v>456</v>
      </c>
      <c r="H10" s="320">
        <v>80118</v>
      </c>
      <c r="I10" s="320">
        <v>410094</v>
      </c>
      <c r="J10" s="320">
        <v>78717</v>
      </c>
      <c r="K10" s="320">
        <v>213717</v>
      </c>
      <c r="L10" s="320">
        <v>257046</v>
      </c>
      <c r="M10" s="320">
        <v>222704</v>
      </c>
      <c r="N10" s="320">
        <v>384782</v>
      </c>
      <c r="O10" s="320">
        <v>354227</v>
      </c>
      <c r="P10" s="320">
        <v>513259</v>
      </c>
      <c r="Q10" s="320">
        <v>625061</v>
      </c>
      <c r="R10" s="320">
        <v>48903</v>
      </c>
      <c r="S10" s="320">
        <v>3872329</v>
      </c>
      <c r="T10" s="320">
        <v>257261</v>
      </c>
      <c r="U10" s="320">
        <v>589915</v>
      </c>
      <c r="V10" s="320">
        <v>366502</v>
      </c>
      <c r="W10" s="320">
        <v>1193479</v>
      </c>
      <c r="X10" s="320">
        <v>981530</v>
      </c>
      <c r="Y10" s="320">
        <v>733760</v>
      </c>
      <c r="Z10" s="320">
        <v>1116544</v>
      </c>
      <c r="AA10" s="320">
        <v>907424</v>
      </c>
      <c r="AB10" s="320">
        <v>569659</v>
      </c>
      <c r="AC10" s="320">
        <v>364352</v>
      </c>
      <c r="AD10" s="320">
        <v>1263009</v>
      </c>
      <c r="AE10" s="320">
        <v>232150</v>
      </c>
      <c r="AF10" s="320">
        <v>57431</v>
      </c>
      <c r="AG10" s="320">
        <v>579160</v>
      </c>
      <c r="AH10" s="320">
        <v>242704</v>
      </c>
      <c r="AI10" s="323">
        <v>5171576</v>
      </c>
      <c r="AJ10" s="352">
        <f t="shared" si="0"/>
        <v>21687413</v>
      </c>
      <c r="AK10" s="354">
        <f t="shared" si="1"/>
        <v>0.25824832687159194</v>
      </c>
    </row>
    <row r="11" spans="1:37" x14ac:dyDescent="0.25">
      <c r="D11" s="46"/>
      <c r="E11" s="317" t="s">
        <v>457</v>
      </c>
      <c r="F11" s="317" t="s">
        <v>458</v>
      </c>
      <c r="G11" s="318" t="s">
        <v>456</v>
      </c>
      <c r="H11" s="319">
        <v>0</v>
      </c>
      <c r="I11" s="319">
        <v>0</v>
      </c>
      <c r="J11" s="319">
        <v>0</v>
      </c>
      <c r="K11" s="319">
        <v>0</v>
      </c>
      <c r="L11" s="319">
        <v>0</v>
      </c>
      <c r="M11" s="319">
        <v>0</v>
      </c>
      <c r="N11" s="319">
        <v>0</v>
      </c>
      <c r="O11" s="319">
        <v>0</v>
      </c>
      <c r="P11" s="319">
        <v>0</v>
      </c>
      <c r="Q11" s="319">
        <v>0</v>
      </c>
      <c r="R11" s="319">
        <v>0</v>
      </c>
      <c r="S11" s="320">
        <v>12943</v>
      </c>
      <c r="T11" s="319">
        <v>0</v>
      </c>
      <c r="U11" s="319">
        <v>0</v>
      </c>
      <c r="V11" s="319">
        <v>0</v>
      </c>
      <c r="W11" s="319">
        <v>0</v>
      </c>
      <c r="X11" s="319">
        <v>0</v>
      </c>
      <c r="Y11" s="319">
        <v>0</v>
      </c>
      <c r="Z11" s="319">
        <v>0</v>
      </c>
      <c r="AA11" s="319">
        <v>0</v>
      </c>
      <c r="AB11" s="319">
        <v>0</v>
      </c>
      <c r="AC11" s="319">
        <v>0</v>
      </c>
      <c r="AD11" s="319">
        <v>0</v>
      </c>
      <c r="AE11" s="319">
        <v>0</v>
      </c>
      <c r="AF11" s="319">
        <v>0</v>
      </c>
      <c r="AG11" s="319">
        <v>0</v>
      </c>
      <c r="AH11" s="319">
        <v>0</v>
      </c>
      <c r="AI11" s="324">
        <v>0</v>
      </c>
      <c r="AJ11" s="352">
        <f t="shared" si="0"/>
        <v>12943</v>
      </c>
      <c r="AK11" s="354">
        <f>AJ11/AJ$18</f>
        <v>1.5412202897132149E-4</v>
      </c>
    </row>
    <row r="12" spans="1:37" x14ac:dyDescent="0.25">
      <c r="D12" s="46"/>
      <c r="E12" s="317" t="s">
        <v>106</v>
      </c>
      <c r="F12" s="46" t="s">
        <v>93</v>
      </c>
      <c r="G12" s="318" t="s">
        <v>456</v>
      </c>
      <c r="H12" s="319">
        <v>0</v>
      </c>
      <c r="I12" s="320">
        <v>490880</v>
      </c>
      <c r="J12" s="319">
        <v>0</v>
      </c>
      <c r="K12" s="319">
        <v>205</v>
      </c>
      <c r="L12" s="320">
        <v>158052</v>
      </c>
      <c r="M12" s="320">
        <v>584807</v>
      </c>
      <c r="N12" s="320">
        <v>3203</v>
      </c>
      <c r="O12" s="320">
        <v>452249</v>
      </c>
      <c r="P12" s="320">
        <v>16159</v>
      </c>
      <c r="Q12" s="320">
        <v>621027</v>
      </c>
      <c r="R12" s="320">
        <v>20967</v>
      </c>
      <c r="S12" s="320">
        <v>1764022</v>
      </c>
      <c r="T12" s="320">
        <v>369298</v>
      </c>
      <c r="U12" s="320">
        <v>1003533</v>
      </c>
      <c r="V12" s="320">
        <v>536950</v>
      </c>
      <c r="W12" s="320">
        <v>1323670</v>
      </c>
      <c r="X12" s="320">
        <v>1471518</v>
      </c>
      <c r="Y12" s="319">
        <v>783</v>
      </c>
      <c r="Z12" s="320">
        <v>58378</v>
      </c>
      <c r="AA12" s="320">
        <v>365542</v>
      </c>
      <c r="AB12" s="320">
        <v>382982</v>
      </c>
      <c r="AC12" s="320">
        <v>496230</v>
      </c>
      <c r="AD12" s="320">
        <v>1725157</v>
      </c>
      <c r="AE12" s="320">
        <v>26946</v>
      </c>
      <c r="AF12" s="319">
        <v>0</v>
      </c>
      <c r="AG12" s="320">
        <v>2721257</v>
      </c>
      <c r="AH12" s="320">
        <v>384488</v>
      </c>
      <c r="AI12" s="323">
        <v>4943752</v>
      </c>
      <c r="AJ12" s="352">
        <f t="shared" si="0"/>
        <v>19922055</v>
      </c>
      <c r="AK12" s="354">
        <f t="shared" si="1"/>
        <v>0.23722688232081127</v>
      </c>
    </row>
    <row r="13" spans="1:37" x14ac:dyDescent="0.25">
      <c r="D13" s="46"/>
      <c r="E13" s="317" t="s">
        <v>108</v>
      </c>
      <c r="F13" s="46" t="s">
        <v>20</v>
      </c>
      <c r="G13" s="318" t="s">
        <v>456</v>
      </c>
      <c r="H13" s="319">
        <v>0</v>
      </c>
      <c r="I13" s="319">
        <v>0</v>
      </c>
      <c r="J13" s="319">
        <v>0</v>
      </c>
      <c r="K13" s="319">
        <v>0</v>
      </c>
      <c r="L13" s="319">
        <v>0</v>
      </c>
      <c r="M13" s="320">
        <v>124960</v>
      </c>
      <c r="N13" s="319">
        <v>0</v>
      </c>
      <c r="O13" s="319">
        <v>0</v>
      </c>
      <c r="P13" s="319">
        <v>0</v>
      </c>
      <c r="Q13" s="319">
        <v>0</v>
      </c>
      <c r="R13" s="319">
        <v>0</v>
      </c>
      <c r="S13" s="320">
        <v>1288321</v>
      </c>
      <c r="T13" s="320">
        <v>201401</v>
      </c>
      <c r="U13" s="320">
        <v>41196</v>
      </c>
      <c r="V13" s="320">
        <v>326390</v>
      </c>
      <c r="W13" s="320">
        <v>93343</v>
      </c>
      <c r="X13" s="320">
        <v>454026</v>
      </c>
      <c r="Y13" s="319">
        <v>0</v>
      </c>
      <c r="Z13" s="319">
        <v>0</v>
      </c>
      <c r="AA13" s="320">
        <v>1077</v>
      </c>
      <c r="AB13" s="319">
        <v>0</v>
      </c>
      <c r="AC13" s="320">
        <v>2963</v>
      </c>
      <c r="AD13" s="319">
        <v>0</v>
      </c>
      <c r="AE13" s="319">
        <v>0</v>
      </c>
      <c r="AF13" s="319">
        <v>0</v>
      </c>
      <c r="AG13" s="320">
        <v>1996162</v>
      </c>
      <c r="AH13" s="320">
        <v>83484</v>
      </c>
      <c r="AI13" s="324">
        <v>0</v>
      </c>
      <c r="AJ13" s="352">
        <f t="shared" si="0"/>
        <v>4613323</v>
      </c>
      <c r="AK13" s="354">
        <f t="shared" si="1"/>
        <v>5.4934304339029884E-2</v>
      </c>
    </row>
    <row r="14" spans="1:37" x14ac:dyDescent="0.25">
      <c r="D14" s="46"/>
      <c r="E14" s="317" t="s">
        <v>109</v>
      </c>
      <c r="F14" s="46" t="s">
        <v>0</v>
      </c>
      <c r="G14" s="318" t="s">
        <v>456</v>
      </c>
      <c r="H14" s="320">
        <v>33901</v>
      </c>
      <c r="I14" s="320">
        <v>401863</v>
      </c>
      <c r="J14" s="320">
        <v>47688</v>
      </c>
      <c r="K14" s="320">
        <v>27811</v>
      </c>
      <c r="L14" s="320">
        <v>18848</v>
      </c>
      <c r="M14" s="320">
        <v>95767</v>
      </c>
      <c r="N14" s="320">
        <v>114216</v>
      </c>
      <c r="O14" s="320">
        <v>49706</v>
      </c>
      <c r="P14" s="320">
        <v>271453</v>
      </c>
      <c r="Q14" s="320">
        <v>14718</v>
      </c>
      <c r="R14" s="320">
        <v>41440</v>
      </c>
      <c r="S14" s="320">
        <v>1351449</v>
      </c>
      <c r="T14" s="320">
        <v>13275</v>
      </c>
      <c r="U14" s="320">
        <v>10101</v>
      </c>
      <c r="V14" s="320">
        <v>48415</v>
      </c>
      <c r="W14" s="320">
        <v>139478</v>
      </c>
      <c r="X14" s="320">
        <v>45937</v>
      </c>
      <c r="Y14" s="320">
        <v>408654</v>
      </c>
      <c r="Z14" s="320">
        <v>1089696</v>
      </c>
      <c r="AA14" s="320">
        <v>190659</v>
      </c>
      <c r="AB14" s="320">
        <v>284122</v>
      </c>
      <c r="AC14" s="320">
        <v>68381</v>
      </c>
      <c r="AD14" s="320">
        <v>291303</v>
      </c>
      <c r="AE14" s="320">
        <v>225928</v>
      </c>
      <c r="AF14" s="320">
        <v>16946</v>
      </c>
      <c r="AG14" s="320">
        <v>518388</v>
      </c>
      <c r="AH14" s="320">
        <v>30309</v>
      </c>
      <c r="AI14" s="323">
        <v>188213</v>
      </c>
      <c r="AJ14" s="352">
        <f t="shared" si="0"/>
        <v>6038665</v>
      </c>
      <c r="AK14" s="354">
        <f t="shared" si="1"/>
        <v>7.1906922821456012E-2</v>
      </c>
    </row>
    <row r="15" spans="1:37" x14ac:dyDescent="0.25">
      <c r="D15" s="46"/>
      <c r="E15" s="317" t="s">
        <v>110</v>
      </c>
      <c r="F15" s="46" t="s">
        <v>367</v>
      </c>
      <c r="G15" s="318" t="s">
        <v>456</v>
      </c>
      <c r="H15" s="325">
        <v>10854</v>
      </c>
      <c r="I15" s="320">
        <v>4996</v>
      </c>
      <c r="J15" s="320">
        <v>14741</v>
      </c>
      <c r="K15" s="320">
        <v>25642</v>
      </c>
      <c r="L15" s="319">
        <v>126</v>
      </c>
      <c r="M15" s="320">
        <v>90422</v>
      </c>
      <c r="N15" s="320">
        <v>25802</v>
      </c>
      <c r="O15" s="320">
        <v>20386</v>
      </c>
      <c r="P15" s="319">
        <v>89</v>
      </c>
      <c r="Q15" s="320">
        <v>52545</v>
      </c>
      <c r="R15" s="320">
        <v>4148</v>
      </c>
      <c r="S15" s="320">
        <v>1992017</v>
      </c>
      <c r="T15" s="319">
        <v>650</v>
      </c>
      <c r="U15" s="320">
        <v>153125</v>
      </c>
      <c r="V15" s="320">
        <v>13094</v>
      </c>
      <c r="W15" s="320">
        <v>301673</v>
      </c>
      <c r="X15" s="320">
        <v>680574</v>
      </c>
      <c r="Y15" s="320">
        <v>755768</v>
      </c>
      <c r="Z15" s="320">
        <v>97020</v>
      </c>
      <c r="AA15" s="320">
        <v>289855</v>
      </c>
      <c r="AB15" s="320">
        <v>15633</v>
      </c>
      <c r="AC15" s="320">
        <v>42739</v>
      </c>
      <c r="AD15" s="320">
        <v>191801</v>
      </c>
      <c r="AE15" s="319">
        <v>0</v>
      </c>
      <c r="AF15" s="320">
        <v>24086</v>
      </c>
      <c r="AG15" s="320">
        <v>104754</v>
      </c>
      <c r="AH15" s="320">
        <v>100412</v>
      </c>
      <c r="AI15" s="323">
        <v>439794</v>
      </c>
      <c r="AJ15" s="352">
        <f t="shared" si="0"/>
        <v>5452746</v>
      </c>
      <c r="AK15" s="354">
        <f>AJ15/AJ$18</f>
        <v>6.4929944911168769E-2</v>
      </c>
    </row>
    <row r="16" spans="1:37" x14ac:dyDescent="0.25">
      <c r="D16" s="46"/>
      <c r="E16" s="317" t="s">
        <v>107</v>
      </c>
      <c r="F16" s="46" t="s">
        <v>21</v>
      </c>
      <c r="G16" s="326" t="s">
        <v>456</v>
      </c>
      <c r="H16" s="319">
        <v>0</v>
      </c>
      <c r="I16" s="319">
        <v>0</v>
      </c>
      <c r="J16" s="319">
        <v>0</v>
      </c>
      <c r="K16" s="319">
        <v>0</v>
      </c>
      <c r="L16" s="319">
        <v>208</v>
      </c>
      <c r="M16" s="319">
        <v>265</v>
      </c>
      <c r="N16" s="319">
        <v>0</v>
      </c>
      <c r="O16" s="319">
        <v>0</v>
      </c>
      <c r="P16" s="319">
        <v>0</v>
      </c>
      <c r="Q16" s="319">
        <v>0</v>
      </c>
      <c r="R16" s="319">
        <v>0</v>
      </c>
      <c r="S16" s="319">
        <v>0</v>
      </c>
      <c r="T16" s="319">
        <v>0</v>
      </c>
      <c r="U16" s="319">
        <v>511</v>
      </c>
      <c r="V16" s="319">
        <v>937</v>
      </c>
      <c r="W16" s="319">
        <v>44</v>
      </c>
      <c r="X16" s="320">
        <v>1060</v>
      </c>
      <c r="Y16" s="319">
        <v>0</v>
      </c>
      <c r="Z16" s="319">
        <v>0</v>
      </c>
      <c r="AA16" s="320">
        <v>2467</v>
      </c>
      <c r="AB16" s="319">
        <v>0</v>
      </c>
      <c r="AC16" s="320">
        <v>55559</v>
      </c>
      <c r="AD16" s="319">
        <v>0</v>
      </c>
      <c r="AE16" s="319">
        <v>0</v>
      </c>
      <c r="AF16" s="319">
        <v>0</v>
      </c>
      <c r="AG16" s="319">
        <v>0</v>
      </c>
      <c r="AH16" s="320">
        <v>1514</v>
      </c>
      <c r="AI16" s="323">
        <v>14096</v>
      </c>
      <c r="AJ16" s="352">
        <f t="shared" si="0"/>
        <v>76661</v>
      </c>
      <c r="AK16" s="354">
        <f t="shared" si="1"/>
        <v>9.1286014548176437E-4</v>
      </c>
    </row>
    <row r="17" spans="4:37" x14ac:dyDescent="0.25">
      <c r="D17" s="46"/>
      <c r="E17" s="327" t="s">
        <v>111</v>
      </c>
      <c r="F17" s="46" t="s">
        <v>459</v>
      </c>
      <c r="G17" s="328" t="s">
        <v>456</v>
      </c>
      <c r="H17" s="329">
        <v>0</v>
      </c>
      <c r="I17" s="330">
        <v>2462</v>
      </c>
      <c r="J17" s="331">
        <v>0</v>
      </c>
      <c r="K17" s="331">
        <v>0</v>
      </c>
      <c r="L17" s="330">
        <v>17387</v>
      </c>
      <c r="M17" s="331">
        <v>182</v>
      </c>
      <c r="N17" s="331">
        <v>96</v>
      </c>
      <c r="O17" s="331">
        <v>0</v>
      </c>
      <c r="P17" s="331">
        <v>0</v>
      </c>
      <c r="Q17" s="331">
        <v>0</v>
      </c>
      <c r="R17" s="331">
        <v>0</v>
      </c>
      <c r="S17" s="331">
        <v>0</v>
      </c>
      <c r="T17" s="331">
        <v>331</v>
      </c>
      <c r="U17" s="330">
        <v>3680</v>
      </c>
      <c r="V17" s="330">
        <v>5553</v>
      </c>
      <c r="W17" s="330">
        <v>41540</v>
      </c>
      <c r="X17" s="330">
        <v>37619</v>
      </c>
      <c r="Y17" s="331">
        <v>0</v>
      </c>
      <c r="Z17" s="331">
        <v>0</v>
      </c>
      <c r="AA17" s="330">
        <v>6970</v>
      </c>
      <c r="AB17" s="331">
        <v>898</v>
      </c>
      <c r="AC17" s="330">
        <v>45108</v>
      </c>
      <c r="AD17" s="331">
        <v>0</v>
      </c>
      <c r="AE17" s="330">
        <v>7885</v>
      </c>
      <c r="AF17" s="331">
        <v>0</v>
      </c>
      <c r="AG17" s="331">
        <v>0</v>
      </c>
      <c r="AH17" s="331">
        <v>853</v>
      </c>
      <c r="AI17" s="332">
        <v>37390</v>
      </c>
      <c r="AJ17" s="353">
        <f t="shared" si="0"/>
        <v>207954</v>
      </c>
      <c r="AK17" s="355">
        <f t="shared" si="1"/>
        <v>2.4762645764275816E-3</v>
      </c>
    </row>
    <row r="18" spans="4:37" x14ac:dyDescent="0.25">
      <c r="H18">
        <f>SUM(H6:H17)</f>
        <v>3031301</v>
      </c>
      <c r="I18">
        <f t="shared" ref="I18:AI18" si="2">SUM(I6:I17)</f>
        <v>1445378</v>
      </c>
      <c r="J18">
        <f t="shared" si="2"/>
        <v>2252274</v>
      </c>
      <c r="K18">
        <f t="shared" si="2"/>
        <v>1538374</v>
      </c>
      <c r="L18">
        <f t="shared" si="2"/>
        <v>466068</v>
      </c>
      <c r="M18">
        <f t="shared" si="2"/>
        <v>1422635</v>
      </c>
      <c r="N18">
        <f t="shared" si="2"/>
        <v>1508998</v>
      </c>
      <c r="O18">
        <f t="shared" si="2"/>
        <v>2446719</v>
      </c>
      <c r="P18">
        <f t="shared" si="2"/>
        <v>1165118</v>
      </c>
      <c r="Q18">
        <f t="shared" si="2"/>
        <v>1426684</v>
      </c>
      <c r="R18">
        <f t="shared" si="2"/>
        <v>193896</v>
      </c>
      <c r="S18">
        <f t="shared" si="2"/>
        <v>12460859</v>
      </c>
      <c r="T18">
        <f t="shared" si="2"/>
        <v>1126521</v>
      </c>
      <c r="U18">
        <f t="shared" si="2"/>
        <v>1887507</v>
      </c>
      <c r="V18">
        <f t="shared" si="2"/>
        <v>2194521</v>
      </c>
      <c r="W18">
        <f t="shared" si="2"/>
        <v>3766310</v>
      </c>
      <c r="X18">
        <f t="shared" si="2"/>
        <v>4204400</v>
      </c>
      <c r="Y18">
        <f t="shared" si="2"/>
        <v>3116574</v>
      </c>
      <c r="Z18">
        <f t="shared" si="2"/>
        <v>6532347</v>
      </c>
      <c r="AA18">
        <f t="shared" si="2"/>
        <v>1764337</v>
      </c>
      <c r="AB18">
        <f t="shared" si="2"/>
        <v>1962046</v>
      </c>
      <c r="AC18">
        <f t="shared" si="2"/>
        <v>1183250</v>
      </c>
      <c r="AD18">
        <f t="shared" si="2"/>
        <v>3556573</v>
      </c>
      <c r="AE18">
        <f t="shared" si="2"/>
        <v>740667</v>
      </c>
      <c r="AF18">
        <f t="shared" si="2"/>
        <v>4364996</v>
      </c>
      <c r="AG18">
        <f t="shared" si="2"/>
        <v>6039705</v>
      </c>
      <c r="AH18">
        <f t="shared" si="2"/>
        <v>861706</v>
      </c>
      <c r="AI18">
        <f t="shared" si="2"/>
        <v>11319146</v>
      </c>
      <c r="AJ18">
        <f>SUM(AJ6:AJ17)</f>
        <v>83978910</v>
      </c>
      <c r="AK18" s="356">
        <f>SUM(AK6:AK17)</f>
        <v>1.0000000000000002</v>
      </c>
    </row>
    <row r="21" spans="4:37" x14ac:dyDescent="0.25">
      <c r="D21" s="57" t="s">
        <v>15</v>
      </c>
      <c r="E21" s="57"/>
      <c r="F21" s="57"/>
      <c r="G21" s="57"/>
      <c r="H21" s="57" t="s">
        <v>314</v>
      </c>
      <c r="I21" s="57" t="s">
        <v>315</v>
      </c>
      <c r="J21" s="57" t="s">
        <v>317</v>
      </c>
      <c r="K21" s="57" t="s">
        <v>316</v>
      </c>
      <c r="L21" s="57" t="s">
        <v>318</v>
      </c>
      <c r="M21" s="57" t="s">
        <v>319</v>
      </c>
      <c r="N21" s="57" t="s">
        <v>320</v>
      </c>
      <c r="O21" s="57" t="s">
        <v>321</v>
      </c>
      <c r="P21" s="57" t="s">
        <v>1</v>
      </c>
      <c r="Q21" s="57" t="s">
        <v>2</v>
      </c>
      <c r="R21" s="57" t="s">
        <v>416</v>
      </c>
      <c r="S21" s="57" t="s">
        <v>3</v>
      </c>
      <c r="T21" s="57" t="s">
        <v>322</v>
      </c>
      <c r="U21" s="57" t="s">
        <v>323</v>
      </c>
      <c r="V21" s="57" t="s">
        <v>324</v>
      </c>
      <c r="W21" s="57" t="s">
        <v>417</v>
      </c>
      <c r="X21" s="57" t="s">
        <v>325</v>
      </c>
      <c r="Y21" s="57" t="s">
        <v>4</v>
      </c>
      <c r="Z21" s="57" t="s">
        <v>5</v>
      </c>
      <c r="AA21" s="57" t="s">
        <v>6</v>
      </c>
      <c r="AB21" s="57" t="s">
        <v>7</v>
      </c>
      <c r="AC21" s="57" t="s">
        <v>418</v>
      </c>
      <c r="AD21" s="57" t="s">
        <v>8</v>
      </c>
      <c r="AE21" s="57" t="s">
        <v>9</v>
      </c>
      <c r="AF21" s="57" t="s">
        <v>419</v>
      </c>
      <c r="AG21" s="57" t="s">
        <v>10</v>
      </c>
      <c r="AH21" s="57" t="s">
        <v>420</v>
      </c>
      <c r="AI21" s="57" t="s">
        <v>11</v>
      </c>
    </row>
    <row r="22" spans="4:37" ht="16.5" thickBot="1" x14ac:dyDescent="0.3">
      <c r="D22" s="58" t="s">
        <v>101</v>
      </c>
      <c r="E22" s="58" t="s">
        <v>114</v>
      </c>
      <c r="F22" s="58" t="s">
        <v>116</v>
      </c>
      <c r="G22" s="58" t="s">
        <v>117</v>
      </c>
      <c r="H22" s="58" t="s">
        <v>12</v>
      </c>
      <c r="I22" s="58" t="s">
        <v>12</v>
      </c>
      <c r="J22" s="58" t="s">
        <v>12</v>
      </c>
      <c r="K22" s="58" t="s">
        <v>12</v>
      </c>
      <c r="L22" s="58" t="s">
        <v>12</v>
      </c>
      <c r="M22" s="58" t="s">
        <v>12</v>
      </c>
      <c r="N22" s="58" t="s">
        <v>12</v>
      </c>
      <c r="O22" s="58" t="s">
        <v>12</v>
      </c>
      <c r="P22" s="58" t="s">
        <v>12</v>
      </c>
      <c r="Q22" s="58" t="s">
        <v>12</v>
      </c>
      <c r="R22" s="58" t="s">
        <v>12</v>
      </c>
      <c r="S22" s="58" t="s">
        <v>12</v>
      </c>
      <c r="T22" s="58" t="s">
        <v>12</v>
      </c>
      <c r="U22" s="58" t="s">
        <v>12</v>
      </c>
      <c r="V22" s="58" t="s">
        <v>12</v>
      </c>
      <c r="W22" s="58" t="s">
        <v>12</v>
      </c>
      <c r="X22" s="58" t="s">
        <v>12</v>
      </c>
      <c r="Y22" s="58" t="s">
        <v>12</v>
      </c>
      <c r="Z22" s="58" t="s">
        <v>12</v>
      </c>
      <c r="AA22" s="58" t="s">
        <v>12</v>
      </c>
      <c r="AB22" s="58" t="s">
        <v>12</v>
      </c>
      <c r="AC22" s="58" t="s">
        <v>12</v>
      </c>
      <c r="AD22" s="58" t="s">
        <v>12</v>
      </c>
      <c r="AE22" s="58" t="s">
        <v>12</v>
      </c>
      <c r="AF22" s="58" t="s">
        <v>12</v>
      </c>
      <c r="AG22" s="58" t="s">
        <v>12</v>
      </c>
      <c r="AH22" s="58" t="s">
        <v>12</v>
      </c>
      <c r="AI22" s="58" t="s">
        <v>12</v>
      </c>
    </row>
    <row r="23" spans="4:37" x14ac:dyDescent="0.25">
      <c r="D23" s="46" t="s">
        <v>102</v>
      </c>
      <c r="E23" s="46" t="s">
        <v>33</v>
      </c>
      <c r="F23" s="223" t="s">
        <v>351</v>
      </c>
      <c r="G23" s="46" t="s">
        <v>18</v>
      </c>
      <c r="H23" s="66">
        <v>0</v>
      </c>
      <c r="I23" s="66">
        <v>0.128</v>
      </c>
      <c r="J23" s="66">
        <v>0</v>
      </c>
      <c r="K23" s="66">
        <v>197.34800000000001</v>
      </c>
      <c r="L23" s="66">
        <v>0.251</v>
      </c>
      <c r="M23" s="66">
        <v>194.482</v>
      </c>
      <c r="N23" s="66">
        <v>55.344000000000001</v>
      </c>
      <c r="O23" s="66">
        <v>0.106</v>
      </c>
      <c r="P23" s="66">
        <v>0</v>
      </c>
      <c r="Q23" s="66">
        <v>0</v>
      </c>
      <c r="R23" s="66">
        <v>0</v>
      </c>
      <c r="S23" s="66">
        <v>1432.296</v>
      </c>
      <c r="T23" s="66">
        <v>18.253</v>
      </c>
      <c r="U23" s="66">
        <v>18.975000000000001</v>
      </c>
      <c r="V23" s="66">
        <v>217.77600000000001</v>
      </c>
      <c r="W23" s="66">
        <v>3.5630000000000002</v>
      </c>
      <c r="X23" s="66">
        <v>15.858000000000001</v>
      </c>
      <c r="Y23" s="66">
        <v>54.759</v>
      </c>
      <c r="Z23" s="66">
        <v>9.5</v>
      </c>
      <c r="AA23" s="66">
        <v>0</v>
      </c>
      <c r="AB23" s="66">
        <v>4.6230000000000002</v>
      </c>
      <c r="AC23" s="66">
        <v>21.324999999999999</v>
      </c>
      <c r="AD23" s="66">
        <v>0.38900000000000001</v>
      </c>
      <c r="AE23" s="66">
        <v>0</v>
      </c>
      <c r="AF23" s="66">
        <v>0</v>
      </c>
      <c r="AG23" s="66">
        <v>62.125</v>
      </c>
      <c r="AH23" s="66">
        <v>12.477</v>
      </c>
      <c r="AI23" s="66">
        <v>0</v>
      </c>
    </row>
    <row r="24" spans="4:37" x14ac:dyDescent="0.25">
      <c r="D24" s="46" t="s">
        <v>102</v>
      </c>
      <c r="E24" s="46" t="s">
        <v>33</v>
      </c>
      <c r="F24" s="223" t="s">
        <v>450</v>
      </c>
      <c r="G24" s="46" t="s">
        <v>452</v>
      </c>
      <c r="H24" s="66">
        <v>0.223</v>
      </c>
      <c r="I24" s="66">
        <v>0</v>
      </c>
      <c r="J24" s="66">
        <v>0</v>
      </c>
      <c r="K24" s="66">
        <v>0</v>
      </c>
      <c r="L24" s="66">
        <v>2.8000000000000001E-2</v>
      </c>
      <c r="M24" s="66">
        <v>22.129000000000001</v>
      </c>
      <c r="N24" s="66">
        <v>0</v>
      </c>
      <c r="O24" s="66">
        <v>0</v>
      </c>
      <c r="P24" s="66">
        <v>0</v>
      </c>
      <c r="Q24" s="66">
        <v>0</v>
      </c>
      <c r="R24" s="66">
        <v>0</v>
      </c>
      <c r="S24" s="66">
        <v>0</v>
      </c>
      <c r="T24" s="66">
        <v>8.9220000000000006</v>
      </c>
      <c r="U24" s="66">
        <v>0</v>
      </c>
      <c r="V24" s="66">
        <v>24.550999999999998</v>
      </c>
      <c r="W24" s="66">
        <v>0.183</v>
      </c>
      <c r="X24" s="66">
        <v>14.25</v>
      </c>
      <c r="Y24" s="66">
        <v>0</v>
      </c>
      <c r="Z24" s="66">
        <v>0</v>
      </c>
      <c r="AA24" s="66">
        <v>0</v>
      </c>
      <c r="AB24" s="66">
        <v>8.2000000000000003E-2</v>
      </c>
      <c r="AC24" s="66">
        <v>15.237</v>
      </c>
      <c r="AD24" s="66">
        <v>0</v>
      </c>
      <c r="AE24" s="66">
        <v>0</v>
      </c>
      <c r="AF24" s="66">
        <v>0</v>
      </c>
      <c r="AG24" s="66">
        <v>14.145</v>
      </c>
      <c r="AH24" s="66">
        <v>0</v>
      </c>
      <c r="AI24" s="66">
        <v>0</v>
      </c>
    </row>
    <row r="25" spans="4:37" x14ac:dyDescent="0.25">
      <c r="D25" s="46" t="s">
        <v>102</v>
      </c>
      <c r="E25" s="46" t="s">
        <v>33</v>
      </c>
      <c r="F25" s="223" t="s">
        <v>352</v>
      </c>
      <c r="G25" s="46" t="s">
        <v>71</v>
      </c>
      <c r="H25" s="66">
        <v>0</v>
      </c>
      <c r="I25" s="66">
        <v>0.28100000000000003</v>
      </c>
      <c r="J25" s="66">
        <v>0.34100000000000003</v>
      </c>
      <c r="K25" s="66">
        <v>9.3919999999999995</v>
      </c>
      <c r="L25" s="66">
        <v>0.126</v>
      </c>
      <c r="M25" s="66">
        <v>82.700999999999993</v>
      </c>
      <c r="N25" s="66">
        <v>0.76600000000000001</v>
      </c>
      <c r="O25" s="66">
        <v>2.4969999999999999</v>
      </c>
      <c r="P25" s="66">
        <v>0</v>
      </c>
      <c r="Q25" s="66">
        <v>50.26</v>
      </c>
      <c r="R25" s="66">
        <v>0</v>
      </c>
      <c r="S25" s="66">
        <v>263.90199999999999</v>
      </c>
      <c r="T25" s="66">
        <v>0.61699999999999999</v>
      </c>
      <c r="U25" s="66">
        <v>74.668999999999997</v>
      </c>
      <c r="V25" s="66">
        <v>9.1959999999999997</v>
      </c>
      <c r="W25" s="66">
        <v>293.20800000000003</v>
      </c>
      <c r="X25" s="66">
        <v>629.971</v>
      </c>
      <c r="Y25" s="66">
        <v>23.170999999999999</v>
      </c>
      <c r="Z25" s="66">
        <v>0</v>
      </c>
      <c r="AA25" s="66">
        <v>0</v>
      </c>
      <c r="AB25" s="66">
        <v>2.0569999999999999</v>
      </c>
      <c r="AC25" s="66">
        <v>25.068000000000001</v>
      </c>
      <c r="AD25" s="66">
        <v>11.051</v>
      </c>
      <c r="AE25" s="66">
        <v>0</v>
      </c>
      <c r="AF25" s="66">
        <v>0</v>
      </c>
      <c r="AG25" s="66">
        <v>73.31</v>
      </c>
      <c r="AH25" s="66">
        <v>23.841000000000001</v>
      </c>
      <c r="AI25" s="66">
        <v>428.51499999999999</v>
      </c>
    </row>
    <row r="26" spans="4:37" x14ac:dyDescent="0.25">
      <c r="D26" s="46" t="s">
        <v>102</v>
      </c>
      <c r="E26" s="46" t="s">
        <v>33</v>
      </c>
      <c r="F26" s="223" t="s">
        <v>353</v>
      </c>
      <c r="G26" s="46" t="s">
        <v>19</v>
      </c>
      <c r="H26" s="66">
        <v>80.117999999999995</v>
      </c>
      <c r="I26" s="66">
        <v>410.09399999999999</v>
      </c>
      <c r="J26" s="66">
        <v>78.716999999999999</v>
      </c>
      <c r="K26" s="66">
        <v>213.71700000000001</v>
      </c>
      <c r="L26" s="66">
        <v>257.04599999999999</v>
      </c>
      <c r="M26" s="66">
        <v>222.70400000000001</v>
      </c>
      <c r="N26" s="66">
        <v>384.78199999999998</v>
      </c>
      <c r="O26" s="66">
        <v>354.22699999999998</v>
      </c>
      <c r="P26" s="66">
        <v>513.25900000000001</v>
      </c>
      <c r="Q26" s="66">
        <v>625.06100000000004</v>
      </c>
      <c r="R26" s="66">
        <v>48.902999999999999</v>
      </c>
      <c r="S26" s="66">
        <v>3872.3290000000002</v>
      </c>
      <c r="T26" s="66">
        <v>257.26100000000002</v>
      </c>
      <c r="U26" s="66">
        <v>589.91499999999996</v>
      </c>
      <c r="V26" s="66">
        <v>366.50200000000001</v>
      </c>
      <c r="W26" s="66">
        <v>1193.479</v>
      </c>
      <c r="X26" s="66">
        <v>981.53</v>
      </c>
      <c r="Y26" s="66">
        <v>733.76</v>
      </c>
      <c r="Z26" s="66">
        <v>1116.5440000000001</v>
      </c>
      <c r="AA26" s="66">
        <v>907.42399999999998</v>
      </c>
      <c r="AB26" s="66">
        <v>569.65899999999999</v>
      </c>
      <c r="AC26" s="66">
        <v>364.35199999999998</v>
      </c>
      <c r="AD26" s="66">
        <v>1263.009</v>
      </c>
      <c r="AE26" s="66">
        <v>232.15</v>
      </c>
      <c r="AF26" s="66">
        <v>57.430999999999997</v>
      </c>
      <c r="AG26" s="66">
        <v>579.16</v>
      </c>
      <c r="AH26" s="66">
        <v>242.70400000000001</v>
      </c>
      <c r="AI26" s="66">
        <v>5171.576</v>
      </c>
    </row>
    <row r="27" spans="4:37" x14ac:dyDescent="0.25">
      <c r="D27" s="46" t="s">
        <v>102</v>
      </c>
      <c r="E27" s="46" t="s">
        <v>33</v>
      </c>
      <c r="F27" s="223" t="s">
        <v>354</v>
      </c>
      <c r="G27" s="46" t="s">
        <v>72</v>
      </c>
      <c r="H27" s="66">
        <v>0</v>
      </c>
      <c r="I27" s="66">
        <v>0</v>
      </c>
      <c r="J27" s="66">
        <v>0.83299999999999996</v>
      </c>
      <c r="K27" s="66">
        <v>7.6999999999999999E-2</v>
      </c>
      <c r="L27" s="66">
        <v>0</v>
      </c>
      <c r="M27" s="66">
        <v>3.1E-2</v>
      </c>
      <c r="N27" s="66">
        <v>22.559000000000001</v>
      </c>
      <c r="O27" s="66">
        <v>0</v>
      </c>
      <c r="P27" s="66">
        <v>1E-3</v>
      </c>
      <c r="Q27" s="66">
        <v>0</v>
      </c>
      <c r="R27" s="66">
        <v>0</v>
      </c>
      <c r="S27" s="66">
        <v>1717.6320000000001</v>
      </c>
      <c r="T27" s="66">
        <v>3.3000000000000002E-2</v>
      </c>
      <c r="U27" s="66">
        <v>0</v>
      </c>
      <c r="V27" s="66">
        <v>0.223</v>
      </c>
      <c r="W27" s="66">
        <v>0</v>
      </c>
      <c r="X27" s="66">
        <v>13.180999999999999</v>
      </c>
      <c r="Y27" s="66">
        <v>711.16700000000003</v>
      </c>
      <c r="Z27" s="66">
        <v>0</v>
      </c>
      <c r="AA27" s="66">
        <v>0</v>
      </c>
      <c r="AB27" s="66">
        <v>0.38200000000000001</v>
      </c>
      <c r="AC27" s="66">
        <v>0</v>
      </c>
      <c r="AD27" s="66">
        <v>0</v>
      </c>
      <c r="AE27" s="66">
        <v>0</v>
      </c>
      <c r="AF27" s="66">
        <v>0</v>
      </c>
      <c r="AG27" s="66">
        <v>0</v>
      </c>
      <c r="AH27" s="66">
        <v>0</v>
      </c>
      <c r="AI27" s="66">
        <v>0</v>
      </c>
    </row>
    <row r="28" spans="4:37" x14ac:dyDescent="0.25">
      <c r="D28" s="46" t="s">
        <v>102</v>
      </c>
      <c r="E28" s="46" t="s">
        <v>33</v>
      </c>
      <c r="F28" s="223" t="s">
        <v>342</v>
      </c>
      <c r="G28" s="46" t="s">
        <v>21</v>
      </c>
      <c r="H28" s="66">
        <v>0</v>
      </c>
      <c r="I28" s="66">
        <v>0</v>
      </c>
      <c r="J28" s="66">
        <v>0</v>
      </c>
      <c r="K28" s="66">
        <v>0</v>
      </c>
      <c r="L28" s="66">
        <v>0.20799999999999999</v>
      </c>
      <c r="M28" s="66">
        <v>0.26500000000000001</v>
      </c>
      <c r="N28" s="66">
        <v>0</v>
      </c>
      <c r="O28" s="66">
        <v>0</v>
      </c>
      <c r="P28" s="66">
        <v>0</v>
      </c>
      <c r="Q28" s="66">
        <v>0</v>
      </c>
      <c r="R28" s="66">
        <v>0</v>
      </c>
      <c r="S28" s="66">
        <v>0</v>
      </c>
      <c r="T28" s="66">
        <v>0</v>
      </c>
      <c r="U28" s="66">
        <v>0.51100000000000001</v>
      </c>
      <c r="V28" s="66">
        <v>0.93700000000000006</v>
      </c>
      <c r="W28" s="66">
        <v>4.3999999999999997E-2</v>
      </c>
      <c r="X28" s="66">
        <v>1.06</v>
      </c>
      <c r="Y28" s="66">
        <v>0</v>
      </c>
      <c r="Z28" s="66">
        <v>0</v>
      </c>
      <c r="AA28" s="66">
        <v>2.4670000000000001</v>
      </c>
      <c r="AB28" s="66">
        <v>0</v>
      </c>
      <c r="AC28" s="66">
        <v>55.558999999999997</v>
      </c>
      <c r="AD28" s="66">
        <v>0</v>
      </c>
      <c r="AE28" s="66">
        <v>0</v>
      </c>
      <c r="AF28" s="66">
        <v>0</v>
      </c>
      <c r="AG28" s="66">
        <v>0</v>
      </c>
      <c r="AH28" s="66">
        <v>1.514</v>
      </c>
      <c r="AI28" s="66">
        <v>14.096</v>
      </c>
    </row>
    <row r="29" spans="4:37" x14ac:dyDescent="0.25">
      <c r="D29" s="46" t="s">
        <v>102</v>
      </c>
      <c r="E29" s="46" t="s">
        <v>33</v>
      </c>
      <c r="F29" s="223" t="s">
        <v>355</v>
      </c>
      <c r="G29" s="46" t="s">
        <v>422</v>
      </c>
      <c r="H29" s="66">
        <v>0</v>
      </c>
      <c r="I29" s="66">
        <v>0</v>
      </c>
      <c r="J29" s="66">
        <v>0.11</v>
      </c>
      <c r="K29" s="66">
        <v>0</v>
      </c>
      <c r="L29" s="66">
        <v>0</v>
      </c>
      <c r="M29" s="66">
        <v>0</v>
      </c>
      <c r="N29" s="66">
        <v>0</v>
      </c>
      <c r="O29" s="66">
        <v>0</v>
      </c>
      <c r="P29" s="66">
        <v>0</v>
      </c>
      <c r="Q29" s="66">
        <v>0</v>
      </c>
      <c r="R29" s="66">
        <v>0</v>
      </c>
      <c r="S29" s="66">
        <v>0</v>
      </c>
      <c r="T29" s="66">
        <v>0</v>
      </c>
      <c r="U29" s="66">
        <v>0</v>
      </c>
      <c r="V29" s="66">
        <v>3.6749999999999998</v>
      </c>
      <c r="W29" s="66">
        <v>0</v>
      </c>
      <c r="X29" s="66">
        <v>1.1499999999999999</v>
      </c>
      <c r="Y29" s="66">
        <v>0</v>
      </c>
      <c r="Z29" s="66">
        <v>0</v>
      </c>
      <c r="AA29" s="66">
        <v>0</v>
      </c>
      <c r="AB29" s="66">
        <v>0</v>
      </c>
      <c r="AC29" s="66">
        <v>12.895</v>
      </c>
      <c r="AD29" s="66">
        <v>0</v>
      </c>
      <c r="AE29" s="66">
        <v>0</v>
      </c>
      <c r="AF29" s="66">
        <v>0</v>
      </c>
      <c r="AG29" s="66">
        <v>30.835000000000001</v>
      </c>
      <c r="AH29" s="66">
        <v>0</v>
      </c>
      <c r="AI29" s="66">
        <v>0</v>
      </c>
    </row>
    <row r="30" spans="4:37" x14ac:dyDescent="0.25">
      <c r="D30" s="46" t="s">
        <v>102</v>
      </c>
      <c r="E30" s="46" t="s">
        <v>33</v>
      </c>
      <c r="F30" s="223" t="s">
        <v>356</v>
      </c>
      <c r="G30" s="46" t="s">
        <v>17</v>
      </c>
      <c r="H30" s="66">
        <v>10.853999999999999</v>
      </c>
      <c r="I30" s="66">
        <v>4.7149999999999999</v>
      </c>
      <c r="J30" s="66">
        <v>13.457000000000001</v>
      </c>
      <c r="K30" s="66">
        <v>16.172999999999998</v>
      </c>
      <c r="L30" s="66">
        <v>0</v>
      </c>
      <c r="M30" s="66">
        <v>7.5510000000000002</v>
      </c>
      <c r="N30" s="66">
        <v>2.4769999999999999</v>
      </c>
      <c r="O30" s="66">
        <v>17.888999999999999</v>
      </c>
      <c r="P30" s="66">
        <v>8.7999999999999995E-2</v>
      </c>
      <c r="Q30" s="66">
        <v>2.2850000000000001</v>
      </c>
      <c r="R30" s="66">
        <v>4.1479999999999997</v>
      </c>
      <c r="S30" s="66">
        <v>10.483000000000001</v>
      </c>
      <c r="T30" s="66">
        <v>0</v>
      </c>
      <c r="U30" s="66">
        <v>78.456000000000003</v>
      </c>
      <c r="V30" s="66">
        <v>0</v>
      </c>
      <c r="W30" s="66">
        <v>8.2639999999999993</v>
      </c>
      <c r="X30" s="66">
        <v>36.232999999999997</v>
      </c>
      <c r="Y30" s="66">
        <v>21.43</v>
      </c>
      <c r="Z30" s="66">
        <v>97.02</v>
      </c>
      <c r="AA30" s="66">
        <v>289.85500000000002</v>
      </c>
      <c r="AB30" s="66">
        <v>12.757</v>
      </c>
      <c r="AC30" s="66">
        <v>4.7759999999999998</v>
      </c>
      <c r="AD30" s="66">
        <v>180.75</v>
      </c>
      <c r="AE30" s="66">
        <v>0</v>
      </c>
      <c r="AF30" s="66">
        <v>24.085999999999999</v>
      </c>
      <c r="AG30" s="66">
        <v>0</v>
      </c>
      <c r="AH30" s="66">
        <v>69.180000000000007</v>
      </c>
      <c r="AI30" s="66">
        <v>11.279</v>
      </c>
    </row>
    <row r="31" spans="4:37" x14ac:dyDescent="0.25">
      <c r="D31" s="46" t="s">
        <v>102</v>
      </c>
      <c r="E31" s="46" t="s">
        <v>33</v>
      </c>
      <c r="F31" s="223" t="s">
        <v>357</v>
      </c>
      <c r="G31" s="46" t="s">
        <v>361</v>
      </c>
      <c r="H31" s="66">
        <v>33.901000000000003</v>
      </c>
      <c r="I31" s="66">
        <v>401.863</v>
      </c>
      <c r="J31" s="66">
        <v>47.688000000000002</v>
      </c>
      <c r="K31" s="66">
        <v>27.811</v>
      </c>
      <c r="L31" s="66">
        <v>18.847999999999999</v>
      </c>
      <c r="M31" s="66">
        <v>95.766999999999996</v>
      </c>
      <c r="N31" s="66">
        <v>114.21599999999999</v>
      </c>
      <c r="O31" s="66">
        <v>49.706000000000003</v>
      </c>
      <c r="P31" s="66">
        <v>271.45299999999997</v>
      </c>
      <c r="Q31" s="66">
        <v>14.718</v>
      </c>
      <c r="R31" s="66">
        <v>41.44</v>
      </c>
      <c r="S31" s="66">
        <v>1351.4490000000001</v>
      </c>
      <c r="T31" s="66">
        <v>13.275</v>
      </c>
      <c r="U31" s="66">
        <v>10.101000000000001</v>
      </c>
      <c r="V31" s="66">
        <v>48.414999999999999</v>
      </c>
      <c r="W31" s="66">
        <v>139.47800000000001</v>
      </c>
      <c r="X31" s="66">
        <v>45.936999999999998</v>
      </c>
      <c r="Y31" s="66">
        <v>408.654</v>
      </c>
      <c r="Z31" s="66">
        <v>1089.6959999999999</v>
      </c>
      <c r="AA31" s="66">
        <v>190.65899999999999</v>
      </c>
      <c r="AB31" s="66">
        <v>284.12200000000001</v>
      </c>
      <c r="AC31" s="66">
        <v>68.381</v>
      </c>
      <c r="AD31" s="66">
        <v>291.303</v>
      </c>
      <c r="AE31" s="66">
        <v>225.928</v>
      </c>
      <c r="AF31" s="66">
        <v>16.946000000000002</v>
      </c>
      <c r="AG31" s="66">
        <v>518.38800000000003</v>
      </c>
      <c r="AH31" s="66">
        <v>30.309000000000001</v>
      </c>
      <c r="AI31" s="66">
        <v>188.21299999999999</v>
      </c>
    </row>
    <row r="32" spans="4:37" x14ac:dyDescent="0.25">
      <c r="D32" s="46" t="s">
        <v>102</v>
      </c>
      <c r="E32" s="46" t="s">
        <v>33</v>
      </c>
      <c r="F32" s="223" t="s">
        <v>358</v>
      </c>
      <c r="G32" s="46" t="s">
        <v>362</v>
      </c>
      <c r="H32" s="66">
        <v>0</v>
      </c>
      <c r="I32" s="66">
        <v>490.88</v>
      </c>
      <c r="J32" s="66">
        <v>0</v>
      </c>
      <c r="K32" s="66">
        <v>0.20499999999999999</v>
      </c>
      <c r="L32" s="66">
        <v>158.05199999999999</v>
      </c>
      <c r="M32" s="66">
        <v>584.80700000000002</v>
      </c>
      <c r="N32" s="66">
        <v>3.2029999999999998</v>
      </c>
      <c r="O32" s="66">
        <v>452.24900000000002</v>
      </c>
      <c r="P32" s="66">
        <v>16.158999999999999</v>
      </c>
      <c r="Q32" s="66">
        <v>621.02700000000004</v>
      </c>
      <c r="R32" s="66">
        <v>20.966999999999999</v>
      </c>
      <c r="S32" s="66">
        <v>1764.0219999999999</v>
      </c>
      <c r="T32" s="66">
        <v>369.298</v>
      </c>
      <c r="U32" s="66">
        <v>1003.533</v>
      </c>
      <c r="V32" s="66">
        <v>536.95000000000005</v>
      </c>
      <c r="W32" s="66">
        <v>1323.67</v>
      </c>
      <c r="X32" s="66">
        <v>1471.518</v>
      </c>
      <c r="Y32" s="66">
        <v>0.78300000000000003</v>
      </c>
      <c r="Z32" s="66">
        <v>58.378</v>
      </c>
      <c r="AA32" s="66">
        <v>365.54199999999997</v>
      </c>
      <c r="AB32" s="66">
        <v>382.98200000000003</v>
      </c>
      <c r="AC32" s="66">
        <v>496.23</v>
      </c>
      <c r="AD32" s="66">
        <v>1725.1569999999999</v>
      </c>
      <c r="AE32" s="66">
        <v>26.946000000000002</v>
      </c>
      <c r="AF32" s="66">
        <v>0</v>
      </c>
      <c r="AG32" s="66">
        <v>2721.2570000000001</v>
      </c>
      <c r="AH32" s="66">
        <v>384.488</v>
      </c>
      <c r="AI32" s="66">
        <v>4943.7520000000004</v>
      </c>
    </row>
    <row r="33" spans="4:35" x14ac:dyDescent="0.25">
      <c r="D33" s="46" t="s">
        <v>102</v>
      </c>
      <c r="E33" s="46" t="s">
        <v>33</v>
      </c>
      <c r="F33" s="223" t="s">
        <v>14</v>
      </c>
      <c r="G33" s="46" t="s">
        <v>22</v>
      </c>
      <c r="H33" s="66">
        <v>0</v>
      </c>
      <c r="I33" s="66">
        <v>2.4620000000000002</v>
      </c>
      <c r="J33" s="66">
        <v>0</v>
      </c>
      <c r="K33" s="66">
        <v>0</v>
      </c>
      <c r="L33" s="66">
        <v>17.387</v>
      </c>
      <c r="M33" s="66">
        <v>0.182</v>
      </c>
      <c r="N33" s="66">
        <v>9.6000000000000002E-2</v>
      </c>
      <c r="O33" s="66">
        <v>0</v>
      </c>
      <c r="P33" s="66">
        <v>0</v>
      </c>
      <c r="Q33" s="66">
        <v>0</v>
      </c>
      <c r="R33" s="66">
        <v>0</v>
      </c>
      <c r="S33" s="66">
        <v>0</v>
      </c>
      <c r="T33" s="66">
        <v>0.33100000000000002</v>
      </c>
      <c r="U33" s="66">
        <v>3.68</v>
      </c>
      <c r="V33" s="66">
        <v>5.5529999999999999</v>
      </c>
      <c r="W33" s="66">
        <v>41.54</v>
      </c>
      <c r="X33" s="66">
        <v>37.619</v>
      </c>
      <c r="Y33" s="66">
        <v>0</v>
      </c>
      <c r="Z33" s="66">
        <v>0</v>
      </c>
      <c r="AA33" s="66">
        <v>6.97</v>
      </c>
      <c r="AB33" s="66">
        <v>0.89800000000000002</v>
      </c>
      <c r="AC33" s="66">
        <v>45.107999999999997</v>
      </c>
      <c r="AD33" s="66">
        <v>0</v>
      </c>
      <c r="AE33" s="66">
        <v>7.8849999999999998</v>
      </c>
      <c r="AF33" s="66">
        <v>0</v>
      </c>
      <c r="AG33" s="66">
        <v>0</v>
      </c>
      <c r="AH33" s="66">
        <v>0.85299999999999998</v>
      </c>
      <c r="AI33" s="66">
        <v>37.39</v>
      </c>
    </row>
    <row r="34" spans="4:35" x14ac:dyDescent="0.25">
      <c r="D34" s="46" t="s">
        <v>102</v>
      </c>
      <c r="E34" s="46" t="s">
        <v>33</v>
      </c>
      <c r="F34" s="223" t="s">
        <v>370</v>
      </c>
      <c r="G34" s="46" t="s">
        <v>363</v>
      </c>
      <c r="H34" s="66">
        <v>428.64699999999999</v>
      </c>
      <c r="I34" s="66">
        <v>4.4080000000000004</v>
      </c>
      <c r="J34" s="66">
        <v>13.561</v>
      </c>
      <c r="K34" s="66">
        <v>192.08600000000001</v>
      </c>
      <c r="L34" s="66">
        <v>0</v>
      </c>
      <c r="M34" s="66">
        <v>2.02</v>
      </c>
      <c r="N34" s="66">
        <v>76.647999999999996</v>
      </c>
      <c r="O34" s="66">
        <v>379.64100000000002</v>
      </c>
      <c r="P34" s="66">
        <v>0</v>
      </c>
      <c r="Q34" s="66">
        <v>0</v>
      </c>
      <c r="R34" s="66">
        <v>0</v>
      </c>
      <c r="S34" s="66">
        <v>702.68200000000002</v>
      </c>
      <c r="T34" s="66">
        <v>3.8719999999999999</v>
      </c>
      <c r="U34" s="66">
        <v>21.277000000000001</v>
      </c>
      <c r="V34" s="66">
        <v>29.048999999999999</v>
      </c>
      <c r="W34" s="66">
        <v>24.404</v>
      </c>
      <c r="X34" s="66">
        <v>10.804</v>
      </c>
      <c r="Y34" s="66">
        <v>460.64299999999997</v>
      </c>
      <c r="Z34" s="66">
        <v>624.18299999999999</v>
      </c>
      <c r="AA34" s="66">
        <v>0</v>
      </c>
      <c r="AB34" s="66">
        <v>3.0619999999999998</v>
      </c>
      <c r="AC34" s="66">
        <v>23.032</v>
      </c>
      <c r="AD34" s="66">
        <v>5.8680000000000003</v>
      </c>
      <c r="AE34" s="66">
        <v>0</v>
      </c>
      <c r="AF34" s="66">
        <v>2071.2620000000002</v>
      </c>
      <c r="AG34" s="66">
        <v>0</v>
      </c>
      <c r="AH34" s="66">
        <v>0</v>
      </c>
      <c r="AI34" s="66">
        <v>0</v>
      </c>
    </row>
    <row r="35" spans="4:35" x14ac:dyDescent="0.25">
      <c r="D35" s="46" t="s">
        <v>102</v>
      </c>
      <c r="E35" s="46" t="s">
        <v>33</v>
      </c>
      <c r="F35" s="223" t="s">
        <v>349</v>
      </c>
      <c r="G35" s="46" t="s">
        <v>364</v>
      </c>
      <c r="H35" s="66">
        <v>0</v>
      </c>
      <c r="I35" s="66">
        <v>0</v>
      </c>
      <c r="J35" s="66">
        <v>0</v>
      </c>
      <c r="K35" s="66">
        <v>0</v>
      </c>
      <c r="L35" s="66">
        <v>0</v>
      </c>
      <c r="M35" s="66">
        <v>0</v>
      </c>
      <c r="N35" s="66">
        <v>0</v>
      </c>
      <c r="O35" s="66">
        <v>0</v>
      </c>
      <c r="P35" s="66">
        <v>0</v>
      </c>
      <c r="Q35" s="66">
        <v>0</v>
      </c>
      <c r="R35" s="66">
        <v>0</v>
      </c>
      <c r="S35" s="66">
        <v>0</v>
      </c>
      <c r="T35" s="66">
        <v>0</v>
      </c>
      <c r="U35" s="66">
        <v>0</v>
      </c>
      <c r="V35" s="66">
        <v>0</v>
      </c>
      <c r="W35" s="66">
        <v>0</v>
      </c>
      <c r="X35" s="66">
        <v>0.38200000000000001</v>
      </c>
      <c r="Y35" s="66">
        <v>0</v>
      </c>
      <c r="Z35" s="66">
        <v>0</v>
      </c>
      <c r="AA35" s="66">
        <v>0</v>
      </c>
      <c r="AB35" s="66">
        <v>5.0000000000000001E-3</v>
      </c>
      <c r="AC35" s="66">
        <v>0</v>
      </c>
      <c r="AD35" s="66">
        <v>0</v>
      </c>
      <c r="AE35" s="66">
        <v>0</v>
      </c>
      <c r="AF35" s="66">
        <v>0</v>
      </c>
      <c r="AG35" s="66">
        <v>0</v>
      </c>
      <c r="AH35" s="66">
        <v>0</v>
      </c>
      <c r="AI35" s="66">
        <v>8.5679999999999996</v>
      </c>
    </row>
    <row r="36" spans="4:35" x14ac:dyDescent="0.25">
      <c r="D36" s="46" t="s">
        <v>102</v>
      </c>
      <c r="E36" s="46" t="s">
        <v>33</v>
      </c>
      <c r="F36" s="223" t="s">
        <v>577</v>
      </c>
      <c r="G36" s="46" t="s">
        <v>78</v>
      </c>
      <c r="H36" s="66">
        <v>0</v>
      </c>
      <c r="I36" s="66">
        <v>0</v>
      </c>
      <c r="J36" s="66">
        <v>0</v>
      </c>
      <c r="K36" s="66">
        <v>0</v>
      </c>
      <c r="L36" s="66">
        <v>0</v>
      </c>
      <c r="M36" s="66">
        <v>0</v>
      </c>
      <c r="N36" s="66">
        <v>1E-3</v>
      </c>
      <c r="O36" s="66">
        <v>7.2549999999999999</v>
      </c>
      <c r="P36" s="66">
        <v>0</v>
      </c>
      <c r="Q36" s="66">
        <v>0</v>
      </c>
      <c r="R36" s="66">
        <v>1.2E-2</v>
      </c>
      <c r="S36" s="66">
        <v>0</v>
      </c>
      <c r="T36" s="66">
        <v>0</v>
      </c>
      <c r="U36" s="66">
        <v>0</v>
      </c>
      <c r="V36" s="66">
        <v>0</v>
      </c>
      <c r="W36" s="66">
        <v>0</v>
      </c>
      <c r="X36" s="66">
        <v>8.1210000000000004</v>
      </c>
      <c r="Y36" s="66">
        <v>0.435</v>
      </c>
      <c r="Z36" s="66">
        <v>0</v>
      </c>
      <c r="AA36" s="66">
        <v>0</v>
      </c>
      <c r="AB36" s="66">
        <v>2E-3</v>
      </c>
      <c r="AC36" s="66">
        <v>0</v>
      </c>
      <c r="AD36" s="66">
        <v>0</v>
      </c>
      <c r="AE36" s="66">
        <v>0</v>
      </c>
      <c r="AF36" s="66">
        <v>0</v>
      </c>
      <c r="AG36" s="66">
        <v>0</v>
      </c>
      <c r="AH36" s="66">
        <v>0</v>
      </c>
      <c r="AI36" s="66">
        <v>0</v>
      </c>
    </row>
    <row r="37" spans="4:35" x14ac:dyDescent="0.25">
      <c r="D37" s="46" t="s">
        <v>102</v>
      </c>
      <c r="E37" s="46" t="s">
        <v>33</v>
      </c>
      <c r="F37" s="223" t="s">
        <v>576</v>
      </c>
      <c r="G37" s="46" t="s">
        <v>365</v>
      </c>
      <c r="H37" s="66">
        <v>0</v>
      </c>
      <c r="I37" s="66">
        <v>0</v>
      </c>
      <c r="J37" s="66">
        <v>0</v>
      </c>
      <c r="K37" s="66">
        <v>0</v>
      </c>
      <c r="L37" s="66">
        <v>0</v>
      </c>
      <c r="M37" s="66">
        <v>0</v>
      </c>
      <c r="N37" s="66">
        <v>0</v>
      </c>
      <c r="O37" s="66">
        <v>0</v>
      </c>
      <c r="P37" s="66">
        <v>0</v>
      </c>
      <c r="Q37" s="66">
        <v>0</v>
      </c>
      <c r="R37" s="66">
        <v>0</v>
      </c>
      <c r="S37" s="66">
        <v>44.8</v>
      </c>
      <c r="T37" s="66">
        <v>0</v>
      </c>
      <c r="U37" s="66">
        <v>0</v>
      </c>
      <c r="V37" s="66">
        <v>0</v>
      </c>
      <c r="W37" s="66">
        <v>0</v>
      </c>
      <c r="X37" s="66">
        <v>0.30499999999999999</v>
      </c>
      <c r="Y37" s="66">
        <v>0</v>
      </c>
      <c r="Z37" s="66">
        <v>0</v>
      </c>
      <c r="AA37" s="66">
        <v>0</v>
      </c>
      <c r="AB37" s="66">
        <v>0.55600000000000005</v>
      </c>
      <c r="AC37" s="66">
        <v>0</v>
      </c>
      <c r="AD37" s="66">
        <v>0</v>
      </c>
      <c r="AE37" s="66">
        <v>0</v>
      </c>
      <c r="AF37" s="66">
        <v>0</v>
      </c>
      <c r="AG37" s="66">
        <v>0</v>
      </c>
      <c r="AH37" s="66">
        <v>0</v>
      </c>
      <c r="AI37" s="66">
        <v>0</v>
      </c>
    </row>
    <row r="38" spans="4:35" x14ac:dyDescent="0.25">
      <c r="D38" s="46" t="s">
        <v>102</v>
      </c>
      <c r="E38" s="46" t="s">
        <v>33</v>
      </c>
      <c r="F38" s="223" t="s">
        <v>360</v>
      </c>
      <c r="G38" s="46" t="s">
        <v>20</v>
      </c>
      <c r="H38" s="66">
        <v>0</v>
      </c>
      <c r="I38" s="66">
        <v>0</v>
      </c>
      <c r="J38" s="66">
        <v>0</v>
      </c>
      <c r="K38" s="66">
        <v>0</v>
      </c>
      <c r="L38" s="66">
        <v>0</v>
      </c>
      <c r="M38" s="66">
        <v>124.96</v>
      </c>
      <c r="N38" s="66">
        <v>0</v>
      </c>
      <c r="O38" s="66">
        <v>0</v>
      </c>
      <c r="P38" s="66">
        <v>0</v>
      </c>
      <c r="Q38" s="66">
        <v>0</v>
      </c>
      <c r="R38" s="66">
        <v>0</v>
      </c>
      <c r="S38" s="66">
        <v>1288.3209999999999</v>
      </c>
      <c r="T38" s="66">
        <v>201.40100000000001</v>
      </c>
      <c r="U38" s="66">
        <v>41.195999999999998</v>
      </c>
      <c r="V38" s="66">
        <v>326.39</v>
      </c>
      <c r="W38" s="66">
        <v>93.343000000000004</v>
      </c>
      <c r="X38" s="66">
        <v>454.02600000000001</v>
      </c>
      <c r="Y38" s="66">
        <v>0</v>
      </c>
      <c r="Z38" s="66">
        <v>0</v>
      </c>
      <c r="AA38" s="66">
        <v>1.077</v>
      </c>
      <c r="AB38" s="66">
        <v>0</v>
      </c>
      <c r="AC38" s="66">
        <v>2.9630000000000001</v>
      </c>
      <c r="AD38" s="66">
        <v>0</v>
      </c>
      <c r="AE38" s="66">
        <v>0</v>
      </c>
      <c r="AF38" s="66">
        <v>0</v>
      </c>
      <c r="AG38" s="66">
        <v>1996.162</v>
      </c>
      <c r="AH38" s="66">
        <v>83.483999999999995</v>
      </c>
      <c r="AI38" s="66">
        <v>0</v>
      </c>
    </row>
    <row r="39" spans="4:35" x14ac:dyDescent="0.25">
      <c r="D39" s="46" t="s">
        <v>102</v>
      </c>
      <c r="E39" s="46" t="s">
        <v>33</v>
      </c>
      <c r="F39" s="223" t="s">
        <v>350</v>
      </c>
      <c r="G39" s="46" t="s">
        <v>366</v>
      </c>
      <c r="H39" s="66">
        <v>0</v>
      </c>
      <c r="I39" s="66">
        <v>0</v>
      </c>
      <c r="J39" s="66">
        <v>0</v>
      </c>
      <c r="K39" s="66">
        <v>0</v>
      </c>
      <c r="L39" s="66">
        <v>0</v>
      </c>
      <c r="M39" s="66">
        <v>0</v>
      </c>
      <c r="N39" s="66">
        <v>0</v>
      </c>
      <c r="O39" s="66">
        <v>0</v>
      </c>
      <c r="P39" s="66">
        <v>0</v>
      </c>
      <c r="Q39" s="66">
        <v>0</v>
      </c>
      <c r="R39" s="66">
        <v>0</v>
      </c>
      <c r="S39" s="66">
        <v>0</v>
      </c>
      <c r="T39" s="66">
        <v>0</v>
      </c>
      <c r="U39" s="66">
        <v>0</v>
      </c>
      <c r="V39" s="66">
        <v>0</v>
      </c>
      <c r="W39" s="66">
        <v>0</v>
      </c>
      <c r="X39" s="66">
        <v>0</v>
      </c>
      <c r="Y39" s="66">
        <v>0</v>
      </c>
      <c r="Z39" s="66">
        <v>0</v>
      </c>
      <c r="AA39" s="66">
        <v>0</v>
      </c>
      <c r="AB39" s="66">
        <v>0</v>
      </c>
      <c r="AC39" s="66">
        <v>0</v>
      </c>
      <c r="AD39" s="66">
        <v>0</v>
      </c>
      <c r="AE39" s="66">
        <v>0</v>
      </c>
      <c r="AF39" s="66">
        <v>0</v>
      </c>
      <c r="AG39" s="66">
        <v>0</v>
      </c>
      <c r="AH39" s="66">
        <v>0</v>
      </c>
      <c r="AI39" s="66">
        <v>0</v>
      </c>
    </row>
    <row r="40" spans="4:35" x14ac:dyDescent="0.25">
      <c r="D40" s="46" t="s">
        <v>102</v>
      </c>
      <c r="E40" s="46" t="s">
        <v>33</v>
      </c>
      <c r="F40" s="223" t="s">
        <v>359</v>
      </c>
      <c r="G40" s="46" t="s">
        <v>115</v>
      </c>
      <c r="H40" s="66">
        <v>2269.578</v>
      </c>
      <c r="I40" s="66">
        <v>92.075999999999993</v>
      </c>
      <c r="J40" s="66">
        <v>1814.6479999999999</v>
      </c>
      <c r="K40" s="66">
        <v>792.73400000000004</v>
      </c>
      <c r="L40" s="66">
        <v>12.379</v>
      </c>
      <c r="M40" s="66">
        <v>81.760999999999996</v>
      </c>
      <c r="N40" s="66">
        <v>781.00699999999995</v>
      </c>
      <c r="O40" s="66">
        <v>1176.6300000000001</v>
      </c>
      <c r="P40" s="66">
        <v>353.12099999999998</v>
      </c>
      <c r="Q40" s="66">
        <v>113.333</v>
      </c>
      <c r="R40" s="66">
        <v>76.356999999999999</v>
      </c>
      <c r="S40" s="66">
        <v>0</v>
      </c>
      <c r="T40" s="66">
        <v>252.245</v>
      </c>
      <c r="U40" s="66">
        <v>45.066000000000003</v>
      </c>
      <c r="V40" s="66">
        <v>625.00900000000001</v>
      </c>
      <c r="W40" s="66">
        <v>642.10400000000004</v>
      </c>
      <c r="X40" s="66">
        <v>477.83600000000001</v>
      </c>
      <c r="Y40" s="66">
        <v>646.90099999999995</v>
      </c>
      <c r="Z40" s="66">
        <v>3484.8110000000001</v>
      </c>
      <c r="AA40" s="66">
        <v>0</v>
      </c>
      <c r="AB40" s="66">
        <v>665.93700000000001</v>
      </c>
      <c r="AC40" s="66">
        <v>48.323999999999998</v>
      </c>
      <c r="AD40" s="66">
        <v>78.183000000000007</v>
      </c>
      <c r="AE40" s="66">
        <v>247.75800000000001</v>
      </c>
      <c r="AF40" s="66">
        <v>2115.7049999999999</v>
      </c>
      <c r="AG40" s="66">
        <v>43.713999999999999</v>
      </c>
      <c r="AH40" s="66">
        <v>5.4649999999999999</v>
      </c>
      <c r="AI40" s="66">
        <v>499.21499999999997</v>
      </c>
    </row>
    <row r="41" spans="4:35" x14ac:dyDescent="0.25">
      <c r="D41" s="46" t="s">
        <v>102</v>
      </c>
      <c r="E41" s="46" t="s">
        <v>33</v>
      </c>
      <c r="F41" s="223" t="s">
        <v>451</v>
      </c>
      <c r="G41" s="46" t="s">
        <v>421</v>
      </c>
      <c r="H41" s="66">
        <v>0</v>
      </c>
      <c r="I41" s="66">
        <v>0</v>
      </c>
      <c r="J41" s="66">
        <v>0</v>
      </c>
      <c r="K41" s="66">
        <v>0</v>
      </c>
      <c r="L41" s="66">
        <v>0</v>
      </c>
      <c r="M41" s="66">
        <v>0</v>
      </c>
      <c r="N41" s="66">
        <v>0</v>
      </c>
      <c r="O41" s="66">
        <v>0</v>
      </c>
      <c r="P41" s="66">
        <v>0</v>
      </c>
      <c r="Q41" s="66">
        <v>0</v>
      </c>
      <c r="R41" s="66">
        <v>0</v>
      </c>
      <c r="S41" s="66">
        <v>12.943</v>
      </c>
      <c r="T41" s="66">
        <v>0</v>
      </c>
      <c r="U41" s="66">
        <v>0</v>
      </c>
      <c r="V41" s="66">
        <v>0</v>
      </c>
      <c r="W41" s="66">
        <v>0</v>
      </c>
      <c r="X41" s="66">
        <v>0</v>
      </c>
      <c r="Y41" s="66">
        <v>0</v>
      </c>
      <c r="Z41" s="66">
        <v>0</v>
      </c>
      <c r="AA41" s="66">
        <v>0</v>
      </c>
      <c r="AB41" s="66">
        <v>0</v>
      </c>
      <c r="AC41" s="66">
        <v>0</v>
      </c>
      <c r="AD41" s="66">
        <v>0</v>
      </c>
      <c r="AE41" s="66">
        <v>0</v>
      </c>
      <c r="AF41" s="66">
        <v>0</v>
      </c>
      <c r="AG41" s="66">
        <v>0</v>
      </c>
      <c r="AH41" s="66">
        <v>0</v>
      </c>
      <c r="AI41" s="66">
        <v>0</v>
      </c>
    </row>
    <row r="42" spans="4:35" x14ac:dyDescent="0.25">
      <c r="D42" s="46" t="s">
        <v>102</v>
      </c>
      <c r="E42" s="46" t="s">
        <v>33</v>
      </c>
      <c r="F42" s="223" t="s">
        <v>353</v>
      </c>
      <c r="G42" s="46" t="s">
        <v>399</v>
      </c>
      <c r="H42" s="66">
        <v>0</v>
      </c>
      <c r="I42" s="66">
        <v>0</v>
      </c>
      <c r="J42" s="66">
        <v>0</v>
      </c>
      <c r="K42" s="66">
        <v>0</v>
      </c>
      <c r="L42" s="66">
        <v>0</v>
      </c>
      <c r="M42" s="66">
        <v>0</v>
      </c>
      <c r="N42" s="66">
        <v>0</v>
      </c>
      <c r="O42" s="66">
        <v>0</v>
      </c>
      <c r="P42" s="66">
        <v>0</v>
      </c>
      <c r="Q42" s="66">
        <v>0</v>
      </c>
      <c r="R42" s="66">
        <v>0</v>
      </c>
      <c r="S42" s="66">
        <v>0</v>
      </c>
      <c r="T42" s="66">
        <v>0</v>
      </c>
      <c r="U42" s="66">
        <v>0</v>
      </c>
      <c r="V42" s="66">
        <v>0</v>
      </c>
      <c r="W42" s="66">
        <v>0</v>
      </c>
      <c r="X42" s="66">
        <v>0</v>
      </c>
      <c r="Y42" s="66">
        <v>0</v>
      </c>
      <c r="Z42" s="66">
        <v>0</v>
      </c>
      <c r="AA42" s="66">
        <v>0</v>
      </c>
      <c r="AB42" s="66">
        <v>0</v>
      </c>
      <c r="AC42" s="66">
        <v>0</v>
      </c>
      <c r="AD42" s="66">
        <v>0</v>
      </c>
      <c r="AE42" s="66">
        <v>0</v>
      </c>
      <c r="AF42" s="66">
        <v>0</v>
      </c>
      <c r="AG42" s="66">
        <v>0</v>
      </c>
      <c r="AH42" s="66">
        <v>0</v>
      </c>
      <c r="AI42" s="66">
        <v>0</v>
      </c>
    </row>
    <row r="43" spans="4:35" x14ac:dyDescent="0.25">
      <c r="D43" s="46" t="s">
        <v>102</v>
      </c>
      <c r="E43" s="46" t="s">
        <v>33</v>
      </c>
      <c r="F43" s="223" t="s">
        <v>423</v>
      </c>
      <c r="G43" s="46" t="s">
        <v>424</v>
      </c>
      <c r="H43" s="66">
        <v>0</v>
      </c>
      <c r="I43" s="66">
        <v>0</v>
      </c>
      <c r="J43" s="66">
        <v>0</v>
      </c>
      <c r="K43" s="66">
        <v>0</v>
      </c>
      <c r="L43" s="66">
        <v>0</v>
      </c>
      <c r="M43" s="66">
        <v>0.13900000000000001</v>
      </c>
      <c r="N43" s="66">
        <v>0</v>
      </c>
      <c r="O43" s="66">
        <v>0</v>
      </c>
      <c r="P43" s="66">
        <v>0</v>
      </c>
      <c r="Q43" s="66">
        <v>0</v>
      </c>
      <c r="R43" s="66">
        <v>0</v>
      </c>
      <c r="S43" s="66">
        <v>0</v>
      </c>
      <c r="T43" s="66">
        <v>0</v>
      </c>
      <c r="U43" s="66">
        <v>0</v>
      </c>
      <c r="V43" s="66">
        <v>0</v>
      </c>
      <c r="W43" s="66">
        <v>0.20100000000000001</v>
      </c>
      <c r="X43" s="66">
        <v>3.9E-2</v>
      </c>
      <c r="Y43" s="66">
        <v>0</v>
      </c>
      <c r="Z43" s="66">
        <v>0</v>
      </c>
      <c r="AA43" s="66">
        <v>0</v>
      </c>
      <c r="AB43" s="66">
        <v>0.437</v>
      </c>
      <c r="AC43" s="66">
        <v>0</v>
      </c>
      <c r="AD43" s="66">
        <v>0</v>
      </c>
      <c r="AE43" s="66">
        <v>0</v>
      </c>
      <c r="AF43" s="66">
        <v>0</v>
      </c>
      <c r="AG43" s="66">
        <v>0.60899999999999999</v>
      </c>
      <c r="AH43" s="66">
        <v>7.391</v>
      </c>
      <c r="AI43" s="66">
        <v>0</v>
      </c>
    </row>
    <row r="44" spans="4:35" x14ac:dyDescent="0.25">
      <c r="D44" s="46"/>
      <c r="E44" s="46"/>
      <c r="F44" s="46"/>
      <c r="G44" s="4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6"/>
    </row>
    <row r="45" spans="4:35" x14ac:dyDescent="0.25">
      <c r="D45" s="46"/>
      <c r="E45" s="46"/>
      <c r="F45" s="46"/>
      <c r="G45" s="46" t="s">
        <v>400</v>
      </c>
      <c r="H45" s="66">
        <v>207.98</v>
      </c>
      <c r="I45" s="66">
        <v>38.470999999999997</v>
      </c>
      <c r="J45" s="66">
        <v>282.91899999999998</v>
      </c>
      <c r="K45" s="66">
        <v>88.831000000000003</v>
      </c>
      <c r="L45" s="66">
        <v>1.7430000000000001</v>
      </c>
      <c r="M45" s="66">
        <v>3.1360000000000001</v>
      </c>
      <c r="N45" s="66">
        <v>67.899000000000001</v>
      </c>
      <c r="O45" s="66">
        <v>6.5190000000000001</v>
      </c>
      <c r="P45" s="66">
        <v>11.037000000000001</v>
      </c>
      <c r="Q45" s="66">
        <v>0</v>
      </c>
      <c r="R45" s="66">
        <v>2.069</v>
      </c>
      <c r="S45" s="66">
        <v>0</v>
      </c>
      <c r="T45" s="66">
        <v>1.0129999999999999</v>
      </c>
      <c r="U45" s="66">
        <v>0.128</v>
      </c>
      <c r="V45" s="66">
        <v>0.29499999999999998</v>
      </c>
      <c r="W45" s="66">
        <v>2.8290000000000002</v>
      </c>
      <c r="X45" s="66">
        <v>4.58</v>
      </c>
      <c r="Y45" s="66">
        <v>54.871000000000002</v>
      </c>
      <c r="Z45" s="66">
        <v>52.215000000000003</v>
      </c>
      <c r="AA45" s="66">
        <v>0.34300000000000003</v>
      </c>
      <c r="AB45" s="66">
        <v>34.484999999999999</v>
      </c>
      <c r="AC45" s="66">
        <v>0</v>
      </c>
      <c r="AD45" s="66">
        <v>0.86299999999999999</v>
      </c>
      <c r="AE45" s="66">
        <v>0</v>
      </c>
      <c r="AF45" s="66">
        <v>79.566000000000003</v>
      </c>
      <c r="AG45" s="66">
        <v>0</v>
      </c>
      <c r="AH45" s="66">
        <v>0</v>
      </c>
      <c r="AI45" s="66">
        <v>16.542000000000002</v>
      </c>
    </row>
    <row r="46" spans="4:35" x14ac:dyDescent="0.25">
      <c r="D46" s="46"/>
      <c r="E46" s="46"/>
      <c r="F46" s="46"/>
      <c r="G46" s="46"/>
      <c r="H46" s="66"/>
      <c r="I46" s="66"/>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c r="AI46" s="66"/>
    </row>
    <row r="47" spans="4:35" x14ac:dyDescent="0.25">
      <c r="D47" s="60" t="s">
        <v>112</v>
      </c>
      <c r="E47" s="60"/>
      <c r="F47" s="60"/>
      <c r="G47" s="60"/>
      <c r="H47" s="68">
        <f>SUM(H23:H45)</f>
        <v>3031.3009999999999</v>
      </c>
      <c r="I47" s="68">
        <f t="shared" ref="I47:AI47" si="3">SUM(I23:I45)</f>
        <v>1445.3779999999997</v>
      </c>
      <c r="J47" s="68">
        <f t="shared" si="3"/>
        <v>2252.2739999999999</v>
      </c>
      <c r="K47" s="68">
        <f t="shared" si="3"/>
        <v>1538.374</v>
      </c>
      <c r="L47" s="68">
        <f t="shared" si="3"/>
        <v>466.06799999999998</v>
      </c>
      <c r="M47" s="68">
        <f t="shared" si="3"/>
        <v>1422.635</v>
      </c>
      <c r="N47" s="68">
        <f t="shared" si="3"/>
        <v>1508.998</v>
      </c>
      <c r="O47" s="68">
        <f t="shared" si="3"/>
        <v>2446.7190000000001</v>
      </c>
      <c r="P47" s="68">
        <f t="shared" si="3"/>
        <v>1165.1179999999999</v>
      </c>
      <c r="Q47" s="68">
        <f t="shared" si="3"/>
        <v>1426.6840000000002</v>
      </c>
      <c r="R47" s="68">
        <f t="shared" si="3"/>
        <v>193.89599999999999</v>
      </c>
      <c r="S47" s="68">
        <f t="shared" si="3"/>
        <v>12460.859</v>
      </c>
      <c r="T47" s="68">
        <f t="shared" si="3"/>
        <v>1126.5209999999997</v>
      </c>
      <c r="U47" s="68">
        <f t="shared" si="3"/>
        <v>1887.5069999999998</v>
      </c>
      <c r="V47" s="68">
        <f t="shared" si="3"/>
        <v>2194.5210000000002</v>
      </c>
      <c r="W47" s="68">
        <f t="shared" si="3"/>
        <v>3766.31</v>
      </c>
      <c r="X47" s="68">
        <f t="shared" si="3"/>
        <v>4204.3999999999996</v>
      </c>
      <c r="Y47" s="68">
        <f t="shared" si="3"/>
        <v>3116.5739999999996</v>
      </c>
      <c r="Z47" s="68">
        <f t="shared" si="3"/>
        <v>6532.3470000000007</v>
      </c>
      <c r="AA47" s="68">
        <f t="shared" si="3"/>
        <v>1764.3370000000002</v>
      </c>
      <c r="AB47" s="68">
        <f t="shared" si="3"/>
        <v>1962.0459999999996</v>
      </c>
      <c r="AC47" s="68">
        <f t="shared" si="3"/>
        <v>1183.2499999999998</v>
      </c>
      <c r="AD47" s="68">
        <f t="shared" si="3"/>
        <v>3556.5729999999994</v>
      </c>
      <c r="AE47" s="68">
        <f t="shared" si="3"/>
        <v>740.66700000000003</v>
      </c>
      <c r="AF47" s="68">
        <f t="shared" si="3"/>
        <v>4364.9960000000001</v>
      </c>
      <c r="AG47" s="68">
        <f t="shared" si="3"/>
        <v>6039.7050000000008</v>
      </c>
      <c r="AH47" s="68">
        <f t="shared" si="3"/>
        <v>861.70600000000002</v>
      </c>
      <c r="AI47" s="68">
        <f t="shared" si="3"/>
        <v>11319.145999999999</v>
      </c>
    </row>
    <row r="48" spans="4:35" x14ac:dyDescent="0.25">
      <c r="G48" s="350" t="s">
        <v>340</v>
      </c>
      <c r="H48" s="351">
        <f>H47-H18/1000</f>
        <v>0</v>
      </c>
      <c r="I48" s="351">
        <f t="shared" ref="I48:S48" si="4">I47-I18/1000</f>
        <v>0</v>
      </c>
      <c r="J48" s="351">
        <f t="shared" si="4"/>
        <v>0</v>
      </c>
      <c r="K48" s="351">
        <f t="shared" si="4"/>
        <v>0</v>
      </c>
      <c r="L48" s="351">
        <f t="shared" si="4"/>
        <v>0</v>
      </c>
      <c r="M48" s="351">
        <f t="shared" si="4"/>
        <v>0</v>
      </c>
      <c r="N48" s="351">
        <f t="shared" si="4"/>
        <v>0</v>
      </c>
      <c r="O48" s="351">
        <f t="shared" si="4"/>
        <v>0</v>
      </c>
      <c r="P48" s="351">
        <f t="shared" si="4"/>
        <v>0</v>
      </c>
      <c r="Q48" s="351">
        <f t="shared" si="4"/>
        <v>0</v>
      </c>
      <c r="R48" s="351">
        <f t="shared" si="4"/>
        <v>0</v>
      </c>
      <c r="S48" s="351">
        <f t="shared" si="4"/>
        <v>0</v>
      </c>
      <c r="T48" s="351">
        <f t="shared" ref="T48" si="5">T47-T18/1000</f>
        <v>0</v>
      </c>
      <c r="U48" s="351">
        <f t="shared" ref="U48" si="6">U47-U18/1000</f>
        <v>0</v>
      </c>
      <c r="V48" s="351">
        <f t="shared" ref="V48" si="7">V47-V18/1000</f>
        <v>0</v>
      </c>
      <c r="W48" s="351">
        <f t="shared" ref="W48" si="8">W47-W18/1000</f>
        <v>0</v>
      </c>
      <c r="X48" s="351">
        <f t="shared" ref="X48" si="9">X47-X18/1000</f>
        <v>0</v>
      </c>
      <c r="Y48" s="351">
        <f t="shared" ref="Y48" si="10">Y47-Y18/1000</f>
        <v>0</v>
      </c>
      <c r="Z48" s="351">
        <f t="shared" ref="Z48" si="11">Z47-Z18/1000</f>
        <v>0</v>
      </c>
      <c r="AA48" s="351">
        <f t="shared" ref="AA48" si="12">AA47-AA18/1000</f>
        <v>0</v>
      </c>
      <c r="AB48" s="351">
        <f t="shared" ref="AB48" si="13">AB47-AB18/1000</f>
        <v>0</v>
      </c>
      <c r="AC48" s="351">
        <f t="shared" ref="AC48:AD48" si="14">AC47-AC18/1000</f>
        <v>0</v>
      </c>
      <c r="AD48" s="351">
        <f t="shared" si="14"/>
        <v>0</v>
      </c>
      <c r="AE48" s="351">
        <f t="shared" ref="AE48" si="15">AE47-AE18/1000</f>
        <v>0</v>
      </c>
      <c r="AF48" s="351">
        <f t="shared" ref="AF48" si="16">AF47-AF18/1000</f>
        <v>0</v>
      </c>
      <c r="AG48" s="351">
        <f t="shared" ref="AG48" si="17">AG47-AG18/1000</f>
        <v>0</v>
      </c>
      <c r="AH48" s="351">
        <f t="shared" ref="AH48" si="18">AH47-AH18/1000</f>
        <v>0</v>
      </c>
      <c r="AI48" s="351">
        <f t="shared" ref="AI48" si="19">AI47-AI18/1000</f>
        <v>0</v>
      </c>
    </row>
    <row r="50" spans="2:35" ht="28.5" x14ac:dyDescent="0.45">
      <c r="F50" s="357" t="s">
        <v>100</v>
      </c>
      <c r="G50" s="357" t="s">
        <v>462</v>
      </c>
      <c r="H50" s="358"/>
      <c r="I50" s="335"/>
      <c r="J50" s="335"/>
      <c r="K50" s="335"/>
      <c r="L50" s="335"/>
      <c r="M50" s="335"/>
      <c r="N50" s="335"/>
      <c r="O50" s="335"/>
      <c r="P50" s="335"/>
      <c r="Q50" s="335"/>
      <c r="R50" s="335"/>
      <c r="S50" s="335"/>
      <c r="T50" s="335"/>
      <c r="U50" s="335"/>
      <c r="V50" s="335"/>
      <c r="W50" s="335"/>
      <c r="X50" s="335"/>
      <c r="Y50" s="335"/>
      <c r="Z50" s="335"/>
      <c r="AA50" s="335"/>
      <c r="AB50" s="335"/>
      <c r="AC50" s="359"/>
      <c r="AD50" s="359"/>
      <c r="AE50" s="359"/>
      <c r="AF50" s="359"/>
      <c r="AG50" s="359"/>
      <c r="AH50" s="359"/>
      <c r="AI50" s="359"/>
    </row>
    <row r="51" spans="2:35" x14ac:dyDescent="0.25">
      <c r="F51" s="335"/>
      <c r="G51" s="335"/>
      <c r="H51" s="359" t="s">
        <v>314</v>
      </c>
      <c r="I51" s="359" t="s">
        <v>315</v>
      </c>
      <c r="J51" s="359" t="s">
        <v>317</v>
      </c>
      <c r="K51" s="359" t="s">
        <v>316</v>
      </c>
      <c r="L51" s="359" t="s">
        <v>318</v>
      </c>
      <c r="M51" s="359" t="s">
        <v>319</v>
      </c>
      <c r="N51" s="359" t="s">
        <v>320</v>
      </c>
      <c r="O51" s="359" t="s">
        <v>321</v>
      </c>
      <c r="P51" s="359" t="s">
        <v>1</v>
      </c>
      <c r="Q51" s="359" t="s">
        <v>2</v>
      </c>
      <c r="R51" s="359" t="s">
        <v>416</v>
      </c>
      <c r="S51" s="359" t="s">
        <v>3</v>
      </c>
      <c r="T51" s="359" t="s">
        <v>322</v>
      </c>
      <c r="U51" s="359" t="s">
        <v>323</v>
      </c>
      <c r="V51" s="359" t="s">
        <v>324</v>
      </c>
      <c r="W51" s="359" t="s">
        <v>417</v>
      </c>
      <c r="X51" s="359" t="s">
        <v>325</v>
      </c>
      <c r="Y51" s="359" t="s">
        <v>4</v>
      </c>
      <c r="Z51" s="359" t="s">
        <v>5</v>
      </c>
      <c r="AA51" s="359" t="s">
        <v>6</v>
      </c>
      <c r="AB51" s="359" t="s">
        <v>7</v>
      </c>
      <c r="AC51" s="359" t="s">
        <v>418</v>
      </c>
      <c r="AD51" s="359" t="s">
        <v>8</v>
      </c>
      <c r="AE51" s="359" t="s">
        <v>9</v>
      </c>
      <c r="AF51" s="359" t="s">
        <v>419</v>
      </c>
      <c r="AG51" s="359" t="s">
        <v>10</v>
      </c>
      <c r="AH51" s="359" t="s">
        <v>420</v>
      </c>
      <c r="AI51" s="359" t="s">
        <v>11</v>
      </c>
    </row>
    <row r="52" spans="2:35" x14ac:dyDescent="0.25">
      <c r="F52" s="335"/>
      <c r="G52" s="335"/>
      <c r="H52" s="334" t="s">
        <v>327</v>
      </c>
      <c r="I52" s="334" t="s">
        <v>328</v>
      </c>
      <c r="J52" s="334" t="s">
        <v>330</v>
      </c>
      <c r="K52" s="334" t="s">
        <v>329</v>
      </c>
      <c r="L52" s="334" t="s">
        <v>331</v>
      </c>
      <c r="M52" s="334" t="s">
        <v>332</v>
      </c>
      <c r="N52" s="334" t="s">
        <v>333</v>
      </c>
      <c r="O52" s="334" t="s">
        <v>334</v>
      </c>
      <c r="P52" s="334" t="s">
        <v>87</v>
      </c>
      <c r="Q52" s="334" t="s">
        <v>88</v>
      </c>
      <c r="R52" s="334" t="s">
        <v>425</v>
      </c>
      <c r="S52" s="334" t="s">
        <v>463</v>
      </c>
      <c r="T52" s="334" t="s">
        <v>335</v>
      </c>
      <c r="U52" s="334" t="s">
        <v>336</v>
      </c>
      <c r="V52" s="334" t="s">
        <v>337</v>
      </c>
      <c r="W52" s="334">
        <v>0</v>
      </c>
      <c r="X52" s="334" t="s">
        <v>338</v>
      </c>
      <c r="Y52" s="334" t="s">
        <v>464</v>
      </c>
      <c r="Z52" s="334" t="s">
        <v>89</v>
      </c>
      <c r="AA52" s="334" t="s">
        <v>90</v>
      </c>
      <c r="AB52" s="334" t="s">
        <v>91</v>
      </c>
      <c r="AC52" s="334" t="s">
        <v>429</v>
      </c>
      <c r="AD52" s="334" t="s">
        <v>465</v>
      </c>
      <c r="AE52" s="334" t="s">
        <v>92</v>
      </c>
      <c r="AF52" s="334" t="s">
        <v>431</v>
      </c>
      <c r="AG52" s="334" t="s">
        <v>466</v>
      </c>
      <c r="AH52" s="334" t="s">
        <v>587</v>
      </c>
      <c r="AI52" s="334" t="s">
        <v>339</v>
      </c>
    </row>
    <row r="53" spans="2:35" x14ac:dyDescent="0.25">
      <c r="F53" s="335"/>
      <c r="G53" s="335" t="s">
        <v>122</v>
      </c>
      <c r="H53" s="365">
        <v>0.99272204406740105</v>
      </c>
      <c r="I53" s="365">
        <v>1</v>
      </c>
      <c r="J53" s="365">
        <v>0.96708768306502402</v>
      </c>
      <c r="K53" s="365">
        <v>1</v>
      </c>
      <c r="L53" s="365">
        <v>0.99924817546284905</v>
      </c>
      <c r="M53" s="365">
        <v>1</v>
      </c>
      <c r="N53" s="365">
        <v>0.98060509066568202</v>
      </c>
      <c r="O53" s="365">
        <v>1</v>
      </c>
      <c r="P53" s="365">
        <v>0.99573036070295295</v>
      </c>
      <c r="Q53" s="365">
        <v>0.89911459244443404</v>
      </c>
      <c r="R53" s="365">
        <v>1</v>
      </c>
      <c r="S53" s="365">
        <v>0.91243667107010595</v>
      </c>
      <c r="T53" s="365">
        <v>0.99805035509711904</v>
      </c>
      <c r="U53" s="365">
        <v>0.85892756664096503</v>
      </c>
      <c r="V53" s="365">
        <v>0.99606901853857799</v>
      </c>
      <c r="W53" s="365">
        <v>0.94006991364569004</v>
      </c>
      <c r="X53" s="365">
        <v>0.98595080709491301</v>
      </c>
      <c r="Y53" s="365">
        <v>1</v>
      </c>
      <c r="Z53" s="365">
        <v>1</v>
      </c>
      <c r="AA53" s="365">
        <v>0.96895325430984103</v>
      </c>
      <c r="AB53" s="365">
        <v>0.98681263953045995</v>
      </c>
      <c r="AC53" s="365">
        <v>0.96739573783449195</v>
      </c>
      <c r="AD53" s="365">
        <v>0.99952869366389197</v>
      </c>
      <c r="AE53" s="365">
        <v>0.97913404225277501</v>
      </c>
      <c r="AF53" s="365">
        <v>0.96669983445492602</v>
      </c>
      <c r="AG53" s="365">
        <v>0.90948237026982304</v>
      </c>
      <c r="AH53" s="365">
        <v>0.76409158971258195</v>
      </c>
      <c r="AI53" s="365">
        <v>0.75029992890543395</v>
      </c>
    </row>
    <row r="54" spans="2:35" x14ac:dyDescent="0.25">
      <c r="G54" s="335" t="s">
        <v>124</v>
      </c>
      <c r="H54" s="365">
        <v>0.95283980111732403</v>
      </c>
      <c r="I54" s="365">
        <v>0.87857776142685196</v>
      </c>
      <c r="J54" s="365">
        <v>0.916242663521872</v>
      </c>
      <c r="K54" s="365">
        <v>0.883680980273572</v>
      </c>
      <c r="L54" s="365">
        <v>0.71710767084165405</v>
      </c>
      <c r="M54" s="365">
        <v>0.92043918604998598</v>
      </c>
      <c r="N54" s="365">
        <v>0.96311348404087305</v>
      </c>
      <c r="O54" s="365">
        <v>0.954045295949841</v>
      </c>
      <c r="P54" s="365">
        <v>0.84355954581759096</v>
      </c>
      <c r="Q54" s="365">
        <v>0.25357443063920798</v>
      </c>
      <c r="R54" s="365">
        <v>0.59487761075845702</v>
      </c>
      <c r="S54" s="365">
        <v>0.74651046178937697</v>
      </c>
      <c r="T54" s="365">
        <v>0.649581817983656</v>
      </c>
      <c r="U54" s="365">
        <v>0.29316070199274702</v>
      </c>
      <c r="V54" s="365">
        <v>0.75388485036401398</v>
      </c>
      <c r="W54" s="365">
        <v>0.6639875959889</v>
      </c>
      <c r="X54" s="365">
        <v>0.59914298410866995</v>
      </c>
      <c r="Y54" s="365">
        <v>0.95084562436357201</v>
      </c>
      <c r="Z54" s="365">
        <v>0.96008925682672897</v>
      </c>
      <c r="AA54" s="365">
        <v>0.569707073313793</v>
      </c>
      <c r="AB54" s="365">
        <v>0.85611818423424901</v>
      </c>
      <c r="AC54" s="365">
        <v>0.79595402458588604</v>
      </c>
      <c r="AD54" s="365">
        <v>0.92262914479127101</v>
      </c>
      <c r="AE54" s="365">
        <v>0.77856793136097702</v>
      </c>
      <c r="AF54" s="365">
        <v>0.87785691026509405</v>
      </c>
      <c r="AG54" s="365">
        <v>0.61184801881475803</v>
      </c>
      <c r="AH54" s="365">
        <v>0.575794772522218</v>
      </c>
      <c r="AI54" s="365">
        <v>0.333570689454948</v>
      </c>
    </row>
    <row r="59" spans="2:35" ht="23.25" x14ac:dyDescent="0.35">
      <c r="B59" s="309" t="s">
        <v>16</v>
      </c>
      <c r="C59" s="309" t="s">
        <v>467</v>
      </c>
    </row>
    <row r="60" spans="2:35" ht="18.75" x14ac:dyDescent="0.25">
      <c r="B60" s="55"/>
      <c r="C60" s="55"/>
      <c r="D60" s="46"/>
      <c r="E60" s="46"/>
    </row>
    <row r="61" spans="2:35" x14ac:dyDescent="0.25">
      <c r="B61" s="56" t="s">
        <v>95</v>
      </c>
      <c r="C61" s="56">
        <v>0</v>
      </c>
      <c r="D61" s="57" t="s">
        <v>96</v>
      </c>
      <c r="E61" s="57">
        <v>0</v>
      </c>
      <c r="F61" s="56" t="s">
        <v>46</v>
      </c>
      <c r="G61" s="56"/>
      <c r="H61" s="334" t="s">
        <v>314</v>
      </c>
      <c r="I61" s="334" t="s">
        <v>315</v>
      </c>
      <c r="J61" s="334" t="s">
        <v>317</v>
      </c>
      <c r="K61" s="334" t="s">
        <v>316</v>
      </c>
      <c r="L61" s="334" t="s">
        <v>318</v>
      </c>
      <c r="M61" s="334" t="s">
        <v>319</v>
      </c>
      <c r="N61" s="334" t="s">
        <v>320</v>
      </c>
      <c r="O61" s="334" t="s">
        <v>321</v>
      </c>
      <c r="P61" s="334" t="s">
        <v>1</v>
      </c>
      <c r="Q61" s="334" t="s">
        <v>2</v>
      </c>
      <c r="R61" s="334" t="s">
        <v>416</v>
      </c>
      <c r="S61" s="334" t="s">
        <v>3</v>
      </c>
      <c r="T61" s="334" t="s">
        <v>322</v>
      </c>
      <c r="U61" s="334" t="s">
        <v>323</v>
      </c>
      <c r="V61" s="334" t="s">
        <v>324</v>
      </c>
      <c r="W61" s="334" t="s">
        <v>417</v>
      </c>
      <c r="X61" s="334" t="s">
        <v>325</v>
      </c>
      <c r="Y61" s="334" t="s">
        <v>4</v>
      </c>
      <c r="Z61" s="334" t="s">
        <v>5</v>
      </c>
      <c r="AA61" s="334" t="s">
        <v>6</v>
      </c>
      <c r="AB61" s="334" t="s">
        <v>7</v>
      </c>
      <c r="AC61" s="334" t="s">
        <v>418</v>
      </c>
      <c r="AD61" s="334" t="s">
        <v>8</v>
      </c>
      <c r="AE61" s="334" t="s">
        <v>9</v>
      </c>
      <c r="AF61" s="334" t="s">
        <v>419</v>
      </c>
      <c r="AG61" s="334" t="s">
        <v>10</v>
      </c>
      <c r="AH61" s="334" t="s">
        <v>420</v>
      </c>
      <c r="AI61" s="334" t="s">
        <v>11</v>
      </c>
    </row>
    <row r="62" spans="2:35" ht="16.5" thickBot="1" x14ac:dyDescent="0.3">
      <c r="B62" s="58" t="s">
        <v>27</v>
      </c>
      <c r="C62" s="58" t="s">
        <v>32</v>
      </c>
      <c r="D62" s="58" t="s">
        <v>27</v>
      </c>
      <c r="E62" s="58" t="s">
        <v>32</v>
      </c>
      <c r="F62" s="58"/>
      <c r="G62" s="58"/>
      <c r="H62" s="334" t="s">
        <v>327</v>
      </c>
      <c r="I62" s="334" t="s">
        <v>328</v>
      </c>
      <c r="J62" s="334" t="s">
        <v>330</v>
      </c>
      <c r="K62" s="334" t="s">
        <v>329</v>
      </c>
      <c r="L62" s="334" t="s">
        <v>331</v>
      </c>
      <c r="M62" s="334" t="s">
        <v>332</v>
      </c>
      <c r="N62" s="334" t="s">
        <v>333</v>
      </c>
      <c r="O62" s="334" t="s">
        <v>334</v>
      </c>
      <c r="P62" s="334" t="s">
        <v>87</v>
      </c>
      <c r="Q62" s="334" t="s">
        <v>88</v>
      </c>
      <c r="R62" s="334" t="s">
        <v>425</v>
      </c>
      <c r="S62" s="334" t="s">
        <v>463</v>
      </c>
      <c r="T62" s="334" t="s">
        <v>335</v>
      </c>
      <c r="U62" s="334" t="s">
        <v>336</v>
      </c>
      <c r="V62" s="334" t="s">
        <v>337</v>
      </c>
      <c r="W62" s="334">
        <v>0</v>
      </c>
      <c r="X62" s="334" t="s">
        <v>338</v>
      </c>
      <c r="Y62" s="334" t="s">
        <v>464</v>
      </c>
      <c r="Z62" s="334" t="s">
        <v>89</v>
      </c>
      <c r="AA62" s="334" t="s">
        <v>90</v>
      </c>
      <c r="AB62" s="334" t="s">
        <v>91</v>
      </c>
      <c r="AC62" s="334" t="s">
        <v>429</v>
      </c>
      <c r="AD62" s="334" t="s">
        <v>465</v>
      </c>
      <c r="AE62" s="334" t="s">
        <v>92</v>
      </c>
      <c r="AF62" s="334" t="s">
        <v>431</v>
      </c>
      <c r="AG62" s="334" t="s">
        <v>466</v>
      </c>
      <c r="AH62" s="334" t="s">
        <v>587</v>
      </c>
      <c r="AI62" s="334" t="s">
        <v>339</v>
      </c>
    </row>
    <row r="63" spans="2:35" x14ac:dyDescent="0.25">
      <c r="B63" s="360" t="s">
        <v>122</v>
      </c>
      <c r="C63" s="360" t="s">
        <v>121</v>
      </c>
      <c r="D63" s="360" t="s">
        <v>78</v>
      </c>
      <c r="E63" s="360" t="s">
        <v>103</v>
      </c>
      <c r="F63" s="360" t="s">
        <v>174</v>
      </c>
      <c r="G63" s="360"/>
      <c r="H63" s="366">
        <f>I63</f>
        <v>0.19998108925869895</v>
      </c>
      <c r="I63" s="367">
        <v>0.19998108925869895</v>
      </c>
      <c r="J63" s="366">
        <f>I63</f>
        <v>0.19998108925869895</v>
      </c>
      <c r="K63" s="366">
        <f>I63</f>
        <v>0.19998108925869895</v>
      </c>
      <c r="L63" s="367">
        <v>0.99874624507932508</v>
      </c>
      <c r="M63" s="367">
        <v>0.93289556535036433</v>
      </c>
      <c r="N63" s="366">
        <f>M63</f>
        <v>0.93289556535036433</v>
      </c>
      <c r="O63" s="366">
        <f>M63</f>
        <v>0.93289556535036433</v>
      </c>
      <c r="P63" s="367">
        <v>0</v>
      </c>
      <c r="Q63" s="367">
        <v>1</v>
      </c>
      <c r="R63" s="367">
        <v>0.89743011186851296</v>
      </c>
      <c r="S63" s="366">
        <f>M63</f>
        <v>0.93289556535036433</v>
      </c>
      <c r="T63" s="367">
        <v>0.98209000642686417</v>
      </c>
      <c r="U63" s="367">
        <v>0.99939464175747705</v>
      </c>
      <c r="V63" s="367">
        <v>0.98209000642686417</v>
      </c>
      <c r="W63" s="367">
        <v>0.96883583815246876</v>
      </c>
      <c r="X63" s="367">
        <v>0.95047417331728468</v>
      </c>
      <c r="Y63" s="366">
        <f>M63</f>
        <v>0.93289556535036433</v>
      </c>
      <c r="Z63" s="366">
        <f>M63</f>
        <v>0.93289556535036433</v>
      </c>
      <c r="AA63" s="367">
        <v>0.80861850443599492</v>
      </c>
      <c r="AB63" s="367">
        <v>0</v>
      </c>
      <c r="AC63" s="367">
        <v>1</v>
      </c>
      <c r="AD63" s="366">
        <f>AC63</f>
        <v>1</v>
      </c>
      <c r="AE63" s="370">
        <f>AI63</f>
        <v>1</v>
      </c>
      <c r="AF63" s="370">
        <f>I63</f>
        <v>0.19998108925869895</v>
      </c>
      <c r="AG63" s="370">
        <f>M63</f>
        <v>0.93289556535036433</v>
      </c>
      <c r="AH63" s="366">
        <f>AA63</f>
        <v>0.80861850443599492</v>
      </c>
      <c r="AI63" s="367">
        <v>1</v>
      </c>
    </row>
    <row r="64" spans="2:35" x14ac:dyDescent="0.25">
      <c r="B64" s="46" t="s">
        <v>122</v>
      </c>
      <c r="C64" s="46" t="s">
        <v>468</v>
      </c>
      <c r="D64" s="46" t="s">
        <v>78</v>
      </c>
      <c r="E64" s="46" t="s">
        <v>103</v>
      </c>
      <c r="F64" s="46" t="s">
        <v>174</v>
      </c>
      <c r="G64" s="46"/>
      <c r="H64" s="336">
        <f t="shared" ref="H64:AI64" si="20">H$53*H63</f>
        <v>0.198525635703721</v>
      </c>
      <c r="I64" s="336">
        <f t="shared" si="20"/>
        <v>0.19998108925869895</v>
      </c>
      <c r="J64" s="336">
        <f t="shared" si="20"/>
        <v>0.19339924826801494</v>
      </c>
      <c r="K64" s="336">
        <f t="shared" si="20"/>
        <v>0.19998108925869895</v>
      </c>
      <c r="L64" s="336">
        <f t="shared" si="20"/>
        <v>0.9979953631458871</v>
      </c>
      <c r="M64" s="336">
        <f t="shared" si="20"/>
        <v>0.93289556535036433</v>
      </c>
      <c r="N64" s="336">
        <f t="shared" si="20"/>
        <v>0.91480214044200669</v>
      </c>
      <c r="O64" s="336">
        <f t="shared" si="20"/>
        <v>0.93289556535036433</v>
      </c>
      <c r="P64" s="336">
        <f t="shared" si="20"/>
        <v>0</v>
      </c>
      <c r="Q64" s="336">
        <f t="shared" si="20"/>
        <v>0.89911459244443404</v>
      </c>
      <c r="R64" s="336">
        <f t="shared" si="20"/>
        <v>0.89743011186851296</v>
      </c>
      <c r="S64" s="336">
        <f t="shared" si="20"/>
        <v>0.85120812410435087</v>
      </c>
      <c r="T64" s="336">
        <f t="shared" si="20"/>
        <v>0.98017527965166373</v>
      </c>
      <c r="U64" s="336">
        <f t="shared" si="20"/>
        <v>0.85840760775876879</v>
      </c>
      <c r="V64" s="336">
        <f t="shared" si="20"/>
        <v>0.97822942881815234</v>
      </c>
      <c r="W64" s="336">
        <f t="shared" si="20"/>
        <v>0.91077342270884099</v>
      </c>
      <c r="X64" s="336">
        <f t="shared" si="20"/>
        <v>0.93712077830504703</v>
      </c>
      <c r="Y64" s="336">
        <f t="shared" si="20"/>
        <v>0.93289556535036433</v>
      </c>
      <c r="Z64" s="336">
        <f t="shared" si="20"/>
        <v>0.93289556535036433</v>
      </c>
      <c r="AA64" s="336">
        <f t="shared" si="20"/>
        <v>0.78351353136841395</v>
      </c>
      <c r="AB64" s="336">
        <f t="shared" si="20"/>
        <v>0</v>
      </c>
      <c r="AC64" s="336">
        <f t="shared" si="20"/>
        <v>0.96739573783449195</v>
      </c>
      <c r="AD64" s="336">
        <f t="shared" si="20"/>
        <v>0.99952869366389197</v>
      </c>
      <c r="AE64" s="336">
        <f t="shared" si="20"/>
        <v>0.97913404225277501</v>
      </c>
      <c r="AF64" s="336">
        <f t="shared" si="20"/>
        <v>0.19332168588050005</v>
      </c>
      <c r="AG64" s="336">
        <f t="shared" si="20"/>
        <v>0.84845206998905598</v>
      </c>
      <c r="AH64" s="336">
        <f t="shared" si="20"/>
        <v>0.61785859852550984</v>
      </c>
      <c r="AI64" s="336">
        <f t="shared" si="20"/>
        <v>0.75029992890543395</v>
      </c>
    </row>
    <row r="65" spans="2:35" x14ac:dyDescent="0.25">
      <c r="B65" s="46" t="s">
        <v>122</v>
      </c>
      <c r="C65" s="46" t="s">
        <v>469</v>
      </c>
      <c r="D65" s="46" t="s">
        <v>78</v>
      </c>
      <c r="E65" s="46" t="s">
        <v>103</v>
      </c>
      <c r="F65" s="46" t="s">
        <v>174</v>
      </c>
      <c r="G65" s="46"/>
      <c r="H65" s="336">
        <f>H63-H64</f>
        <v>1.4554535549779479E-3</v>
      </c>
      <c r="I65" s="336">
        <f t="shared" ref="I65" si="21">I63-I64</f>
        <v>0</v>
      </c>
      <c r="J65" s="336">
        <f>J63-J64</f>
        <v>6.5818409906840125E-3</v>
      </c>
      <c r="K65" s="336">
        <f>K63-K64</f>
        <v>0</v>
      </c>
      <c r="L65" s="336">
        <f t="shared" ref="L65:M65" si="22">L63-L64</f>
        <v>7.508819334379746E-4</v>
      </c>
      <c r="M65" s="336">
        <f t="shared" si="22"/>
        <v>0</v>
      </c>
      <c r="N65" s="336">
        <f>N63-N64</f>
        <v>1.8093424908357636E-2</v>
      </c>
      <c r="O65" s="336">
        <f>O63-O64</f>
        <v>0</v>
      </c>
      <c r="P65" s="336">
        <f t="shared" ref="P65:R65" si="23">P63-P64</f>
        <v>0</v>
      </c>
      <c r="Q65" s="336">
        <f t="shared" si="23"/>
        <v>0.10088540755556596</v>
      </c>
      <c r="R65" s="336">
        <f t="shared" si="23"/>
        <v>0</v>
      </c>
      <c r="S65" s="336">
        <f>S63-S64</f>
        <v>8.1687441246013459E-2</v>
      </c>
      <c r="T65" s="336">
        <f t="shared" ref="T65:X65" si="24">T63-T64</f>
        <v>1.9147267752004371E-3</v>
      </c>
      <c r="U65" s="336">
        <f t="shared" si="24"/>
        <v>0.14098703399870827</v>
      </c>
      <c r="V65" s="336">
        <f t="shared" si="24"/>
        <v>3.8605776087118349E-3</v>
      </c>
      <c r="W65" s="336">
        <f t="shared" si="24"/>
        <v>5.806241544362778E-2</v>
      </c>
      <c r="X65" s="336">
        <f t="shared" si="24"/>
        <v>1.3353395012237645E-2</v>
      </c>
      <c r="Y65" s="336">
        <f>Y63-Y64</f>
        <v>0</v>
      </c>
      <c r="Z65" s="336">
        <f>Z63-Z64</f>
        <v>0</v>
      </c>
      <c r="AA65" s="336">
        <f t="shared" ref="AA65:AC65" si="25">AA63-AA64</f>
        <v>2.5104973067580971E-2</v>
      </c>
      <c r="AB65" s="336">
        <f t="shared" si="25"/>
        <v>0</v>
      </c>
      <c r="AC65" s="336">
        <f t="shared" si="25"/>
        <v>3.2604262165508047E-2</v>
      </c>
      <c r="AD65" s="336">
        <f>AD63-AD64</f>
        <v>4.7130633610803496E-4</v>
      </c>
      <c r="AE65" s="336">
        <f>AE63-AE64</f>
        <v>2.0865957747224995E-2</v>
      </c>
      <c r="AF65" s="336">
        <f>AF63-AF64</f>
        <v>6.659403378198897E-3</v>
      </c>
      <c r="AG65" s="336">
        <f>AG63-AG64</f>
        <v>8.4443495361308352E-2</v>
      </c>
      <c r="AH65" s="336">
        <f>AH63-AH64</f>
        <v>0.19075990591048508</v>
      </c>
      <c r="AI65" s="336">
        <f t="shared" ref="AI65" si="26">AI63-AI64</f>
        <v>0.24970007109456605</v>
      </c>
    </row>
    <row r="66" spans="2:35" x14ac:dyDescent="0.25">
      <c r="B66" s="360" t="s">
        <v>124</v>
      </c>
      <c r="C66" s="360" t="s">
        <v>123</v>
      </c>
      <c r="D66" s="360" t="s">
        <v>78</v>
      </c>
      <c r="E66" s="360" t="s">
        <v>103</v>
      </c>
      <c r="F66" s="360" t="s">
        <v>174</v>
      </c>
      <c r="G66" s="360"/>
      <c r="H66" s="371">
        <f t="shared" ref="H66:H138" si="27">I66</f>
        <v>0</v>
      </c>
      <c r="I66" s="372">
        <v>0</v>
      </c>
      <c r="J66" s="371">
        <f t="shared" ref="J66:J140" si="28">I66</f>
        <v>0</v>
      </c>
      <c r="K66" s="371">
        <f t="shared" ref="K66:K140" si="29">I66</f>
        <v>0</v>
      </c>
      <c r="L66" s="372">
        <v>0</v>
      </c>
      <c r="M66" s="372">
        <v>0</v>
      </c>
      <c r="N66" s="371">
        <f t="shared" ref="N66:N140" si="30">M66</f>
        <v>0</v>
      </c>
      <c r="O66" s="371">
        <f t="shared" ref="O66:O140" si="31">M66</f>
        <v>0</v>
      </c>
      <c r="P66" s="372">
        <v>0</v>
      </c>
      <c r="Q66" s="372">
        <v>0</v>
      </c>
      <c r="R66" s="372">
        <v>0</v>
      </c>
      <c r="S66" s="371">
        <f t="shared" ref="S66:S105" si="32">M66</f>
        <v>0</v>
      </c>
      <c r="T66" s="373">
        <v>0</v>
      </c>
      <c r="U66" s="372">
        <v>0</v>
      </c>
      <c r="V66" s="372">
        <v>0</v>
      </c>
      <c r="W66" s="372">
        <v>0</v>
      </c>
      <c r="X66" s="372">
        <v>0</v>
      </c>
      <c r="Y66" s="371">
        <f t="shared" ref="Y66:Y140" si="33">M66</f>
        <v>0</v>
      </c>
      <c r="Z66" s="371">
        <f t="shared" ref="Z66:Z140" si="34">M66</f>
        <v>0</v>
      </c>
      <c r="AA66" s="372">
        <v>0</v>
      </c>
      <c r="AB66" s="372">
        <v>0</v>
      </c>
      <c r="AC66" s="372">
        <v>0</v>
      </c>
      <c r="AD66" s="371">
        <f t="shared" ref="AD66:AD140" si="35">AC66</f>
        <v>0</v>
      </c>
      <c r="AE66" s="374">
        <f t="shared" ref="AE66:AE140" si="36">AI66</f>
        <v>0</v>
      </c>
      <c r="AF66" s="374">
        <f t="shared" ref="AF66:AF140" si="37">I66</f>
        <v>0</v>
      </c>
      <c r="AG66" s="374">
        <f t="shared" ref="AG66:AG140" si="38">M66</f>
        <v>0</v>
      </c>
      <c r="AH66" s="371">
        <f t="shared" ref="AH66:AH105" si="39">AA66</f>
        <v>0</v>
      </c>
      <c r="AI66" s="372">
        <v>0</v>
      </c>
    </row>
    <row r="67" spans="2:35" x14ac:dyDescent="0.25">
      <c r="B67" s="46" t="s">
        <v>124</v>
      </c>
      <c r="C67" s="46" t="s">
        <v>470</v>
      </c>
      <c r="D67" s="46" t="s">
        <v>78</v>
      </c>
      <c r="E67" s="46" t="s">
        <v>103</v>
      </c>
      <c r="F67" s="46" t="s">
        <v>174</v>
      </c>
      <c r="G67" s="46"/>
      <c r="H67" s="337">
        <f t="shared" ref="H67:AI67" si="40">H66*H$54</f>
        <v>0</v>
      </c>
      <c r="I67" s="337">
        <f t="shared" si="40"/>
        <v>0</v>
      </c>
      <c r="J67" s="337">
        <f t="shared" si="40"/>
        <v>0</v>
      </c>
      <c r="K67" s="337">
        <f t="shared" si="40"/>
        <v>0</v>
      </c>
      <c r="L67" s="337">
        <f t="shared" si="40"/>
        <v>0</v>
      </c>
      <c r="M67" s="337">
        <f t="shared" si="40"/>
        <v>0</v>
      </c>
      <c r="N67" s="337">
        <f t="shared" si="40"/>
        <v>0</v>
      </c>
      <c r="O67" s="337">
        <f t="shared" si="40"/>
        <v>0</v>
      </c>
      <c r="P67" s="337">
        <f t="shared" si="40"/>
        <v>0</v>
      </c>
      <c r="Q67" s="337">
        <f t="shared" si="40"/>
        <v>0</v>
      </c>
      <c r="R67" s="337">
        <f t="shared" si="40"/>
        <v>0</v>
      </c>
      <c r="S67" s="337">
        <f t="shared" si="40"/>
        <v>0</v>
      </c>
      <c r="T67" s="337">
        <f t="shared" si="40"/>
        <v>0</v>
      </c>
      <c r="U67" s="337">
        <f t="shared" si="40"/>
        <v>0</v>
      </c>
      <c r="V67" s="337">
        <f t="shared" si="40"/>
        <v>0</v>
      </c>
      <c r="W67" s="337">
        <f t="shared" si="40"/>
        <v>0</v>
      </c>
      <c r="X67" s="337">
        <f t="shared" si="40"/>
        <v>0</v>
      </c>
      <c r="Y67" s="337">
        <f t="shared" si="40"/>
        <v>0</v>
      </c>
      <c r="Z67" s="337">
        <f t="shared" si="40"/>
        <v>0</v>
      </c>
      <c r="AA67" s="337">
        <f t="shared" si="40"/>
        <v>0</v>
      </c>
      <c r="AB67" s="337">
        <f t="shared" si="40"/>
        <v>0</v>
      </c>
      <c r="AC67" s="337">
        <f t="shared" si="40"/>
        <v>0</v>
      </c>
      <c r="AD67" s="337">
        <f t="shared" si="40"/>
        <v>0</v>
      </c>
      <c r="AE67" s="337">
        <f t="shared" si="40"/>
        <v>0</v>
      </c>
      <c r="AF67" s="337">
        <f t="shared" si="40"/>
        <v>0</v>
      </c>
      <c r="AG67" s="337">
        <f t="shared" si="40"/>
        <v>0</v>
      </c>
      <c r="AH67" s="337">
        <f t="shared" si="40"/>
        <v>0</v>
      </c>
      <c r="AI67" s="337">
        <f t="shared" si="40"/>
        <v>0</v>
      </c>
    </row>
    <row r="68" spans="2:35" x14ac:dyDescent="0.25">
      <c r="B68" s="46" t="s">
        <v>124</v>
      </c>
      <c r="C68" s="46" t="s">
        <v>471</v>
      </c>
      <c r="D68" s="46" t="s">
        <v>78</v>
      </c>
      <c r="E68" s="46" t="s">
        <v>103</v>
      </c>
      <c r="F68" s="46" t="s">
        <v>174</v>
      </c>
      <c r="G68" s="46"/>
      <c r="H68" s="336">
        <f>H66-H67</f>
        <v>0</v>
      </c>
      <c r="I68" s="336">
        <f t="shared" ref="I68:AI68" si="41">I66-I67</f>
        <v>0</v>
      </c>
      <c r="J68" s="336">
        <f t="shared" si="41"/>
        <v>0</v>
      </c>
      <c r="K68" s="336">
        <f t="shared" si="41"/>
        <v>0</v>
      </c>
      <c r="L68" s="336">
        <f t="shared" si="41"/>
        <v>0</v>
      </c>
      <c r="M68" s="336">
        <f t="shared" si="41"/>
        <v>0</v>
      </c>
      <c r="N68" s="336">
        <f t="shared" si="41"/>
        <v>0</v>
      </c>
      <c r="O68" s="336">
        <f t="shared" si="41"/>
        <v>0</v>
      </c>
      <c r="P68" s="336">
        <f t="shared" si="41"/>
        <v>0</v>
      </c>
      <c r="Q68" s="336">
        <f t="shared" si="41"/>
        <v>0</v>
      </c>
      <c r="R68" s="336">
        <f t="shared" si="41"/>
        <v>0</v>
      </c>
      <c r="S68" s="336">
        <f t="shared" si="41"/>
        <v>0</v>
      </c>
      <c r="T68" s="336">
        <f t="shared" si="41"/>
        <v>0</v>
      </c>
      <c r="U68" s="336">
        <f t="shared" si="41"/>
        <v>0</v>
      </c>
      <c r="V68" s="336">
        <f t="shared" si="41"/>
        <v>0</v>
      </c>
      <c r="W68" s="336">
        <f t="shared" si="41"/>
        <v>0</v>
      </c>
      <c r="X68" s="336">
        <f t="shared" si="41"/>
        <v>0</v>
      </c>
      <c r="Y68" s="336">
        <f t="shared" si="41"/>
        <v>0</v>
      </c>
      <c r="Z68" s="336">
        <f t="shared" si="41"/>
        <v>0</v>
      </c>
      <c r="AA68" s="336">
        <f t="shared" si="41"/>
        <v>0</v>
      </c>
      <c r="AB68" s="336">
        <f t="shared" si="41"/>
        <v>0</v>
      </c>
      <c r="AC68" s="336">
        <f t="shared" si="41"/>
        <v>0</v>
      </c>
      <c r="AD68" s="336">
        <f t="shared" si="41"/>
        <v>0</v>
      </c>
      <c r="AE68" s="336">
        <f t="shared" si="41"/>
        <v>0</v>
      </c>
      <c r="AF68" s="336">
        <f t="shared" si="41"/>
        <v>0</v>
      </c>
      <c r="AG68" s="336">
        <f t="shared" si="41"/>
        <v>0</v>
      </c>
      <c r="AH68" s="336">
        <f t="shared" si="41"/>
        <v>0</v>
      </c>
      <c r="AI68" s="336">
        <f t="shared" si="41"/>
        <v>0</v>
      </c>
    </row>
    <row r="69" spans="2:35" x14ac:dyDescent="0.25">
      <c r="B69" s="46" t="s">
        <v>119</v>
      </c>
      <c r="C69" s="46" t="s">
        <v>118</v>
      </c>
      <c r="D69" s="46" t="s">
        <v>78</v>
      </c>
      <c r="E69" s="46" t="s">
        <v>103</v>
      </c>
      <c r="F69" s="46" t="s">
        <v>174</v>
      </c>
      <c r="G69" s="46"/>
      <c r="H69" s="371">
        <f t="shared" si="27"/>
        <v>0.80001891074130105</v>
      </c>
      <c r="I69" s="372">
        <v>0.80001891074130105</v>
      </c>
      <c r="J69" s="371">
        <f t="shared" si="28"/>
        <v>0.80001891074130105</v>
      </c>
      <c r="K69" s="371">
        <f t="shared" si="29"/>
        <v>0.80001891074130105</v>
      </c>
      <c r="L69" s="372">
        <v>1.2537549206748729E-3</v>
      </c>
      <c r="M69" s="372">
        <v>6.7104434649635683E-2</v>
      </c>
      <c r="N69" s="371">
        <f t="shared" si="30"/>
        <v>6.7104434649635683E-2</v>
      </c>
      <c r="O69" s="371">
        <f t="shared" si="31"/>
        <v>6.7104434649635683E-2</v>
      </c>
      <c r="P69" s="372">
        <v>1</v>
      </c>
      <c r="Q69" s="372">
        <v>0</v>
      </c>
      <c r="R69" s="372">
        <v>8.9779825665629517E-3</v>
      </c>
      <c r="S69" s="371">
        <f t="shared" si="32"/>
        <v>6.7104434649635683E-2</v>
      </c>
      <c r="T69" s="373">
        <v>1.7015839482692408E-2</v>
      </c>
      <c r="U69" s="372">
        <v>6.0535824252294548E-4</v>
      </c>
      <c r="V69" s="372">
        <v>1.7015839482692408E-2</v>
      </c>
      <c r="W69" s="372">
        <v>3.0275709824656504E-2</v>
      </c>
      <c r="X69" s="372">
        <v>2.2849269331983932E-4</v>
      </c>
      <c r="Y69" s="371">
        <f t="shared" si="33"/>
        <v>6.7104434649635683E-2</v>
      </c>
      <c r="Z69" s="371">
        <f t="shared" si="34"/>
        <v>6.7104434649635683E-2</v>
      </c>
      <c r="AA69" s="372">
        <v>0.19138149556400505</v>
      </c>
      <c r="AB69" s="372">
        <v>1</v>
      </c>
      <c r="AC69" s="372">
        <v>0</v>
      </c>
      <c r="AD69" s="371">
        <f t="shared" si="35"/>
        <v>0</v>
      </c>
      <c r="AE69" s="374">
        <f t="shared" si="36"/>
        <v>0</v>
      </c>
      <c r="AF69" s="374">
        <f t="shared" si="37"/>
        <v>0.80001891074130105</v>
      </c>
      <c r="AG69" s="374">
        <f t="shared" si="38"/>
        <v>6.7104434649635683E-2</v>
      </c>
      <c r="AH69" s="371">
        <f t="shared" si="39"/>
        <v>0.19138149556400505</v>
      </c>
      <c r="AI69" s="372">
        <v>0</v>
      </c>
    </row>
    <row r="70" spans="2:35" x14ac:dyDescent="0.25">
      <c r="B70" s="46" t="s">
        <v>94</v>
      </c>
      <c r="C70" s="46" t="s">
        <v>125</v>
      </c>
      <c r="D70" s="46" t="s">
        <v>78</v>
      </c>
      <c r="E70" s="46" t="s">
        <v>103</v>
      </c>
      <c r="F70" s="46" t="s">
        <v>174</v>
      </c>
      <c r="G70" s="46"/>
      <c r="H70" s="371">
        <f t="shared" si="27"/>
        <v>0</v>
      </c>
      <c r="I70" s="372">
        <v>0</v>
      </c>
      <c r="J70" s="371">
        <f t="shared" si="28"/>
        <v>0</v>
      </c>
      <c r="K70" s="371">
        <f t="shared" si="29"/>
        <v>0</v>
      </c>
      <c r="L70" s="372">
        <v>0</v>
      </c>
      <c r="M70" s="372">
        <v>0</v>
      </c>
      <c r="N70" s="371">
        <f t="shared" si="30"/>
        <v>0</v>
      </c>
      <c r="O70" s="371">
        <f t="shared" si="31"/>
        <v>0</v>
      </c>
      <c r="P70" s="372">
        <v>0</v>
      </c>
      <c r="Q70" s="372">
        <v>0</v>
      </c>
      <c r="R70" s="372">
        <v>0</v>
      </c>
      <c r="S70" s="371">
        <f t="shared" si="32"/>
        <v>0</v>
      </c>
      <c r="T70" s="373">
        <v>0</v>
      </c>
      <c r="U70" s="372">
        <v>0</v>
      </c>
      <c r="V70" s="372">
        <v>0</v>
      </c>
      <c r="W70" s="372">
        <v>0</v>
      </c>
      <c r="X70" s="372">
        <v>0</v>
      </c>
      <c r="Y70" s="371">
        <f t="shared" si="33"/>
        <v>0</v>
      </c>
      <c r="Z70" s="371">
        <f t="shared" si="34"/>
        <v>0</v>
      </c>
      <c r="AA70" s="372">
        <v>0</v>
      </c>
      <c r="AB70" s="372">
        <v>0</v>
      </c>
      <c r="AC70" s="372">
        <v>0</v>
      </c>
      <c r="AD70" s="371">
        <f t="shared" si="35"/>
        <v>0</v>
      </c>
      <c r="AE70" s="374">
        <f t="shared" si="36"/>
        <v>0</v>
      </c>
      <c r="AF70" s="374">
        <f t="shared" si="37"/>
        <v>0</v>
      </c>
      <c r="AG70" s="374">
        <f t="shared" si="38"/>
        <v>0</v>
      </c>
      <c r="AH70" s="371">
        <f t="shared" si="39"/>
        <v>0</v>
      </c>
      <c r="AI70" s="372">
        <v>0</v>
      </c>
    </row>
    <row r="71" spans="2:35" x14ac:dyDescent="0.25">
      <c r="B71" s="46" t="s">
        <v>148</v>
      </c>
      <c r="C71" s="46" t="s">
        <v>173</v>
      </c>
      <c r="D71" s="46" t="s">
        <v>78</v>
      </c>
      <c r="E71" s="46" t="s">
        <v>103</v>
      </c>
      <c r="F71" s="46" t="s">
        <v>174</v>
      </c>
      <c r="G71" s="46"/>
      <c r="H71" s="371">
        <f t="shared" si="27"/>
        <v>0</v>
      </c>
      <c r="I71" s="372">
        <v>0</v>
      </c>
      <c r="J71" s="371">
        <f t="shared" si="28"/>
        <v>0</v>
      </c>
      <c r="K71" s="371">
        <f t="shared" si="29"/>
        <v>0</v>
      </c>
      <c r="L71" s="372">
        <v>0</v>
      </c>
      <c r="M71" s="372">
        <v>0</v>
      </c>
      <c r="N71" s="371">
        <f t="shared" si="30"/>
        <v>0</v>
      </c>
      <c r="O71" s="371">
        <f t="shared" si="31"/>
        <v>0</v>
      </c>
      <c r="P71" s="372">
        <v>0</v>
      </c>
      <c r="Q71" s="372">
        <v>0</v>
      </c>
      <c r="R71" s="372">
        <v>0</v>
      </c>
      <c r="S71" s="371">
        <f t="shared" si="32"/>
        <v>0</v>
      </c>
      <c r="T71" s="373">
        <v>0</v>
      </c>
      <c r="U71" s="372">
        <v>0</v>
      </c>
      <c r="V71" s="372">
        <v>0</v>
      </c>
      <c r="W71" s="372">
        <v>0</v>
      </c>
      <c r="X71" s="372">
        <v>0</v>
      </c>
      <c r="Y71" s="371">
        <f t="shared" si="33"/>
        <v>0</v>
      </c>
      <c r="Z71" s="371">
        <f t="shared" si="34"/>
        <v>0</v>
      </c>
      <c r="AA71" s="372">
        <v>0</v>
      </c>
      <c r="AB71" s="372">
        <v>0</v>
      </c>
      <c r="AC71" s="372">
        <v>0</v>
      </c>
      <c r="AD71" s="371">
        <f t="shared" si="35"/>
        <v>0</v>
      </c>
      <c r="AE71" s="374">
        <f t="shared" si="36"/>
        <v>0</v>
      </c>
      <c r="AF71" s="374">
        <f t="shared" si="37"/>
        <v>0</v>
      </c>
      <c r="AG71" s="374">
        <f t="shared" si="38"/>
        <v>0</v>
      </c>
      <c r="AH71" s="371">
        <f t="shared" si="39"/>
        <v>0</v>
      </c>
      <c r="AI71" s="372">
        <v>0</v>
      </c>
    </row>
    <row r="72" spans="2:35" x14ac:dyDescent="0.25">
      <c r="B72" s="46" t="s">
        <v>169</v>
      </c>
      <c r="C72" s="46" t="s">
        <v>120</v>
      </c>
      <c r="D72" s="46" t="s">
        <v>78</v>
      </c>
      <c r="E72" s="46" t="s">
        <v>103</v>
      </c>
      <c r="F72" s="46" t="s">
        <v>174</v>
      </c>
      <c r="G72" s="46"/>
      <c r="H72" s="371">
        <f t="shared" si="27"/>
        <v>0</v>
      </c>
      <c r="I72" s="372">
        <v>0</v>
      </c>
      <c r="J72" s="371">
        <f t="shared" si="28"/>
        <v>0</v>
      </c>
      <c r="K72" s="371">
        <f t="shared" si="29"/>
        <v>0</v>
      </c>
      <c r="L72" s="372">
        <v>0</v>
      </c>
      <c r="M72" s="376">
        <v>0</v>
      </c>
      <c r="N72" s="371">
        <f t="shared" si="30"/>
        <v>0</v>
      </c>
      <c r="O72" s="371">
        <f t="shared" si="31"/>
        <v>0</v>
      </c>
      <c r="P72" s="372">
        <v>0</v>
      </c>
      <c r="Q72" s="372">
        <v>0</v>
      </c>
      <c r="R72" s="372">
        <v>9.3591905564924111E-2</v>
      </c>
      <c r="S72" s="371">
        <f t="shared" si="32"/>
        <v>0</v>
      </c>
      <c r="T72" s="373">
        <v>8.9415409044345869E-4</v>
      </c>
      <c r="U72" s="372">
        <v>0</v>
      </c>
      <c r="V72" s="372">
        <v>8.9415409044345869E-4</v>
      </c>
      <c r="W72" s="372">
        <v>8.8845202287468324E-4</v>
      </c>
      <c r="X72" s="372">
        <v>4.9297333989395481E-2</v>
      </c>
      <c r="Y72" s="371">
        <f t="shared" si="33"/>
        <v>0</v>
      </c>
      <c r="Z72" s="371">
        <f t="shared" si="34"/>
        <v>0</v>
      </c>
      <c r="AA72" s="372">
        <v>0</v>
      </c>
      <c r="AB72" s="372">
        <v>0</v>
      </c>
      <c r="AC72" s="372">
        <v>0</v>
      </c>
      <c r="AD72" s="371">
        <f t="shared" si="35"/>
        <v>0</v>
      </c>
      <c r="AE72" s="374">
        <f t="shared" si="36"/>
        <v>0</v>
      </c>
      <c r="AF72" s="374">
        <f t="shared" si="37"/>
        <v>0</v>
      </c>
      <c r="AG72" s="374">
        <f t="shared" si="38"/>
        <v>0</v>
      </c>
      <c r="AH72" s="371">
        <f t="shared" si="39"/>
        <v>0</v>
      </c>
      <c r="AI72" s="372">
        <v>0</v>
      </c>
    </row>
    <row r="73" spans="2:35" x14ac:dyDescent="0.25">
      <c r="B73" s="339"/>
      <c r="C73" s="340" t="s">
        <v>176</v>
      </c>
      <c r="D73" s="339"/>
      <c r="E73" s="339"/>
      <c r="F73" s="340"/>
      <c r="G73" s="340"/>
      <c r="H73" s="338">
        <f t="shared" ref="H73:AI73" si="42">SUM(H63,H66,H69,H70,H72,H71)</f>
        <v>1</v>
      </c>
      <c r="I73" s="338">
        <f t="shared" si="42"/>
        <v>1</v>
      </c>
      <c r="J73" s="338">
        <f t="shared" si="42"/>
        <v>1</v>
      </c>
      <c r="K73" s="338">
        <f t="shared" si="42"/>
        <v>1</v>
      </c>
      <c r="L73" s="338">
        <f t="shared" si="42"/>
        <v>1</v>
      </c>
      <c r="M73" s="338">
        <f t="shared" si="42"/>
        <v>1</v>
      </c>
      <c r="N73" s="338">
        <f t="shared" si="42"/>
        <v>1</v>
      </c>
      <c r="O73" s="338">
        <f t="shared" si="42"/>
        <v>1</v>
      </c>
      <c r="P73" s="338">
        <f t="shared" si="42"/>
        <v>1</v>
      </c>
      <c r="Q73" s="338">
        <f t="shared" si="42"/>
        <v>1</v>
      </c>
      <c r="R73" s="338">
        <f t="shared" si="42"/>
        <v>1</v>
      </c>
      <c r="S73" s="338">
        <f t="shared" si="42"/>
        <v>1</v>
      </c>
      <c r="T73" s="338">
        <f t="shared" si="42"/>
        <v>1</v>
      </c>
      <c r="U73" s="338">
        <f t="shared" si="42"/>
        <v>1</v>
      </c>
      <c r="V73" s="338">
        <f t="shared" si="42"/>
        <v>1</v>
      </c>
      <c r="W73" s="338">
        <f t="shared" si="42"/>
        <v>1</v>
      </c>
      <c r="X73" s="338">
        <f t="shared" si="42"/>
        <v>1</v>
      </c>
      <c r="Y73" s="338">
        <f t="shared" si="42"/>
        <v>1</v>
      </c>
      <c r="Z73" s="338">
        <f t="shared" si="42"/>
        <v>1</v>
      </c>
      <c r="AA73" s="338">
        <f t="shared" si="42"/>
        <v>1</v>
      </c>
      <c r="AB73" s="338">
        <f t="shared" si="42"/>
        <v>1</v>
      </c>
      <c r="AC73" s="338">
        <f t="shared" si="42"/>
        <v>1</v>
      </c>
      <c r="AD73" s="338">
        <f t="shared" si="42"/>
        <v>1</v>
      </c>
      <c r="AE73" s="338">
        <f t="shared" si="42"/>
        <v>1</v>
      </c>
      <c r="AF73" s="338">
        <f t="shared" si="42"/>
        <v>1</v>
      </c>
      <c r="AG73" s="338">
        <f t="shared" si="42"/>
        <v>1</v>
      </c>
      <c r="AH73" s="338">
        <f t="shared" si="42"/>
        <v>1</v>
      </c>
      <c r="AI73" s="338">
        <f t="shared" si="42"/>
        <v>1</v>
      </c>
    </row>
    <row r="74" spans="2:35" x14ac:dyDescent="0.25">
      <c r="B74" s="360" t="s">
        <v>122</v>
      </c>
      <c r="C74" s="360" t="s">
        <v>121</v>
      </c>
      <c r="D74" s="360" t="s">
        <v>115</v>
      </c>
      <c r="E74" s="360" t="s">
        <v>368</v>
      </c>
      <c r="F74" s="360" t="s">
        <v>174</v>
      </c>
      <c r="G74" s="360"/>
      <c r="H74" s="366">
        <f t="shared" si="27"/>
        <v>0.19998108925869895</v>
      </c>
      <c r="I74" s="367">
        <v>0.19998108925869895</v>
      </c>
      <c r="J74" s="366">
        <f t="shared" si="28"/>
        <v>0.19998108925869895</v>
      </c>
      <c r="K74" s="366">
        <f t="shared" si="29"/>
        <v>0.19998108925869895</v>
      </c>
      <c r="L74" s="367">
        <v>0.99874624507932508</v>
      </c>
      <c r="M74" s="367">
        <v>0.93289556535036433</v>
      </c>
      <c r="N74" s="366">
        <f t="shared" si="30"/>
        <v>0.93289556535036433</v>
      </c>
      <c r="O74" s="366">
        <f t="shared" si="31"/>
        <v>0.93289556535036433</v>
      </c>
      <c r="P74" s="367">
        <v>0</v>
      </c>
      <c r="Q74" s="367">
        <v>1</v>
      </c>
      <c r="R74" s="367">
        <v>0.89743011186851296</v>
      </c>
      <c r="S74" s="366">
        <f t="shared" si="32"/>
        <v>0.93289556535036433</v>
      </c>
      <c r="T74" s="367">
        <v>0.98209000642686417</v>
      </c>
      <c r="U74" s="367">
        <v>0.99939464175747705</v>
      </c>
      <c r="V74" s="367">
        <v>0.98209000642686417</v>
      </c>
      <c r="W74" s="367">
        <v>0.96883583815246876</v>
      </c>
      <c r="X74" s="367">
        <v>0.95047417331728468</v>
      </c>
      <c r="Y74" s="366">
        <f t="shared" si="33"/>
        <v>0.93289556535036433</v>
      </c>
      <c r="Z74" s="366">
        <f t="shared" si="34"/>
        <v>0.93289556535036433</v>
      </c>
      <c r="AA74" s="367">
        <v>0.80861850443599492</v>
      </c>
      <c r="AB74" s="367">
        <v>0</v>
      </c>
      <c r="AC74" s="367">
        <v>1</v>
      </c>
      <c r="AD74" s="366">
        <f t="shared" si="35"/>
        <v>1</v>
      </c>
      <c r="AE74" s="370">
        <f t="shared" si="36"/>
        <v>1</v>
      </c>
      <c r="AF74" s="370">
        <f t="shared" si="37"/>
        <v>0.19998108925869895</v>
      </c>
      <c r="AG74" s="370">
        <f t="shared" si="38"/>
        <v>0.93289556535036433</v>
      </c>
      <c r="AH74" s="366">
        <f t="shared" si="39"/>
        <v>0.80861850443599492</v>
      </c>
      <c r="AI74" s="367">
        <v>1</v>
      </c>
    </row>
    <row r="75" spans="2:35" x14ac:dyDescent="0.25">
      <c r="B75" s="46" t="s">
        <v>122</v>
      </c>
      <c r="C75" s="46" t="s">
        <v>468</v>
      </c>
      <c r="D75" s="46" t="s">
        <v>115</v>
      </c>
      <c r="E75" s="46" t="s">
        <v>368</v>
      </c>
      <c r="F75" s="46" t="s">
        <v>174</v>
      </c>
      <c r="G75" s="46"/>
      <c r="H75" s="336">
        <f t="shared" ref="H75:AI75" si="43">H$53*H74</f>
        <v>0.198525635703721</v>
      </c>
      <c r="I75" s="336">
        <f t="shared" si="43"/>
        <v>0.19998108925869895</v>
      </c>
      <c r="J75" s="336">
        <f t="shared" si="43"/>
        <v>0.19339924826801494</v>
      </c>
      <c r="K75" s="336">
        <f t="shared" si="43"/>
        <v>0.19998108925869895</v>
      </c>
      <c r="L75" s="336">
        <f t="shared" si="43"/>
        <v>0.9979953631458871</v>
      </c>
      <c r="M75" s="336">
        <f t="shared" si="43"/>
        <v>0.93289556535036433</v>
      </c>
      <c r="N75" s="336">
        <f t="shared" si="43"/>
        <v>0.91480214044200669</v>
      </c>
      <c r="O75" s="336">
        <f t="shared" si="43"/>
        <v>0.93289556535036433</v>
      </c>
      <c r="P75" s="336">
        <f t="shared" si="43"/>
        <v>0</v>
      </c>
      <c r="Q75" s="336">
        <f t="shared" si="43"/>
        <v>0.89911459244443404</v>
      </c>
      <c r="R75" s="336">
        <f t="shared" si="43"/>
        <v>0.89743011186851296</v>
      </c>
      <c r="S75" s="336">
        <f t="shared" si="43"/>
        <v>0.85120812410435087</v>
      </c>
      <c r="T75" s="336">
        <f t="shared" si="43"/>
        <v>0.98017527965166373</v>
      </c>
      <c r="U75" s="336">
        <f t="shared" si="43"/>
        <v>0.85840760775876879</v>
      </c>
      <c r="V75" s="336">
        <f t="shared" si="43"/>
        <v>0.97822942881815234</v>
      </c>
      <c r="W75" s="336">
        <f t="shared" si="43"/>
        <v>0.91077342270884099</v>
      </c>
      <c r="X75" s="336">
        <f t="shared" si="43"/>
        <v>0.93712077830504703</v>
      </c>
      <c r="Y75" s="336">
        <f t="shared" si="43"/>
        <v>0.93289556535036433</v>
      </c>
      <c r="Z75" s="336">
        <f t="shared" si="43"/>
        <v>0.93289556535036433</v>
      </c>
      <c r="AA75" s="336">
        <f t="shared" si="43"/>
        <v>0.78351353136841395</v>
      </c>
      <c r="AB75" s="336">
        <f t="shared" si="43"/>
        <v>0</v>
      </c>
      <c r="AC75" s="336">
        <f t="shared" si="43"/>
        <v>0.96739573783449195</v>
      </c>
      <c r="AD75" s="336">
        <f t="shared" si="43"/>
        <v>0.99952869366389197</v>
      </c>
      <c r="AE75" s="336">
        <f t="shared" si="43"/>
        <v>0.97913404225277501</v>
      </c>
      <c r="AF75" s="336">
        <f t="shared" si="43"/>
        <v>0.19332168588050005</v>
      </c>
      <c r="AG75" s="336">
        <f t="shared" si="43"/>
        <v>0.84845206998905598</v>
      </c>
      <c r="AH75" s="336">
        <f t="shared" si="43"/>
        <v>0.61785859852550984</v>
      </c>
      <c r="AI75" s="336">
        <f t="shared" si="43"/>
        <v>0.75029992890543395</v>
      </c>
    </row>
    <row r="76" spans="2:35" x14ac:dyDescent="0.25">
      <c r="B76" s="46" t="s">
        <v>122</v>
      </c>
      <c r="C76" s="46" t="s">
        <v>469</v>
      </c>
      <c r="D76" s="46" t="s">
        <v>115</v>
      </c>
      <c r="E76" s="46" t="s">
        <v>368</v>
      </c>
      <c r="F76" s="46" t="s">
        <v>174</v>
      </c>
      <c r="G76" s="46"/>
      <c r="H76" s="336">
        <f>H74-H75</f>
        <v>1.4554535549779479E-3</v>
      </c>
      <c r="I76" s="336">
        <f t="shared" ref="I76" si="44">I74-I75</f>
        <v>0</v>
      </c>
      <c r="J76" s="336">
        <f>J74-J75</f>
        <v>6.5818409906840125E-3</v>
      </c>
      <c r="K76" s="336">
        <f>K74-K75</f>
        <v>0</v>
      </c>
      <c r="L76" s="336">
        <f t="shared" ref="L76:M76" si="45">L74-L75</f>
        <v>7.508819334379746E-4</v>
      </c>
      <c r="M76" s="336">
        <f t="shared" si="45"/>
        <v>0</v>
      </c>
      <c r="N76" s="336">
        <f>N74-N75</f>
        <v>1.8093424908357636E-2</v>
      </c>
      <c r="O76" s="336">
        <f>O74-O75</f>
        <v>0</v>
      </c>
      <c r="P76" s="336">
        <f t="shared" ref="P76:R76" si="46">P74-P75</f>
        <v>0</v>
      </c>
      <c r="Q76" s="336">
        <f t="shared" si="46"/>
        <v>0.10088540755556596</v>
      </c>
      <c r="R76" s="336">
        <f t="shared" si="46"/>
        <v>0</v>
      </c>
      <c r="S76" s="336">
        <f>S74-S75</f>
        <v>8.1687441246013459E-2</v>
      </c>
      <c r="T76" s="336">
        <f t="shared" ref="T76:X76" si="47">T74-T75</f>
        <v>1.9147267752004371E-3</v>
      </c>
      <c r="U76" s="336">
        <f t="shared" si="47"/>
        <v>0.14098703399870827</v>
      </c>
      <c r="V76" s="336">
        <f t="shared" si="47"/>
        <v>3.8605776087118349E-3</v>
      </c>
      <c r="W76" s="336">
        <f t="shared" si="47"/>
        <v>5.806241544362778E-2</v>
      </c>
      <c r="X76" s="336">
        <f t="shared" si="47"/>
        <v>1.3353395012237645E-2</v>
      </c>
      <c r="Y76" s="336">
        <f>Y74-Y75</f>
        <v>0</v>
      </c>
      <c r="Z76" s="336">
        <f>Z74-Z75</f>
        <v>0</v>
      </c>
      <c r="AA76" s="336">
        <f t="shared" ref="AA76:AC76" si="48">AA74-AA75</f>
        <v>2.5104973067580971E-2</v>
      </c>
      <c r="AB76" s="336">
        <f t="shared" si="48"/>
        <v>0</v>
      </c>
      <c r="AC76" s="336">
        <f t="shared" si="48"/>
        <v>3.2604262165508047E-2</v>
      </c>
      <c r="AD76" s="336">
        <f>AD74-AD75</f>
        <v>4.7130633610803496E-4</v>
      </c>
      <c r="AE76" s="336">
        <f>AE74-AE75</f>
        <v>2.0865957747224995E-2</v>
      </c>
      <c r="AF76" s="336">
        <f>AF74-AF75</f>
        <v>6.659403378198897E-3</v>
      </c>
      <c r="AG76" s="336">
        <f>AG74-AG75</f>
        <v>8.4443495361308352E-2</v>
      </c>
      <c r="AH76" s="336">
        <f>AH74-AH75</f>
        <v>0.19075990591048508</v>
      </c>
      <c r="AI76" s="336">
        <f t="shared" ref="AI76" si="49">AI74-AI75</f>
        <v>0.24970007109456605</v>
      </c>
    </row>
    <row r="77" spans="2:35" x14ac:dyDescent="0.25">
      <c r="B77" s="360" t="s">
        <v>124</v>
      </c>
      <c r="C77" s="360" t="s">
        <v>123</v>
      </c>
      <c r="D77" s="360" t="s">
        <v>115</v>
      </c>
      <c r="E77" s="360" t="s">
        <v>368</v>
      </c>
      <c r="F77" s="360" t="s">
        <v>174</v>
      </c>
      <c r="G77" s="360"/>
      <c r="H77" s="371">
        <v>0</v>
      </c>
      <c r="I77" s="371">
        <v>0</v>
      </c>
      <c r="J77" s="371">
        <v>0</v>
      </c>
      <c r="K77" s="371">
        <v>0</v>
      </c>
      <c r="L77" s="371">
        <v>0</v>
      </c>
      <c r="M77" s="371">
        <v>0</v>
      </c>
      <c r="N77" s="371">
        <v>0</v>
      </c>
      <c r="O77" s="371">
        <v>0</v>
      </c>
      <c r="P77" s="371">
        <v>0</v>
      </c>
      <c r="Q77" s="371">
        <v>0</v>
      </c>
      <c r="R77" s="371">
        <v>0</v>
      </c>
      <c r="S77" s="371">
        <v>0</v>
      </c>
      <c r="T77" s="371">
        <v>0</v>
      </c>
      <c r="U77" s="371">
        <v>0</v>
      </c>
      <c r="V77" s="371">
        <v>0</v>
      </c>
      <c r="W77" s="371">
        <v>0</v>
      </c>
      <c r="X77" s="371">
        <v>0</v>
      </c>
      <c r="Y77" s="371">
        <v>0</v>
      </c>
      <c r="Z77" s="371">
        <v>0</v>
      </c>
      <c r="AA77" s="371">
        <v>0</v>
      </c>
      <c r="AB77" s="371">
        <v>0</v>
      </c>
      <c r="AC77" s="371">
        <v>0</v>
      </c>
      <c r="AD77" s="371">
        <v>0</v>
      </c>
      <c r="AE77" s="371">
        <v>0</v>
      </c>
      <c r="AF77" s="371">
        <v>0</v>
      </c>
      <c r="AG77" s="371">
        <v>0</v>
      </c>
      <c r="AH77" s="371">
        <v>0</v>
      </c>
      <c r="AI77" s="371">
        <v>0</v>
      </c>
    </row>
    <row r="78" spans="2:35" x14ac:dyDescent="0.25">
      <c r="B78" s="46" t="s">
        <v>124</v>
      </c>
      <c r="C78" s="46" t="s">
        <v>470</v>
      </c>
      <c r="D78" s="46" t="s">
        <v>115</v>
      </c>
      <c r="E78" s="46" t="s">
        <v>368</v>
      </c>
      <c r="F78" s="46" t="s">
        <v>174</v>
      </c>
      <c r="G78" s="46"/>
      <c r="H78" s="337">
        <f t="shared" ref="H78:AI78" si="50">H77*H$54</f>
        <v>0</v>
      </c>
      <c r="I78" s="337">
        <f t="shared" si="50"/>
        <v>0</v>
      </c>
      <c r="J78" s="337">
        <f t="shared" si="50"/>
        <v>0</v>
      </c>
      <c r="K78" s="337">
        <f t="shared" si="50"/>
        <v>0</v>
      </c>
      <c r="L78" s="337">
        <f t="shared" si="50"/>
        <v>0</v>
      </c>
      <c r="M78" s="337">
        <f t="shared" si="50"/>
        <v>0</v>
      </c>
      <c r="N78" s="337">
        <f t="shared" si="50"/>
        <v>0</v>
      </c>
      <c r="O78" s="337">
        <f t="shared" si="50"/>
        <v>0</v>
      </c>
      <c r="P78" s="337">
        <f t="shared" si="50"/>
        <v>0</v>
      </c>
      <c r="Q78" s="337">
        <f t="shared" si="50"/>
        <v>0</v>
      </c>
      <c r="R78" s="337">
        <f t="shared" si="50"/>
        <v>0</v>
      </c>
      <c r="S78" s="337">
        <f t="shared" si="50"/>
        <v>0</v>
      </c>
      <c r="T78" s="337">
        <f t="shared" si="50"/>
        <v>0</v>
      </c>
      <c r="U78" s="337">
        <f t="shared" si="50"/>
        <v>0</v>
      </c>
      <c r="V78" s="337">
        <f t="shared" si="50"/>
        <v>0</v>
      </c>
      <c r="W78" s="337">
        <f t="shared" si="50"/>
        <v>0</v>
      </c>
      <c r="X78" s="337">
        <f t="shared" si="50"/>
        <v>0</v>
      </c>
      <c r="Y78" s="337">
        <f t="shared" si="50"/>
        <v>0</v>
      </c>
      <c r="Z78" s="337">
        <f t="shared" si="50"/>
        <v>0</v>
      </c>
      <c r="AA78" s="337">
        <f t="shared" si="50"/>
        <v>0</v>
      </c>
      <c r="AB78" s="337">
        <f t="shared" si="50"/>
        <v>0</v>
      </c>
      <c r="AC78" s="337">
        <f t="shared" si="50"/>
        <v>0</v>
      </c>
      <c r="AD78" s="337">
        <f t="shared" si="50"/>
        <v>0</v>
      </c>
      <c r="AE78" s="337">
        <f t="shared" si="50"/>
        <v>0</v>
      </c>
      <c r="AF78" s="337">
        <f t="shared" si="50"/>
        <v>0</v>
      </c>
      <c r="AG78" s="337">
        <f t="shared" si="50"/>
        <v>0</v>
      </c>
      <c r="AH78" s="337">
        <f t="shared" si="50"/>
        <v>0</v>
      </c>
      <c r="AI78" s="337">
        <f t="shared" si="50"/>
        <v>0</v>
      </c>
    </row>
    <row r="79" spans="2:35" x14ac:dyDescent="0.25">
      <c r="B79" s="46" t="s">
        <v>124</v>
      </c>
      <c r="C79" s="46" t="s">
        <v>471</v>
      </c>
      <c r="D79" s="46" t="s">
        <v>115</v>
      </c>
      <c r="E79" s="46" t="s">
        <v>368</v>
      </c>
      <c r="F79" s="46" t="s">
        <v>174</v>
      </c>
      <c r="G79" s="46"/>
      <c r="H79" s="336">
        <f>H77-H78</f>
        <v>0</v>
      </c>
      <c r="I79" s="336">
        <f t="shared" ref="I79:AI79" si="51">I77-I78</f>
        <v>0</v>
      </c>
      <c r="J79" s="336">
        <f t="shared" si="51"/>
        <v>0</v>
      </c>
      <c r="K79" s="336">
        <f t="shared" si="51"/>
        <v>0</v>
      </c>
      <c r="L79" s="336">
        <f t="shared" si="51"/>
        <v>0</v>
      </c>
      <c r="M79" s="336">
        <f t="shared" si="51"/>
        <v>0</v>
      </c>
      <c r="N79" s="336">
        <f t="shared" si="51"/>
        <v>0</v>
      </c>
      <c r="O79" s="336">
        <f t="shared" si="51"/>
        <v>0</v>
      </c>
      <c r="P79" s="336">
        <f t="shared" si="51"/>
        <v>0</v>
      </c>
      <c r="Q79" s="336">
        <f t="shared" si="51"/>
        <v>0</v>
      </c>
      <c r="R79" s="336">
        <f t="shared" si="51"/>
        <v>0</v>
      </c>
      <c r="S79" s="336">
        <f t="shared" si="51"/>
        <v>0</v>
      </c>
      <c r="T79" s="336">
        <f t="shared" si="51"/>
        <v>0</v>
      </c>
      <c r="U79" s="336">
        <f t="shared" si="51"/>
        <v>0</v>
      </c>
      <c r="V79" s="336">
        <f t="shared" si="51"/>
        <v>0</v>
      </c>
      <c r="W79" s="336">
        <f t="shared" si="51"/>
        <v>0</v>
      </c>
      <c r="X79" s="336">
        <f t="shared" si="51"/>
        <v>0</v>
      </c>
      <c r="Y79" s="336">
        <f t="shared" si="51"/>
        <v>0</v>
      </c>
      <c r="Z79" s="336">
        <f t="shared" si="51"/>
        <v>0</v>
      </c>
      <c r="AA79" s="336">
        <f t="shared" si="51"/>
        <v>0</v>
      </c>
      <c r="AB79" s="336">
        <f t="shared" si="51"/>
        <v>0</v>
      </c>
      <c r="AC79" s="336">
        <f t="shared" si="51"/>
        <v>0</v>
      </c>
      <c r="AD79" s="336">
        <f t="shared" si="51"/>
        <v>0</v>
      </c>
      <c r="AE79" s="336">
        <f t="shared" si="51"/>
        <v>0</v>
      </c>
      <c r="AF79" s="336">
        <f t="shared" si="51"/>
        <v>0</v>
      </c>
      <c r="AG79" s="336">
        <f t="shared" si="51"/>
        <v>0</v>
      </c>
      <c r="AH79" s="336">
        <f t="shared" si="51"/>
        <v>0</v>
      </c>
      <c r="AI79" s="336">
        <f t="shared" si="51"/>
        <v>0</v>
      </c>
    </row>
    <row r="80" spans="2:35" x14ac:dyDescent="0.25">
      <c r="B80" s="46" t="s">
        <v>119</v>
      </c>
      <c r="C80" s="46" t="s">
        <v>118</v>
      </c>
      <c r="D80" s="46" t="s">
        <v>115</v>
      </c>
      <c r="E80" s="46" t="s">
        <v>368</v>
      </c>
      <c r="F80" s="46" t="s">
        <v>174</v>
      </c>
      <c r="G80" s="46"/>
      <c r="H80" s="371">
        <f t="shared" si="27"/>
        <v>0.80001891074130105</v>
      </c>
      <c r="I80" s="372">
        <v>0.80001891074130105</v>
      </c>
      <c r="J80" s="371">
        <f t="shared" si="28"/>
        <v>0.80001891074130105</v>
      </c>
      <c r="K80" s="371">
        <f t="shared" si="29"/>
        <v>0.80001891074130105</v>
      </c>
      <c r="L80" s="372">
        <v>1.2537549206748729E-3</v>
      </c>
      <c r="M80" s="372">
        <v>6.7104434649635683E-2</v>
      </c>
      <c r="N80" s="371">
        <f t="shared" si="30"/>
        <v>6.7104434649635683E-2</v>
      </c>
      <c r="O80" s="371">
        <f t="shared" si="31"/>
        <v>6.7104434649635683E-2</v>
      </c>
      <c r="P80" s="372">
        <v>1</v>
      </c>
      <c r="Q80" s="372">
        <v>0</v>
      </c>
      <c r="R80" s="372">
        <v>8.9779825665629517E-3</v>
      </c>
      <c r="S80" s="371">
        <f t="shared" si="32"/>
        <v>6.7104434649635683E-2</v>
      </c>
      <c r="T80" s="373">
        <v>1.7015839482692408E-2</v>
      </c>
      <c r="U80" s="372">
        <v>6.0535824252294548E-4</v>
      </c>
      <c r="V80" s="372">
        <v>1.7015839482692408E-2</v>
      </c>
      <c r="W80" s="372">
        <v>3.0275709824656504E-2</v>
      </c>
      <c r="X80" s="372">
        <v>2.2849269331983932E-4</v>
      </c>
      <c r="Y80" s="371">
        <f t="shared" si="33"/>
        <v>6.7104434649635683E-2</v>
      </c>
      <c r="Z80" s="371">
        <f t="shared" si="34"/>
        <v>6.7104434649635683E-2</v>
      </c>
      <c r="AA80" s="372">
        <v>0.19138149556400505</v>
      </c>
      <c r="AB80" s="372">
        <v>1</v>
      </c>
      <c r="AC80" s="372">
        <v>0</v>
      </c>
      <c r="AD80" s="371">
        <f t="shared" si="35"/>
        <v>0</v>
      </c>
      <c r="AE80" s="374">
        <f t="shared" si="36"/>
        <v>0</v>
      </c>
      <c r="AF80" s="374">
        <f t="shared" si="37"/>
        <v>0.80001891074130105</v>
      </c>
      <c r="AG80" s="374">
        <f t="shared" si="38"/>
        <v>6.7104434649635683E-2</v>
      </c>
      <c r="AH80" s="371">
        <f t="shared" si="39"/>
        <v>0.19138149556400505</v>
      </c>
      <c r="AI80" s="372">
        <v>0</v>
      </c>
    </row>
    <row r="81" spans="2:35" x14ac:dyDescent="0.25">
      <c r="B81" s="46" t="s">
        <v>94</v>
      </c>
      <c r="C81" s="46" t="s">
        <v>125</v>
      </c>
      <c r="D81" s="46" t="s">
        <v>115</v>
      </c>
      <c r="E81" s="46" t="s">
        <v>368</v>
      </c>
      <c r="F81" s="46" t="s">
        <v>174</v>
      </c>
      <c r="G81" s="46"/>
      <c r="H81" s="371">
        <f t="shared" si="27"/>
        <v>0</v>
      </c>
      <c r="I81" s="372">
        <v>0</v>
      </c>
      <c r="J81" s="371">
        <f t="shared" si="28"/>
        <v>0</v>
      </c>
      <c r="K81" s="371">
        <f t="shared" si="29"/>
        <v>0</v>
      </c>
      <c r="L81" s="372">
        <v>0</v>
      </c>
      <c r="M81" s="372">
        <v>0</v>
      </c>
      <c r="N81" s="371">
        <f t="shared" si="30"/>
        <v>0</v>
      </c>
      <c r="O81" s="371">
        <f t="shared" si="31"/>
        <v>0</v>
      </c>
      <c r="P81" s="372">
        <v>0</v>
      </c>
      <c r="Q81" s="372">
        <v>0</v>
      </c>
      <c r="R81" s="372">
        <v>0</v>
      </c>
      <c r="S81" s="371">
        <f t="shared" si="32"/>
        <v>0</v>
      </c>
      <c r="T81" s="373">
        <v>0</v>
      </c>
      <c r="U81" s="372">
        <v>0</v>
      </c>
      <c r="V81" s="372">
        <v>0</v>
      </c>
      <c r="W81" s="372">
        <v>0</v>
      </c>
      <c r="X81" s="372">
        <v>0</v>
      </c>
      <c r="Y81" s="371">
        <f t="shared" si="33"/>
        <v>0</v>
      </c>
      <c r="Z81" s="371">
        <f t="shared" si="34"/>
        <v>0</v>
      </c>
      <c r="AA81" s="372">
        <v>0</v>
      </c>
      <c r="AB81" s="372">
        <v>0</v>
      </c>
      <c r="AC81" s="372">
        <v>0</v>
      </c>
      <c r="AD81" s="371">
        <f t="shared" si="35"/>
        <v>0</v>
      </c>
      <c r="AE81" s="374">
        <f t="shared" si="36"/>
        <v>0</v>
      </c>
      <c r="AF81" s="374">
        <f t="shared" si="37"/>
        <v>0</v>
      </c>
      <c r="AG81" s="374">
        <f t="shared" si="38"/>
        <v>0</v>
      </c>
      <c r="AH81" s="371">
        <f t="shared" si="39"/>
        <v>0</v>
      </c>
      <c r="AI81" s="372">
        <v>0</v>
      </c>
    </row>
    <row r="82" spans="2:35" x14ac:dyDescent="0.25">
      <c r="B82" s="46" t="s">
        <v>148</v>
      </c>
      <c r="C82" s="46" t="s">
        <v>173</v>
      </c>
      <c r="D82" s="46" t="s">
        <v>115</v>
      </c>
      <c r="E82" s="46" t="s">
        <v>368</v>
      </c>
      <c r="F82" s="46" t="s">
        <v>174</v>
      </c>
      <c r="G82" s="46"/>
      <c r="H82" s="371">
        <f t="shared" si="27"/>
        <v>0</v>
      </c>
      <c r="I82" s="372">
        <v>0</v>
      </c>
      <c r="J82" s="371">
        <f t="shared" si="28"/>
        <v>0</v>
      </c>
      <c r="K82" s="371">
        <f t="shared" si="29"/>
        <v>0</v>
      </c>
      <c r="L82" s="372">
        <v>0</v>
      </c>
      <c r="M82" s="372">
        <v>0</v>
      </c>
      <c r="N82" s="371">
        <f t="shared" si="30"/>
        <v>0</v>
      </c>
      <c r="O82" s="371">
        <f t="shared" si="31"/>
        <v>0</v>
      </c>
      <c r="P82" s="372">
        <v>0</v>
      </c>
      <c r="Q82" s="372">
        <v>0</v>
      </c>
      <c r="R82" s="372">
        <v>0</v>
      </c>
      <c r="S82" s="371">
        <f t="shared" si="32"/>
        <v>0</v>
      </c>
      <c r="T82" s="373">
        <v>0</v>
      </c>
      <c r="U82" s="372">
        <v>0</v>
      </c>
      <c r="V82" s="372">
        <v>0</v>
      </c>
      <c r="W82" s="372">
        <v>0</v>
      </c>
      <c r="X82" s="372">
        <v>0</v>
      </c>
      <c r="Y82" s="371">
        <f t="shared" si="33"/>
        <v>0</v>
      </c>
      <c r="Z82" s="371">
        <f t="shared" si="34"/>
        <v>0</v>
      </c>
      <c r="AA82" s="372">
        <v>0</v>
      </c>
      <c r="AB82" s="372">
        <v>0</v>
      </c>
      <c r="AC82" s="372">
        <v>0</v>
      </c>
      <c r="AD82" s="371">
        <f t="shared" si="35"/>
        <v>0</v>
      </c>
      <c r="AE82" s="374">
        <f t="shared" si="36"/>
        <v>0</v>
      </c>
      <c r="AF82" s="374">
        <f t="shared" si="37"/>
        <v>0</v>
      </c>
      <c r="AG82" s="374">
        <f t="shared" si="38"/>
        <v>0</v>
      </c>
      <c r="AH82" s="371">
        <f t="shared" si="39"/>
        <v>0</v>
      </c>
      <c r="AI82" s="372">
        <v>0</v>
      </c>
    </row>
    <row r="83" spans="2:35" x14ac:dyDescent="0.25">
      <c r="B83" s="46" t="s">
        <v>169</v>
      </c>
      <c r="C83" s="46" t="s">
        <v>120</v>
      </c>
      <c r="D83" s="46" t="s">
        <v>115</v>
      </c>
      <c r="E83" s="46" t="s">
        <v>368</v>
      </c>
      <c r="F83" s="46" t="s">
        <v>174</v>
      </c>
      <c r="G83" s="46"/>
      <c r="H83" s="371">
        <f t="shared" si="27"/>
        <v>0</v>
      </c>
      <c r="I83" s="372">
        <v>0</v>
      </c>
      <c r="J83" s="371">
        <f t="shared" si="28"/>
        <v>0</v>
      </c>
      <c r="K83" s="371">
        <f t="shared" si="29"/>
        <v>0</v>
      </c>
      <c r="L83" s="372">
        <v>0</v>
      </c>
      <c r="M83" s="376">
        <v>0</v>
      </c>
      <c r="N83" s="371">
        <f t="shared" si="30"/>
        <v>0</v>
      </c>
      <c r="O83" s="371">
        <f t="shared" si="31"/>
        <v>0</v>
      </c>
      <c r="P83" s="372">
        <v>0</v>
      </c>
      <c r="Q83" s="372">
        <v>0</v>
      </c>
      <c r="R83" s="372">
        <v>9.3591905564924111E-2</v>
      </c>
      <c r="S83" s="371">
        <f t="shared" si="32"/>
        <v>0</v>
      </c>
      <c r="T83" s="373">
        <v>8.9415409044345869E-4</v>
      </c>
      <c r="U83" s="372">
        <v>0</v>
      </c>
      <c r="V83" s="372">
        <v>8.9415409044345869E-4</v>
      </c>
      <c r="W83" s="372">
        <v>8.8845202287468324E-4</v>
      </c>
      <c r="X83" s="372">
        <v>4.9297333989395481E-2</v>
      </c>
      <c r="Y83" s="371">
        <f t="shared" si="33"/>
        <v>0</v>
      </c>
      <c r="Z83" s="371">
        <f t="shared" si="34"/>
        <v>0</v>
      </c>
      <c r="AA83" s="372">
        <v>0</v>
      </c>
      <c r="AB83" s="372">
        <v>0</v>
      </c>
      <c r="AC83" s="372">
        <v>0</v>
      </c>
      <c r="AD83" s="371">
        <f t="shared" si="35"/>
        <v>0</v>
      </c>
      <c r="AE83" s="374">
        <f t="shared" si="36"/>
        <v>0</v>
      </c>
      <c r="AF83" s="374">
        <f t="shared" si="37"/>
        <v>0</v>
      </c>
      <c r="AG83" s="374">
        <f t="shared" si="38"/>
        <v>0</v>
      </c>
      <c r="AH83" s="371">
        <f t="shared" si="39"/>
        <v>0</v>
      </c>
      <c r="AI83" s="372">
        <v>0</v>
      </c>
    </row>
    <row r="84" spans="2:35" x14ac:dyDescent="0.25">
      <c r="B84" s="339"/>
      <c r="C84" s="340" t="s">
        <v>176</v>
      </c>
      <c r="D84" s="339"/>
      <c r="E84" s="339"/>
      <c r="F84" s="340"/>
      <c r="G84" s="340"/>
      <c r="H84" s="338">
        <f t="shared" ref="H84:AI84" si="52">SUM(H74,H77,H80,H81,H83,H82)</f>
        <v>1</v>
      </c>
      <c r="I84" s="338">
        <f t="shared" si="52"/>
        <v>1</v>
      </c>
      <c r="J84" s="338">
        <f t="shared" si="52"/>
        <v>1</v>
      </c>
      <c r="K84" s="338">
        <f t="shared" si="52"/>
        <v>1</v>
      </c>
      <c r="L84" s="338">
        <f t="shared" si="52"/>
        <v>1</v>
      </c>
      <c r="M84" s="338">
        <f t="shared" si="52"/>
        <v>1</v>
      </c>
      <c r="N84" s="338">
        <f t="shared" si="52"/>
        <v>1</v>
      </c>
      <c r="O84" s="338">
        <f t="shared" si="52"/>
        <v>1</v>
      </c>
      <c r="P84" s="338">
        <f t="shared" si="52"/>
        <v>1</v>
      </c>
      <c r="Q84" s="338">
        <f t="shared" si="52"/>
        <v>1</v>
      </c>
      <c r="R84" s="338">
        <f t="shared" si="52"/>
        <v>1</v>
      </c>
      <c r="S84" s="338">
        <f t="shared" si="52"/>
        <v>1</v>
      </c>
      <c r="T84" s="338">
        <f t="shared" si="52"/>
        <v>1</v>
      </c>
      <c r="U84" s="338">
        <f t="shared" si="52"/>
        <v>1</v>
      </c>
      <c r="V84" s="338">
        <f t="shared" si="52"/>
        <v>1</v>
      </c>
      <c r="W84" s="338">
        <f t="shared" si="52"/>
        <v>1</v>
      </c>
      <c r="X84" s="338">
        <f t="shared" si="52"/>
        <v>1</v>
      </c>
      <c r="Y84" s="338">
        <f t="shared" si="52"/>
        <v>1</v>
      </c>
      <c r="Z84" s="338">
        <f t="shared" si="52"/>
        <v>1</v>
      </c>
      <c r="AA84" s="338">
        <f t="shared" si="52"/>
        <v>1</v>
      </c>
      <c r="AB84" s="338">
        <f t="shared" si="52"/>
        <v>1</v>
      </c>
      <c r="AC84" s="338">
        <f t="shared" si="52"/>
        <v>1</v>
      </c>
      <c r="AD84" s="338">
        <f t="shared" si="52"/>
        <v>1</v>
      </c>
      <c r="AE84" s="338">
        <f t="shared" si="52"/>
        <v>1</v>
      </c>
      <c r="AF84" s="338">
        <f t="shared" si="52"/>
        <v>1</v>
      </c>
      <c r="AG84" s="338">
        <f t="shared" si="52"/>
        <v>1</v>
      </c>
      <c r="AH84" s="338">
        <f t="shared" si="52"/>
        <v>1</v>
      </c>
      <c r="AI84" s="338">
        <f t="shared" si="52"/>
        <v>1</v>
      </c>
    </row>
    <row r="85" spans="2:35" x14ac:dyDescent="0.25">
      <c r="B85" s="360" t="s">
        <v>122</v>
      </c>
      <c r="C85" s="360" t="s">
        <v>121</v>
      </c>
      <c r="D85" s="360" t="s">
        <v>326</v>
      </c>
      <c r="E85" s="360" t="s">
        <v>170</v>
      </c>
      <c r="F85" s="360" t="s">
        <v>174</v>
      </c>
      <c r="G85" s="360"/>
      <c r="H85" s="366">
        <f t="shared" ref="H85" si="53">I85</f>
        <v>0.19998108925869895</v>
      </c>
      <c r="I85" s="367">
        <v>0.19998108925869895</v>
      </c>
      <c r="J85" s="366">
        <f t="shared" ref="J85" si="54">I85</f>
        <v>0.19998108925869895</v>
      </c>
      <c r="K85" s="366">
        <f t="shared" ref="K85" si="55">I85</f>
        <v>0.19998108925869895</v>
      </c>
      <c r="L85" s="367">
        <v>0.99874624507932508</v>
      </c>
      <c r="M85" s="367">
        <v>0.93289556535036433</v>
      </c>
      <c r="N85" s="366">
        <f t="shared" ref="N85" si="56">M85</f>
        <v>0.93289556535036433</v>
      </c>
      <c r="O85" s="366">
        <f t="shared" ref="O85" si="57">M85</f>
        <v>0.93289556535036433</v>
      </c>
      <c r="P85" s="367">
        <v>0</v>
      </c>
      <c r="Q85" s="367">
        <v>1</v>
      </c>
      <c r="R85" s="367">
        <v>0.89743011186851296</v>
      </c>
      <c r="S85" s="366">
        <f t="shared" ref="S85" si="58">M85</f>
        <v>0.93289556535036433</v>
      </c>
      <c r="T85" s="367">
        <v>0.98209000642686417</v>
      </c>
      <c r="U85" s="367">
        <v>0.99939464175747705</v>
      </c>
      <c r="V85" s="367">
        <v>0.98209000642686417</v>
      </c>
      <c r="W85" s="367">
        <v>0.96883583815246876</v>
      </c>
      <c r="X85" s="367">
        <v>0.95047417331728468</v>
      </c>
      <c r="Y85" s="366">
        <f t="shared" ref="Y85" si="59">M85</f>
        <v>0.93289556535036433</v>
      </c>
      <c r="Z85" s="366">
        <f t="shared" ref="Z85" si="60">M85</f>
        <v>0.93289556535036433</v>
      </c>
      <c r="AA85" s="367">
        <v>0.80861850443599492</v>
      </c>
      <c r="AB85" s="367">
        <v>0</v>
      </c>
      <c r="AC85" s="367">
        <v>1</v>
      </c>
      <c r="AD85" s="366">
        <f t="shared" ref="AD85" si="61">AC85</f>
        <v>1</v>
      </c>
      <c r="AE85" s="370">
        <f t="shared" ref="AE85" si="62">AI85</f>
        <v>1</v>
      </c>
      <c r="AF85" s="370">
        <f t="shared" ref="AF85" si="63">I85</f>
        <v>0.19998108925869895</v>
      </c>
      <c r="AG85" s="370">
        <f t="shared" ref="AG85" si="64">M85</f>
        <v>0.93289556535036433</v>
      </c>
      <c r="AH85" s="366">
        <f t="shared" ref="AH85" si="65">AA85</f>
        <v>0.80861850443599492</v>
      </c>
      <c r="AI85" s="367">
        <v>1</v>
      </c>
    </row>
    <row r="86" spans="2:35" x14ac:dyDescent="0.25">
      <c r="B86" s="46" t="s">
        <v>122</v>
      </c>
      <c r="C86" s="46" t="s">
        <v>468</v>
      </c>
      <c r="D86" s="46" t="s">
        <v>326</v>
      </c>
      <c r="E86" s="46" t="s">
        <v>170</v>
      </c>
      <c r="F86" s="46" t="s">
        <v>174</v>
      </c>
      <c r="G86" s="46"/>
      <c r="H86" s="336">
        <f t="shared" ref="H86:AI86" si="66">H$53*H85</f>
        <v>0.198525635703721</v>
      </c>
      <c r="I86" s="336">
        <f t="shared" si="66"/>
        <v>0.19998108925869895</v>
      </c>
      <c r="J86" s="336">
        <f t="shared" si="66"/>
        <v>0.19339924826801494</v>
      </c>
      <c r="K86" s="336">
        <f t="shared" si="66"/>
        <v>0.19998108925869895</v>
      </c>
      <c r="L86" s="336">
        <f t="shared" si="66"/>
        <v>0.9979953631458871</v>
      </c>
      <c r="M86" s="336">
        <f t="shared" si="66"/>
        <v>0.93289556535036433</v>
      </c>
      <c r="N86" s="336">
        <f t="shared" si="66"/>
        <v>0.91480214044200669</v>
      </c>
      <c r="O86" s="336">
        <f t="shared" si="66"/>
        <v>0.93289556535036433</v>
      </c>
      <c r="P86" s="336">
        <f t="shared" si="66"/>
        <v>0</v>
      </c>
      <c r="Q86" s="336">
        <f t="shared" si="66"/>
        <v>0.89911459244443404</v>
      </c>
      <c r="R86" s="336">
        <f t="shared" si="66"/>
        <v>0.89743011186851296</v>
      </c>
      <c r="S86" s="336">
        <f t="shared" si="66"/>
        <v>0.85120812410435087</v>
      </c>
      <c r="T86" s="336">
        <f t="shared" si="66"/>
        <v>0.98017527965166373</v>
      </c>
      <c r="U86" s="336">
        <f t="shared" si="66"/>
        <v>0.85840760775876879</v>
      </c>
      <c r="V86" s="336">
        <f t="shared" si="66"/>
        <v>0.97822942881815234</v>
      </c>
      <c r="W86" s="336">
        <f t="shared" si="66"/>
        <v>0.91077342270884099</v>
      </c>
      <c r="X86" s="336">
        <f t="shared" si="66"/>
        <v>0.93712077830504703</v>
      </c>
      <c r="Y86" s="336">
        <f t="shared" si="66"/>
        <v>0.93289556535036433</v>
      </c>
      <c r="Z86" s="336">
        <f t="shared" si="66"/>
        <v>0.93289556535036433</v>
      </c>
      <c r="AA86" s="336">
        <f t="shared" si="66"/>
        <v>0.78351353136841395</v>
      </c>
      <c r="AB86" s="336">
        <f t="shared" si="66"/>
        <v>0</v>
      </c>
      <c r="AC86" s="336">
        <f t="shared" si="66"/>
        <v>0.96739573783449195</v>
      </c>
      <c r="AD86" s="336">
        <f t="shared" si="66"/>
        <v>0.99952869366389197</v>
      </c>
      <c r="AE86" s="336">
        <f t="shared" si="66"/>
        <v>0.97913404225277501</v>
      </c>
      <c r="AF86" s="336">
        <f t="shared" si="66"/>
        <v>0.19332168588050005</v>
      </c>
      <c r="AG86" s="336">
        <f t="shared" si="66"/>
        <v>0.84845206998905598</v>
      </c>
      <c r="AH86" s="336">
        <f t="shared" si="66"/>
        <v>0.61785859852550984</v>
      </c>
      <c r="AI86" s="336">
        <f t="shared" si="66"/>
        <v>0.75029992890543395</v>
      </c>
    </row>
    <row r="87" spans="2:35" x14ac:dyDescent="0.25">
      <c r="B87" s="46" t="s">
        <v>122</v>
      </c>
      <c r="C87" s="46" t="s">
        <v>469</v>
      </c>
      <c r="D87" s="46" t="s">
        <v>326</v>
      </c>
      <c r="E87" s="46" t="s">
        <v>170</v>
      </c>
      <c r="F87" s="46" t="s">
        <v>174</v>
      </c>
      <c r="G87" s="46"/>
      <c r="H87" s="336">
        <f>H85-H86</f>
        <v>1.4554535549779479E-3</v>
      </c>
      <c r="I87" s="336">
        <f t="shared" ref="I87" si="67">I85-I86</f>
        <v>0</v>
      </c>
      <c r="J87" s="336">
        <f>J85-J86</f>
        <v>6.5818409906840125E-3</v>
      </c>
      <c r="K87" s="336">
        <f>K85-K86</f>
        <v>0</v>
      </c>
      <c r="L87" s="336">
        <f t="shared" ref="L87:M87" si="68">L85-L86</f>
        <v>7.508819334379746E-4</v>
      </c>
      <c r="M87" s="336">
        <f t="shared" si="68"/>
        <v>0</v>
      </c>
      <c r="N87" s="336">
        <f>N85-N86</f>
        <v>1.8093424908357636E-2</v>
      </c>
      <c r="O87" s="336">
        <f>O85-O86</f>
        <v>0</v>
      </c>
      <c r="P87" s="336">
        <f t="shared" ref="P87:R87" si="69">P85-P86</f>
        <v>0</v>
      </c>
      <c r="Q87" s="336">
        <f t="shared" si="69"/>
        <v>0.10088540755556596</v>
      </c>
      <c r="R87" s="336">
        <f t="shared" si="69"/>
        <v>0</v>
      </c>
      <c r="S87" s="336">
        <f>S85-S86</f>
        <v>8.1687441246013459E-2</v>
      </c>
      <c r="T87" s="336">
        <f t="shared" ref="T87:X87" si="70">T85-T86</f>
        <v>1.9147267752004371E-3</v>
      </c>
      <c r="U87" s="336">
        <f t="shared" si="70"/>
        <v>0.14098703399870827</v>
      </c>
      <c r="V87" s="336">
        <f t="shared" si="70"/>
        <v>3.8605776087118349E-3</v>
      </c>
      <c r="W87" s="336">
        <f t="shared" si="70"/>
        <v>5.806241544362778E-2</v>
      </c>
      <c r="X87" s="336">
        <f t="shared" si="70"/>
        <v>1.3353395012237645E-2</v>
      </c>
      <c r="Y87" s="336">
        <f>Y85-Y86</f>
        <v>0</v>
      </c>
      <c r="Z87" s="336">
        <f>Z85-Z86</f>
        <v>0</v>
      </c>
      <c r="AA87" s="336">
        <f t="shared" ref="AA87:AC87" si="71">AA85-AA86</f>
        <v>2.5104973067580971E-2</v>
      </c>
      <c r="AB87" s="336">
        <f t="shared" si="71"/>
        <v>0</v>
      </c>
      <c r="AC87" s="336">
        <f t="shared" si="71"/>
        <v>3.2604262165508047E-2</v>
      </c>
      <c r="AD87" s="336">
        <f>AD85-AD86</f>
        <v>4.7130633610803496E-4</v>
      </c>
      <c r="AE87" s="336">
        <f>AE85-AE86</f>
        <v>2.0865957747224995E-2</v>
      </c>
      <c r="AF87" s="336">
        <f>AF85-AF86</f>
        <v>6.659403378198897E-3</v>
      </c>
      <c r="AG87" s="336">
        <f>AG85-AG86</f>
        <v>8.4443495361308352E-2</v>
      </c>
      <c r="AH87" s="336">
        <f>AH85-AH86</f>
        <v>0.19075990591048508</v>
      </c>
      <c r="AI87" s="336">
        <f t="shared" ref="AI87" si="72">AI85-AI86</f>
        <v>0.24970007109456605</v>
      </c>
    </row>
    <row r="88" spans="2:35" x14ac:dyDescent="0.25">
      <c r="B88" s="360" t="s">
        <v>124</v>
      </c>
      <c r="C88" s="360" t="s">
        <v>123</v>
      </c>
      <c r="D88" s="360" t="s">
        <v>326</v>
      </c>
      <c r="E88" s="360" t="s">
        <v>170</v>
      </c>
      <c r="F88" s="360" t="s">
        <v>174</v>
      </c>
      <c r="G88" s="360"/>
      <c r="H88" s="371">
        <f t="shared" si="27"/>
        <v>0</v>
      </c>
      <c r="I88" s="372">
        <v>0</v>
      </c>
      <c r="J88" s="371">
        <f t="shared" si="28"/>
        <v>0</v>
      </c>
      <c r="K88" s="371">
        <f t="shared" si="29"/>
        <v>0</v>
      </c>
      <c r="L88" s="372">
        <v>0</v>
      </c>
      <c r="M88" s="372">
        <v>0</v>
      </c>
      <c r="N88" s="371">
        <f t="shared" si="30"/>
        <v>0</v>
      </c>
      <c r="O88" s="371">
        <f t="shared" si="31"/>
        <v>0</v>
      </c>
      <c r="P88" s="372">
        <v>0</v>
      </c>
      <c r="Q88" s="372">
        <v>0</v>
      </c>
      <c r="R88" s="372">
        <v>0</v>
      </c>
      <c r="S88" s="371">
        <f t="shared" si="32"/>
        <v>0</v>
      </c>
      <c r="T88" s="373">
        <v>0</v>
      </c>
      <c r="U88" s="372">
        <v>0</v>
      </c>
      <c r="V88" s="372">
        <v>0</v>
      </c>
      <c r="W88" s="372">
        <v>0</v>
      </c>
      <c r="X88" s="372">
        <v>0</v>
      </c>
      <c r="Y88" s="371">
        <f t="shared" si="33"/>
        <v>0</v>
      </c>
      <c r="Z88" s="371">
        <f t="shared" si="34"/>
        <v>0</v>
      </c>
      <c r="AA88" s="372">
        <v>0</v>
      </c>
      <c r="AB88" s="372">
        <v>0</v>
      </c>
      <c r="AC88" s="372">
        <v>0</v>
      </c>
      <c r="AD88" s="371">
        <f t="shared" si="35"/>
        <v>0</v>
      </c>
      <c r="AE88" s="374">
        <f t="shared" si="36"/>
        <v>0</v>
      </c>
      <c r="AF88" s="374">
        <f t="shared" si="37"/>
        <v>0</v>
      </c>
      <c r="AG88" s="374">
        <f t="shared" si="38"/>
        <v>0</v>
      </c>
      <c r="AH88" s="371">
        <f t="shared" si="39"/>
        <v>0</v>
      </c>
      <c r="AI88" s="372">
        <v>0</v>
      </c>
    </row>
    <row r="89" spans="2:35" x14ac:dyDescent="0.25">
      <c r="B89" s="46" t="s">
        <v>124</v>
      </c>
      <c r="C89" s="46" t="s">
        <v>470</v>
      </c>
      <c r="D89" s="46" t="s">
        <v>326</v>
      </c>
      <c r="E89" s="46" t="s">
        <v>170</v>
      </c>
      <c r="F89" s="46" t="s">
        <v>174</v>
      </c>
      <c r="G89" s="46"/>
      <c r="H89" s="337">
        <f t="shared" ref="H89:AI89" si="73">H88*H$54</f>
        <v>0</v>
      </c>
      <c r="I89" s="337">
        <f t="shared" si="73"/>
        <v>0</v>
      </c>
      <c r="J89" s="337">
        <f t="shared" si="73"/>
        <v>0</v>
      </c>
      <c r="K89" s="337">
        <f t="shared" si="73"/>
        <v>0</v>
      </c>
      <c r="L89" s="337">
        <f t="shared" si="73"/>
        <v>0</v>
      </c>
      <c r="M89" s="337">
        <f t="shared" si="73"/>
        <v>0</v>
      </c>
      <c r="N89" s="337">
        <f t="shared" si="73"/>
        <v>0</v>
      </c>
      <c r="O89" s="337">
        <f t="shared" si="73"/>
        <v>0</v>
      </c>
      <c r="P89" s="337">
        <f t="shared" si="73"/>
        <v>0</v>
      </c>
      <c r="Q89" s="337">
        <f t="shared" si="73"/>
        <v>0</v>
      </c>
      <c r="R89" s="337">
        <f t="shared" si="73"/>
        <v>0</v>
      </c>
      <c r="S89" s="337">
        <f t="shared" si="73"/>
        <v>0</v>
      </c>
      <c r="T89" s="337">
        <f t="shared" si="73"/>
        <v>0</v>
      </c>
      <c r="U89" s="337">
        <f t="shared" si="73"/>
        <v>0</v>
      </c>
      <c r="V89" s="337">
        <f t="shared" si="73"/>
        <v>0</v>
      </c>
      <c r="W89" s="337">
        <f t="shared" si="73"/>
        <v>0</v>
      </c>
      <c r="X89" s="337">
        <f t="shared" si="73"/>
        <v>0</v>
      </c>
      <c r="Y89" s="337">
        <f t="shared" si="73"/>
        <v>0</v>
      </c>
      <c r="Z89" s="337">
        <f t="shared" si="73"/>
        <v>0</v>
      </c>
      <c r="AA89" s="337">
        <f t="shared" si="73"/>
        <v>0</v>
      </c>
      <c r="AB89" s="337">
        <f t="shared" si="73"/>
        <v>0</v>
      </c>
      <c r="AC89" s="337">
        <f t="shared" si="73"/>
        <v>0</v>
      </c>
      <c r="AD89" s="337">
        <f t="shared" si="73"/>
        <v>0</v>
      </c>
      <c r="AE89" s="337">
        <f t="shared" si="73"/>
        <v>0</v>
      </c>
      <c r="AF89" s="337">
        <f t="shared" si="73"/>
        <v>0</v>
      </c>
      <c r="AG89" s="337">
        <f t="shared" si="73"/>
        <v>0</v>
      </c>
      <c r="AH89" s="337">
        <f t="shared" si="73"/>
        <v>0</v>
      </c>
      <c r="AI89" s="337">
        <f t="shared" si="73"/>
        <v>0</v>
      </c>
    </row>
    <row r="90" spans="2:35" x14ac:dyDescent="0.25">
      <c r="B90" s="46" t="s">
        <v>124</v>
      </c>
      <c r="C90" s="46" t="s">
        <v>471</v>
      </c>
      <c r="D90" s="46" t="s">
        <v>326</v>
      </c>
      <c r="E90" s="46" t="s">
        <v>170</v>
      </c>
      <c r="F90" s="46" t="s">
        <v>174</v>
      </c>
      <c r="G90" s="46"/>
      <c r="H90" s="336">
        <f>H88-H89</f>
        <v>0</v>
      </c>
      <c r="I90" s="336">
        <f t="shared" ref="I90:AI90" si="74">I88-I89</f>
        <v>0</v>
      </c>
      <c r="J90" s="336">
        <f t="shared" si="74"/>
        <v>0</v>
      </c>
      <c r="K90" s="336">
        <f t="shared" si="74"/>
        <v>0</v>
      </c>
      <c r="L90" s="336">
        <f t="shared" si="74"/>
        <v>0</v>
      </c>
      <c r="M90" s="336">
        <f t="shared" si="74"/>
        <v>0</v>
      </c>
      <c r="N90" s="336">
        <f t="shared" si="74"/>
        <v>0</v>
      </c>
      <c r="O90" s="336">
        <f t="shared" si="74"/>
        <v>0</v>
      </c>
      <c r="P90" s="336">
        <f t="shared" si="74"/>
        <v>0</v>
      </c>
      <c r="Q90" s="336">
        <f t="shared" si="74"/>
        <v>0</v>
      </c>
      <c r="R90" s="336">
        <f t="shared" si="74"/>
        <v>0</v>
      </c>
      <c r="S90" s="336">
        <f t="shared" si="74"/>
        <v>0</v>
      </c>
      <c r="T90" s="336">
        <f t="shared" si="74"/>
        <v>0</v>
      </c>
      <c r="U90" s="336">
        <f t="shared" si="74"/>
        <v>0</v>
      </c>
      <c r="V90" s="336">
        <f t="shared" si="74"/>
        <v>0</v>
      </c>
      <c r="W90" s="336">
        <f t="shared" si="74"/>
        <v>0</v>
      </c>
      <c r="X90" s="336">
        <f t="shared" si="74"/>
        <v>0</v>
      </c>
      <c r="Y90" s="336">
        <f t="shared" si="74"/>
        <v>0</v>
      </c>
      <c r="Z90" s="336">
        <f t="shared" si="74"/>
        <v>0</v>
      </c>
      <c r="AA90" s="336">
        <f t="shared" si="74"/>
        <v>0</v>
      </c>
      <c r="AB90" s="336">
        <f t="shared" si="74"/>
        <v>0</v>
      </c>
      <c r="AC90" s="336">
        <f t="shared" si="74"/>
        <v>0</v>
      </c>
      <c r="AD90" s="336">
        <f t="shared" si="74"/>
        <v>0</v>
      </c>
      <c r="AE90" s="336">
        <f t="shared" si="74"/>
        <v>0</v>
      </c>
      <c r="AF90" s="336">
        <f t="shared" si="74"/>
        <v>0</v>
      </c>
      <c r="AG90" s="336">
        <f t="shared" si="74"/>
        <v>0</v>
      </c>
      <c r="AH90" s="336">
        <f t="shared" si="74"/>
        <v>0</v>
      </c>
      <c r="AI90" s="336">
        <f t="shared" si="74"/>
        <v>0</v>
      </c>
    </row>
    <row r="91" spans="2:35" x14ac:dyDescent="0.25">
      <c r="B91" s="46" t="s">
        <v>119</v>
      </c>
      <c r="C91" s="46" t="s">
        <v>118</v>
      </c>
      <c r="D91" s="46" t="s">
        <v>326</v>
      </c>
      <c r="E91" s="46" t="s">
        <v>170</v>
      </c>
      <c r="F91" s="46" t="s">
        <v>174</v>
      </c>
      <c r="G91" s="46"/>
      <c r="H91" s="371">
        <f t="shared" si="27"/>
        <v>0.80001891074130105</v>
      </c>
      <c r="I91" s="372">
        <v>0.80001891074130105</v>
      </c>
      <c r="J91" s="371">
        <f t="shared" si="28"/>
        <v>0.80001891074130105</v>
      </c>
      <c r="K91" s="371">
        <f t="shared" si="29"/>
        <v>0.80001891074130105</v>
      </c>
      <c r="L91" s="372">
        <v>1.2537549206748729E-3</v>
      </c>
      <c r="M91" s="372">
        <v>6.7104434649635683E-2</v>
      </c>
      <c r="N91" s="371">
        <f t="shared" si="30"/>
        <v>6.7104434649635683E-2</v>
      </c>
      <c r="O91" s="371">
        <f t="shared" si="31"/>
        <v>6.7104434649635683E-2</v>
      </c>
      <c r="P91" s="372">
        <v>1</v>
      </c>
      <c r="Q91" s="372">
        <v>0</v>
      </c>
      <c r="R91" s="372">
        <v>8.9779825665629517E-3</v>
      </c>
      <c r="S91" s="371">
        <f t="shared" si="32"/>
        <v>6.7104434649635683E-2</v>
      </c>
      <c r="T91" s="373">
        <v>1.7015839482692408E-2</v>
      </c>
      <c r="U91" s="372">
        <v>6.0535824252294548E-4</v>
      </c>
      <c r="V91" s="372">
        <v>1.7015839482692408E-2</v>
      </c>
      <c r="W91" s="372">
        <v>3.0275709824656504E-2</v>
      </c>
      <c r="X91" s="372">
        <v>2.2849269331983932E-4</v>
      </c>
      <c r="Y91" s="371">
        <f t="shared" si="33"/>
        <v>6.7104434649635683E-2</v>
      </c>
      <c r="Z91" s="371">
        <f t="shared" si="34"/>
        <v>6.7104434649635683E-2</v>
      </c>
      <c r="AA91" s="372">
        <v>0.19138149556400505</v>
      </c>
      <c r="AB91" s="372">
        <v>1</v>
      </c>
      <c r="AC91" s="372">
        <v>0</v>
      </c>
      <c r="AD91" s="371">
        <f t="shared" si="35"/>
        <v>0</v>
      </c>
      <c r="AE91" s="374">
        <f t="shared" si="36"/>
        <v>0</v>
      </c>
      <c r="AF91" s="374">
        <f t="shared" si="37"/>
        <v>0.80001891074130105</v>
      </c>
      <c r="AG91" s="374">
        <f t="shared" si="38"/>
        <v>6.7104434649635683E-2</v>
      </c>
      <c r="AH91" s="371">
        <f t="shared" si="39"/>
        <v>0.19138149556400505</v>
      </c>
      <c r="AI91" s="372">
        <v>0</v>
      </c>
    </row>
    <row r="92" spans="2:35" x14ac:dyDescent="0.25">
      <c r="B92" s="46" t="s">
        <v>94</v>
      </c>
      <c r="C92" s="46" t="s">
        <v>125</v>
      </c>
      <c r="D92" s="46" t="s">
        <v>326</v>
      </c>
      <c r="E92" s="46" t="s">
        <v>170</v>
      </c>
      <c r="F92" s="46" t="s">
        <v>174</v>
      </c>
      <c r="G92" s="46"/>
      <c r="H92" s="371">
        <f t="shared" si="27"/>
        <v>0</v>
      </c>
      <c r="I92" s="372">
        <v>0</v>
      </c>
      <c r="J92" s="371">
        <f t="shared" si="28"/>
        <v>0</v>
      </c>
      <c r="K92" s="371">
        <f t="shared" si="29"/>
        <v>0</v>
      </c>
      <c r="L92" s="372">
        <v>0</v>
      </c>
      <c r="M92" s="372">
        <v>0</v>
      </c>
      <c r="N92" s="371">
        <f t="shared" si="30"/>
        <v>0</v>
      </c>
      <c r="O92" s="371">
        <f t="shared" si="31"/>
        <v>0</v>
      </c>
      <c r="P92" s="372">
        <v>0</v>
      </c>
      <c r="Q92" s="372">
        <v>0</v>
      </c>
      <c r="R92" s="372">
        <v>0</v>
      </c>
      <c r="S92" s="371">
        <f t="shared" si="32"/>
        <v>0</v>
      </c>
      <c r="T92" s="369">
        <v>0</v>
      </c>
      <c r="U92" s="376">
        <v>0</v>
      </c>
      <c r="V92" s="376">
        <v>0</v>
      </c>
      <c r="W92" s="376">
        <v>0</v>
      </c>
      <c r="X92" s="376">
        <v>0</v>
      </c>
      <c r="Y92" s="371">
        <f t="shared" si="33"/>
        <v>0</v>
      </c>
      <c r="Z92" s="371">
        <f t="shared" si="34"/>
        <v>0</v>
      </c>
      <c r="AA92" s="372">
        <v>0</v>
      </c>
      <c r="AB92" s="372">
        <v>0</v>
      </c>
      <c r="AC92" s="372">
        <v>0</v>
      </c>
      <c r="AD92" s="371">
        <f t="shared" si="35"/>
        <v>0</v>
      </c>
      <c r="AE92" s="374">
        <f t="shared" si="36"/>
        <v>0</v>
      </c>
      <c r="AF92" s="374">
        <f t="shared" si="37"/>
        <v>0</v>
      </c>
      <c r="AG92" s="374">
        <f t="shared" si="38"/>
        <v>0</v>
      </c>
      <c r="AH92" s="371">
        <f t="shared" si="39"/>
        <v>0</v>
      </c>
      <c r="AI92" s="372">
        <v>0</v>
      </c>
    </row>
    <row r="93" spans="2:35" x14ac:dyDescent="0.25">
      <c r="B93" s="46" t="s">
        <v>148</v>
      </c>
      <c r="C93" s="46" t="s">
        <v>173</v>
      </c>
      <c r="D93" s="46" t="s">
        <v>326</v>
      </c>
      <c r="E93" s="46" t="s">
        <v>170</v>
      </c>
      <c r="F93" s="46" t="s">
        <v>174</v>
      </c>
      <c r="G93" s="46"/>
      <c r="H93" s="371">
        <f t="shared" si="27"/>
        <v>0</v>
      </c>
      <c r="I93" s="376">
        <v>0</v>
      </c>
      <c r="J93" s="371">
        <f t="shared" si="28"/>
        <v>0</v>
      </c>
      <c r="K93" s="371">
        <f t="shared" si="29"/>
        <v>0</v>
      </c>
      <c r="L93" s="372">
        <v>0</v>
      </c>
      <c r="M93" s="372">
        <v>0</v>
      </c>
      <c r="N93" s="371">
        <f t="shared" si="30"/>
        <v>0</v>
      </c>
      <c r="O93" s="371">
        <f t="shared" si="31"/>
        <v>0</v>
      </c>
      <c r="P93" s="372">
        <v>0</v>
      </c>
      <c r="Q93" s="372">
        <v>0</v>
      </c>
      <c r="R93" s="372">
        <v>0</v>
      </c>
      <c r="S93" s="371">
        <f t="shared" si="32"/>
        <v>0</v>
      </c>
      <c r="T93" s="369">
        <v>0</v>
      </c>
      <c r="U93" s="376">
        <v>0</v>
      </c>
      <c r="V93" s="376">
        <v>0</v>
      </c>
      <c r="W93" s="376">
        <v>0</v>
      </c>
      <c r="X93" s="376">
        <v>0</v>
      </c>
      <c r="Y93" s="371">
        <f t="shared" si="33"/>
        <v>0</v>
      </c>
      <c r="Z93" s="371">
        <f t="shared" si="34"/>
        <v>0</v>
      </c>
      <c r="AA93" s="376">
        <v>0</v>
      </c>
      <c r="AB93" s="376">
        <v>0</v>
      </c>
      <c r="AC93" s="376">
        <v>0</v>
      </c>
      <c r="AD93" s="371">
        <f t="shared" si="35"/>
        <v>0</v>
      </c>
      <c r="AE93" s="374">
        <f t="shared" si="36"/>
        <v>0</v>
      </c>
      <c r="AF93" s="374">
        <f t="shared" si="37"/>
        <v>0</v>
      </c>
      <c r="AG93" s="374">
        <f t="shared" si="38"/>
        <v>0</v>
      </c>
      <c r="AH93" s="371">
        <f t="shared" si="39"/>
        <v>0</v>
      </c>
      <c r="AI93" s="376">
        <v>0</v>
      </c>
    </row>
    <row r="94" spans="2:35" x14ac:dyDescent="0.25">
      <c r="B94" s="46" t="s">
        <v>169</v>
      </c>
      <c r="C94" s="46" t="s">
        <v>120</v>
      </c>
      <c r="D94" s="46" t="s">
        <v>326</v>
      </c>
      <c r="E94" s="46" t="s">
        <v>170</v>
      </c>
      <c r="F94" s="46" t="s">
        <v>174</v>
      </c>
      <c r="G94" s="46"/>
      <c r="H94" s="371">
        <f t="shared" si="27"/>
        <v>0</v>
      </c>
      <c r="I94" s="376">
        <v>0</v>
      </c>
      <c r="J94" s="371">
        <f t="shared" si="28"/>
        <v>0</v>
      </c>
      <c r="K94" s="371">
        <f t="shared" si="29"/>
        <v>0</v>
      </c>
      <c r="L94" s="372">
        <v>0</v>
      </c>
      <c r="M94" s="372">
        <v>0</v>
      </c>
      <c r="N94" s="371">
        <f t="shared" si="30"/>
        <v>0</v>
      </c>
      <c r="O94" s="371">
        <f t="shared" si="31"/>
        <v>0</v>
      </c>
      <c r="P94" s="376">
        <v>0</v>
      </c>
      <c r="Q94" s="376">
        <v>0</v>
      </c>
      <c r="R94" s="376">
        <v>9.3591905564924111E-2</v>
      </c>
      <c r="S94" s="371">
        <f t="shared" si="32"/>
        <v>0</v>
      </c>
      <c r="T94" s="369">
        <v>8.9415409044345869E-4</v>
      </c>
      <c r="U94" s="376">
        <v>0</v>
      </c>
      <c r="V94" s="376">
        <v>8.9415409044345869E-4</v>
      </c>
      <c r="W94" s="376">
        <v>8.8845202287468324E-4</v>
      </c>
      <c r="X94" s="376">
        <v>4.9297333989395481E-2</v>
      </c>
      <c r="Y94" s="371">
        <f t="shared" si="33"/>
        <v>0</v>
      </c>
      <c r="Z94" s="371">
        <f t="shared" si="34"/>
        <v>0</v>
      </c>
      <c r="AA94" s="376">
        <v>0</v>
      </c>
      <c r="AB94" s="376">
        <v>0</v>
      </c>
      <c r="AC94" s="376">
        <v>0</v>
      </c>
      <c r="AD94" s="371">
        <f t="shared" si="35"/>
        <v>0</v>
      </c>
      <c r="AE94" s="374">
        <f t="shared" si="36"/>
        <v>0</v>
      </c>
      <c r="AF94" s="374">
        <f t="shared" si="37"/>
        <v>0</v>
      </c>
      <c r="AG94" s="374">
        <f t="shared" si="38"/>
        <v>0</v>
      </c>
      <c r="AH94" s="371">
        <f t="shared" si="39"/>
        <v>0</v>
      </c>
      <c r="AI94" s="376">
        <v>0</v>
      </c>
    </row>
    <row r="95" spans="2:35" x14ac:dyDescent="0.25">
      <c r="B95" s="339"/>
      <c r="C95" s="340" t="s">
        <v>176</v>
      </c>
      <c r="D95" s="339"/>
      <c r="E95" s="339"/>
      <c r="F95" s="340"/>
      <c r="G95" s="340"/>
      <c r="H95" s="338">
        <f t="shared" ref="H95:AI95" si="75">SUM(H85,H88,H91,H92,H94,H93)</f>
        <v>1</v>
      </c>
      <c r="I95" s="338">
        <f t="shared" si="75"/>
        <v>1</v>
      </c>
      <c r="J95" s="338">
        <f t="shared" si="75"/>
        <v>1</v>
      </c>
      <c r="K95" s="338">
        <f t="shared" si="75"/>
        <v>1</v>
      </c>
      <c r="L95" s="338">
        <f t="shared" si="75"/>
        <v>1</v>
      </c>
      <c r="M95" s="338">
        <f t="shared" si="75"/>
        <v>1</v>
      </c>
      <c r="N95" s="338">
        <f t="shared" si="75"/>
        <v>1</v>
      </c>
      <c r="O95" s="338">
        <f t="shared" si="75"/>
        <v>1</v>
      </c>
      <c r="P95" s="338">
        <f t="shared" si="75"/>
        <v>1</v>
      </c>
      <c r="Q95" s="338">
        <f t="shared" si="75"/>
        <v>1</v>
      </c>
      <c r="R95" s="338">
        <f t="shared" si="75"/>
        <v>1</v>
      </c>
      <c r="S95" s="338">
        <f t="shared" si="75"/>
        <v>1</v>
      </c>
      <c r="T95" s="338">
        <f t="shared" si="75"/>
        <v>1</v>
      </c>
      <c r="U95" s="338">
        <f t="shared" si="75"/>
        <v>1</v>
      </c>
      <c r="V95" s="338">
        <f t="shared" si="75"/>
        <v>1</v>
      </c>
      <c r="W95" s="338">
        <f t="shared" si="75"/>
        <v>1</v>
      </c>
      <c r="X95" s="338">
        <f t="shared" si="75"/>
        <v>1</v>
      </c>
      <c r="Y95" s="338">
        <f t="shared" si="75"/>
        <v>1</v>
      </c>
      <c r="Z95" s="338">
        <f t="shared" si="75"/>
        <v>1</v>
      </c>
      <c r="AA95" s="338">
        <f t="shared" si="75"/>
        <v>1</v>
      </c>
      <c r="AB95" s="338">
        <f t="shared" si="75"/>
        <v>1</v>
      </c>
      <c r="AC95" s="338">
        <f t="shared" si="75"/>
        <v>1</v>
      </c>
      <c r="AD95" s="338">
        <f t="shared" si="75"/>
        <v>1</v>
      </c>
      <c r="AE95" s="338">
        <f t="shared" si="75"/>
        <v>1</v>
      </c>
      <c r="AF95" s="338">
        <f t="shared" si="75"/>
        <v>1</v>
      </c>
      <c r="AG95" s="338">
        <f t="shared" si="75"/>
        <v>1</v>
      </c>
      <c r="AH95" s="338">
        <f t="shared" si="75"/>
        <v>1</v>
      </c>
      <c r="AI95" s="338">
        <f t="shared" si="75"/>
        <v>1</v>
      </c>
    </row>
    <row r="96" spans="2:35" x14ac:dyDescent="0.25">
      <c r="B96" s="360" t="s">
        <v>122</v>
      </c>
      <c r="C96" s="360" t="s">
        <v>121</v>
      </c>
      <c r="D96" s="360" t="s">
        <v>18</v>
      </c>
      <c r="E96" s="360" t="s">
        <v>104</v>
      </c>
      <c r="F96" s="360" t="s">
        <v>174</v>
      </c>
      <c r="G96" s="360"/>
      <c r="H96" s="366">
        <f t="shared" si="27"/>
        <v>0.81247091670544436</v>
      </c>
      <c r="I96" s="366">
        <f>AVERAGE(M96,AA96,AC96)</f>
        <v>0.81247091670544436</v>
      </c>
      <c r="J96" s="366">
        <f t="shared" si="28"/>
        <v>0.81247091670544436</v>
      </c>
      <c r="K96" s="366">
        <f t="shared" si="29"/>
        <v>0.81247091670544436</v>
      </c>
      <c r="L96" s="366">
        <f>AVERAGE(M96,AA96,AC96)</f>
        <v>0.81247091670544436</v>
      </c>
      <c r="M96" s="368">
        <v>0.7142857142857143</v>
      </c>
      <c r="N96" s="366">
        <f t="shared" si="30"/>
        <v>0.7142857142857143</v>
      </c>
      <c r="O96" s="366">
        <f t="shared" si="31"/>
        <v>0.7142857142857143</v>
      </c>
      <c r="P96" s="366">
        <f>AVERAGE(M96,AA96,AC96)</f>
        <v>0.81247091670544436</v>
      </c>
      <c r="Q96" s="366">
        <f>AVERAGE(M96,AA96,AC96)</f>
        <v>0.81247091670544436</v>
      </c>
      <c r="R96" s="367">
        <v>0</v>
      </c>
      <c r="S96" s="366">
        <f t="shared" si="32"/>
        <v>0.7142857142857143</v>
      </c>
      <c r="T96" s="366">
        <f>AVERAGE(M96,AA96,AC96)</f>
        <v>0.81247091670544436</v>
      </c>
      <c r="U96" s="366">
        <f>AVERAGE(M96,AA96,AC96)</f>
        <v>0.81247091670544436</v>
      </c>
      <c r="V96" s="366">
        <f>AVERAGE(M96,AA96,AC96)</f>
        <v>0.81247091670544436</v>
      </c>
      <c r="W96" s="366">
        <f>AVERAGE(M96,AA96,AC96)</f>
        <v>0.81247091670544436</v>
      </c>
      <c r="X96" s="366">
        <f>AVERAGE(M96,AA96,AC96)</f>
        <v>0.81247091670544436</v>
      </c>
      <c r="Y96" s="366">
        <f t="shared" si="33"/>
        <v>0.7142857142857143</v>
      </c>
      <c r="Z96" s="366">
        <f t="shared" si="34"/>
        <v>0.7142857142857143</v>
      </c>
      <c r="AA96" s="367">
        <v>0.72312703583061899</v>
      </c>
      <c r="AB96" s="366">
        <f>AVERAGE(M96,AA96,AC96)</f>
        <v>0.81247091670544436</v>
      </c>
      <c r="AC96" s="367">
        <v>1</v>
      </c>
      <c r="AD96" s="366">
        <f t="shared" si="35"/>
        <v>1</v>
      </c>
      <c r="AE96" s="370">
        <f t="shared" si="36"/>
        <v>0.81247091670544436</v>
      </c>
      <c r="AF96" s="370">
        <f t="shared" si="37"/>
        <v>0.81247091670544436</v>
      </c>
      <c r="AG96" s="370">
        <f t="shared" si="38"/>
        <v>0.7142857142857143</v>
      </c>
      <c r="AH96" s="366">
        <f t="shared" si="39"/>
        <v>0.72312703583061899</v>
      </c>
      <c r="AI96" s="366">
        <f>AVERAGE(M96,AA96,AC96)</f>
        <v>0.81247091670544436</v>
      </c>
    </row>
    <row r="97" spans="2:35" x14ac:dyDescent="0.25">
      <c r="B97" s="46" t="s">
        <v>122</v>
      </c>
      <c r="C97" s="46" t="s">
        <v>468</v>
      </c>
      <c r="D97" s="46" t="s">
        <v>18</v>
      </c>
      <c r="E97" s="46" t="s">
        <v>104</v>
      </c>
      <c r="F97" s="46" t="s">
        <v>174</v>
      </c>
      <c r="G97" s="46"/>
      <c r="H97" s="336">
        <f t="shared" ref="H97:AI97" si="76">H$53*H96</f>
        <v>0.80655778917714382</v>
      </c>
      <c r="I97" s="336">
        <f t="shared" si="76"/>
        <v>0.81247091670544436</v>
      </c>
      <c r="J97" s="336">
        <f t="shared" si="76"/>
        <v>0.78573061639438435</v>
      </c>
      <c r="K97" s="336">
        <f t="shared" si="76"/>
        <v>0.81247091670544436</v>
      </c>
      <c r="L97" s="336">
        <f t="shared" si="76"/>
        <v>0.81186008113454367</v>
      </c>
      <c r="M97" s="336">
        <f t="shared" si="76"/>
        <v>0.7142857142857143</v>
      </c>
      <c r="N97" s="336">
        <f t="shared" si="76"/>
        <v>0.70043220761834435</v>
      </c>
      <c r="O97" s="336">
        <f t="shared" si="76"/>
        <v>0.7142857142857143</v>
      </c>
      <c r="P97" s="336">
        <f t="shared" si="76"/>
        <v>0.80900195895177096</v>
      </c>
      <c r="Q97" s="336">
        <f t="shared" si="76"/>
        <v>0.73050445714657131</v>
      </c>
      <c r="R97" s="336">
        <f t="shared" si="76"/>
        <v>0</v>
      </c>
      <c r="S97" s="336">
        <f t="shared" si="76"/>
        <v>0.65174047933578994</v>
      </c>
      <c r="T97" s="336">
        <f t="shared" si="76"/>
        <v>0.81088688692395061</v>
      </c>
      <c r="U97" s="336">
        <f t="shared" si="76"/>
        <v>0.69785366745236155</v>
      </c>
      <c r="V97" s="336">
        <f t="shared" si="76"/>
        <v>0.80927710859393076</v>
      </c>
      <c r="W97" s="336">
        <f t="shared" si="76"/>
        <v>0.76377946450692169</v>
      </c>
      <c r="X97" s="336">
        <f t="shared" si="76"/>
        <v>0.80105635606687675</v>
      </c>
      <c r="Y97" s="336">
        <f t="shared" si="76"/>
        <v>0.7142857142857143</v>
      </c>
      <c r="Z97" s="336">
        <f t="shared" si="76"/>
        <v>0.7142857142857143</v>
      </c>
      <c r="AA97" s="336">
        <f t="shared" si="76"/>
        <v>0.70067629464750725</v>
      </c>
      <c r="AB97" s="336">
        <f t="shared" si="76"/>
        <v>0.80175656985583199</v>
      </c>
      <c r="AC97" s="336">
        <f t="shared" si="76"/>
        <v>0.96739573783449195</v>
      </c>
      <c r="AD97" s="336">
        <f t="shared" si="76"/>
        <v>0.99952869366389197</v>
      </c>
      <c r="AE97" s="336">
        <f t="shared" si="76"/>
        <v>0.79551793288661943</v>
      </c>
      <c r="AF97" s="336">
        <f t="shared" si="76"/>
        <v>0.785415500678595</v>
      </c>
      <c r="AG97" s="336">
        <f t="shared" si="76"/>
        <v>0.64963026447844507</v>
      </c>
      <c r="AH97" s="336">
        <f t="shared" si="76"/>
        <v>0.55253528637196492</v>
      </c>
      <c r="AI97" s="336">
        <f t="shared" si="76"/>
        <v>0.60959687104182769</v>
      </c>
    </row>
    <row r="98" spans="2:35" x14ac:dyDescent="0.25">
      <c r="B98" s="46" t="s">
        <v>122</v>
      </c>
      <c r="C98" s="46" t="s">
        <v>469</v>
      </c>
      <c r="D98" s="46" t="s">
        <v>18</v>
      </c>
      <c r="E98" s="46" t="s">
        <v>104</v>
      </c>
      <c r="F98" s="46" t="s">
        <v>174</v>
      </c>
      <c r="G98" s="46"/>
      <c r="H98" s="336">
        <f>H96-H97</f>
        <v>5.9131275283005325E-3</v>
      </c>
      <c r="I98" s="336">
        <f t="shared" ref="I98" si="77">I96-I97</f>
        <v>0</v>
      </c>
      <c r="J98" s="336">
        <f>J96-J97</f>
        <v>2.6740300311060006E-2</v>
      </c>
      <c r="K98" s="336">
        <f>K96-K97</f>
        <v>0</v>
      </c>
      <c r="L98" s="336">
        <f t="shared" ref="L98:M98" si="78">L96-L97</f>
        <v>6.1083557090069185E-4</v>
      </c>
      <c r="M98" s="336">
        <f t="shared" si="78"/>
        <v>0</v>
      </c>
      <c r="N98" s="336">
        <f>N96-N97</f>
        <v>1.3853506667369953E-2</v>
      </c>
      <c r="O98" s="336">
        <f>O96-O97</f>
        <v>0</v>
      </c>
      <c r="P98" s="336">
        <f t="shared" ref="P98:R98" si="79">P96-P97</f>
        <v>3.4689577536733962E-3</v>
      </c>
      <c r="Q98" s="336">
        <f t="shared" si="79"/>
        <v>8.196645955887305E-2</v>
      </c>
      <c r="R98" s="336">
        <f t="shared" si="79"/>
        <v>0</v>
      </c>
      <c r="S98" s="336">
        <f>S96-S97</f>
        <v>6.2545234949924366E-2</v>
      </c>
      <c r="T98" s="336">
        <f t="shared" ref="T98:X98" si="80">T96-T97</f>
        <v>1.5840297814937454E-3</v>
      </c>
      <c r="U98" s="336">
        <f t="shared" si="80"/>
        <v>0.11461724925308281</v>
      </c>
      <c r="V98" s="336">
        <f t="shared" si="80"/>
        <v>3.1938081115135963E-3</v>
      </c>
      <c r="W98" s="336">
        <f t="shared" si="80"/>
        <v>4.8691452198522667E-2</v>
      </c>
      <c r="X98" s="336">
        <f t="shared" si="80"/>
        <v>1.1414560638567606E-2</v>
      </c>
      <c r="Y98" s="336">
        <f>Y96-Y97</f>
        <v>0</v>
      </c>
      <c r="Z98" s="336">
        <f>Z96-Z97</f>
        <v>0</v>
      </c>
      <c r="AA98" s="336">
        <f t="shared" ref="AA98:AC98" si="81">AA96-AA97</f>
        <v>2.2450741183111744E-2</v>
      </c>
      <c r="AB98" s="336">
        <f t="shared" si="81"/>
        <v>1.0714346849612366E-2</v>
      </c>
      <c r="AC98" s="336">
        <f t="shared" si="81"/>
        <v>3.2604262165508047E-2</v>
      </c>
      <c r="AD98" s="336">
        <f>AD96-AD97</f>
        <v>4.7130633610803496E-4</v>
      </c>
      <c r="AE98" s="336">
        <f>AE96-AE97</f>
        <v>1.6952983818824929E-2</v>
      </c>
      <c r="AF98" s="336">
        <f>AF96-AF97</f>
        <v>2.7055416026849355E-2</v>
      </c>
      <c r="AG98" s="336">
        <f>AG96-AG97</f>
        <v>6.4655449807269227E-2</v>
      </c>
      <c r="AH98" s="336">
        <f>AH96-AH97</f>
        <v>0.17059174945865407</v>
      </c>
      <c r="AI98" s="336">
        <f t="shared" ref="AI98" si="82">AI96-AI97</f>
        <v>0.20287404566361666</v>
      </c>
    </row>
    <row r="99" spans="2:35" x14ac:dyDescent="0.25">
      <c r="B99" s="360" t="s">
        <v>124</v>
      </c>
      <c r="C99" s="360" t="s">
        <v>123</v>
      </c>
      <c r="D99" s="360" t="s">
        <v>18</v>
      </c>
      <c r="E99" s="360" t="s">
        <v>104</v>
      </c>
      <c r="F99" s="360" t="s">
        <v>174</v>
      </c>
      <c r="G99" s="360"/>
      <c r="H99" s="371">
        <f t="shared" si="27"/>
        <v>0</v>
      </c>
      <c r="I99" s="371">
        <f t="shared" ref="I99:I105" si="83">AVERAGE(M99,AA99,AC99)</f>
        <v>0</v>
      </c>
      <c r="J99" s="371">
        <f t="shared" si="28"/>
        <v>0</v>
      </c>
      <c r="K99" s="371">
        <f t="shared" si="29"/>
        <v>0</v>
      </c>
      <c r="L99" s="371">
        <f t="shared" ref="L99:L105" si="84">AVERAGE(M99,AA99,AC99)</f>
        <v>0</v>
      </c>
      <c r="M99" s="372">
        <v>0</v>
      </c>
      <c r="N99" s="371">
        <f t="shared" si="30"/>
        <v>0</v>
      </c>
      <c r="O99" s="371">
        <f t="shared" si="31"/>
        <v>0</v>
      </c>
      <c r="P99" s="371">
        <f t="shared" ref="P99:P105" si="85">AVERAGE(M99,AA99,AC99)</f>
        <v>0</v>
      </c>
      <c r="Q99" s="371">
        <f t="shared" ref="Q99:Q105" si="86">AVERAGE(M99,AA99,AC99)</f>
        <v>0</v>
      </c>
      <c r="R99" s="372">
        <v>0</v>
      </c>
      <c r="S99" s="371">
        <f t="shared" si="32"/>
        <v>0</v>
      </c>
      <c r="T99" s="371">
        <f t="shared" ref="T99:T105" si="87">AVERAGE(M99,AA99,AC99)</f>
        <v>0</v>
      </c>
      <c r="U99" s="371">
        <f t="shared" ref="U99:U105" si="88">AVERAGE(M99,AA99,AC99)</f>
        <v>0</v>
      </c>
      <c r="V99" s="371">
        <f t="shared" ref="V99:V105" si="89">AVERAGE(M99,AA99,AC99)</f>
        <v>0</v>
      </c>
      <c r="W99" s="371">
        <f t="shared" ref="W99:W105" si="90">AVERAGE(M99,AA99,AC99)</f>
        <v>0</v>
      </c>
      <c r="X99" s="371">
        <f t="shared" ref="X99:X105" si="91">AVERAGE(M99,AA99,AC99)</f>
        <v>0</v>
      </c>
      <c r="Y99" s="371">
        <f t="shared" si="33"/>
        <v>0</v>
      </c>
      <c r="Z99" s="371">
        <f t="shared" si="34"/>
        <v>0</v>
      </c>
      <c r="AA99" s="372">
        <v>0</v>
      </c>
      <c r="AB99" s="371">
        <f t="shared" ref="AB99:AB105" si="92">AVERAGE(M99,AA99,AC99)</f>
        <v>0</v>
      </c>
      <c r="AC99" s="372">
        <v>0</v>
      </c>
      <c r="AD99" s="371">
        <f t="shared" si="35"/>
        <v>0</v>
      </c>
      <c r="AE99" s="374">
        <f t="shared" si="36"/>
        <v>0</v>
      </c>
      <c r="AF99" s="374">
        <f t="shared" si="37"/>
        <v>0</v>
      </c>
      <c r="AG99" s="374">
        <f t="shared" si="38"/>
        <v>0</v>
      </c>
      <c r="AH99" s="371">
        <f t="shared" si="39"/>
        <v>0</v>
      </c>
      <c r="AI99" s="371">
        <f t="shared" ref="AI99:AI105" si="93">AVERAGE(M99,AA99,AC99)</f>
        <v>0</v>
      </c>
    </row>
    <row r="100" spans="2:35" x14ac:dyDescent="0.25">
      <c r="B100" s="46" t="s">
        <v>124</v>
      </c>
      <c r="C100" s="46" t="s">
        <v>470</v>
      </c>
      <c r="D100" s="46" t="s">
        <v>18</v>
      </c>
      <c r="E100" s="46" t="s">
        <v>104</v>
      </c>
      <c r="F100" s="46" t="s">
        <v>174</v>
      </c>
      <c r="G100" s="46"/>
      <c r="H100" s="337">
        <f t="shared" ref="H100:AI100" si="94">H99*H$54</f>
        <v>0</v>
      </c>
      <c r="I100" s="337">
        <f t="shared" si="94"/>
        <v>0</v>
      </c>
      <c r="J100" s="337">
        <f t="shared" si="94"/>
        <v>0</v>
      </c>
      <c r="K100" s="337">
        <f t="shared" si="94"/>
        <v>0</v>
      </c>
      <c r="L100" s="337">
        <f t="shared" si="94"/>
        <v>0</v>
      </c>
      <c r="M100" s="337">
        <f t="shared" si="94"/>
        <v>0</v>
      </c>
      <c r="N100" s="337">
        <f t="shared" si="94"/>
        <v>0</v>
      </c>
      <c r="O100" s="337">
        <f t="shared" si="94"/>
        <v>0</v>
      </c>
      <c r="P100" s="337">
        <f t="shared" si="94"/>
        <v>0</v>
      </c>
      <c r="Q100" s="337">
        <f t="shared" si="94"/>
        <v>0</v>
      </c>
      <c r="R100" s="337">
        <f t="shared" si="94"/>
        <v>0</v>
      </c>
      <c r="S100" s="337">
        <f t="shared" si="94"/>
        <v>0</v>
      </c>
      <c r="T100" s="337">
        <f t="shared" si="94"/>
        <v>0</v>
      </c>
      <c r="U100" s="337">
        <f t="shared" si="94"/>
        <v>0</v>
      </c>
      <c r="V100" s="337">
        <f t="shared" si="94"/>
        <v>0</v>
      </c>
      <c r="W100" s="337">
        <f t="shared" si="94"/>
        <v>0</v>
      </c>
      <c r="X100" s="337">
        <f t="shared" si="94"/>
        <v>0</v>
      </c>
      <c r="Y100" s="337">
        <f t="shared" si="94"/>
        <v>0</v>
      </c>
      <c r="Z100" s="337">
        <f t="shared" si="94"/>
        <v>0</v>
      </c>
      <c r="AA100" s="337">
        <f t="shared" si="94"/>
        <v>0</v>
      </c>
      <c r="AB100" s="337">
        <f t="shared" si="94"/>
        <v>0</v>
      </c>
      <c r="AC100" s="337">
        <f t="shared" si="94"/>
        <v>0</v>
      </c>
      <c r="AD100" s="337">
        <f t="shared" si="94"/>
        <v>0</v>
      </c>
      <c r="AE100" s="337">
        <f t="shared" si="94"/>
        <v>0</v>
      </c>
      <c r="AF100" s="337">
        <f t="shared" si="94"/>
        <v>0</v>
      </c>
      <c r="AG100" s="337">
        <f t="shared" si="94"/>
        <v>0</v>
      </c>
      <c r="AH100" s="337">
        <f t="shared" si="94"/>
        <v>0</v>
      </c>
      <c r="AI100" s="337">
        <f t="shared" si="94"/>
        <v>0</v>
      </c>
    </row>
    <row r="101" spans="2:35" x14ac:dyDescent="0.25">
      <c r="B101" s="46" t="s">
        <v>124</v>
      </c>
      <c r="C101" s="46" t="s">
        <v>471</v>
      </c>
      <c r="D101" s="46" t="s">
        <v>18</v>
      </c>
      <c r="E101" s="46" t="s">
        <v>104</v>
      </c>
      <c r="F101" s="46" t="s">
        <v>174</v>
      </c>
      <c r="G101" s="46"/>
      <c r="H101" s="336">
        <f>H99-H100</f>
        <v>0</v>
      </c>
      <c r="I101" s="336">
        <f t="shared" ref="I101:AI101" si="95">I99-I100</f>
        <v>0</v>
      </c>
      <c r="J101" s="336">
        <f t="shared" si="95"/>
        <v>0</v>
      </c>
      <c r="K101" s="336">
        <f t="shared" si="95"/>
        <v>0</v>
      </c>
      <c r="L101" s="336">
        <f t="shared" si="95"/>
        <v>0</v>
      </c>
      <c r="M101" s="336">
        <f t="shared" si="95"/>
        <v>0</v>
      </c>
      <c r="N101" s="336">
        <f t="shared" si="95"/>
        <v>0</v>
      </c>
      <c r="O101" s="336">
        <f t="shared" si="95"/>
        <v>0</v>
      </c>
      <c r="P101" s="336">
        <f t="shared" si="95"/>
        <v>0</v>
      </c>
      <c r="Q101" s="336">
        <f t="shared" si="95"/>
        <v>0</v>
      </c>
      <c r="R101" s="336">
        <f t="shared" si="95"/>
        <v>0</v>
      </c>
      <c r="S101" s="336">
        <f t="shared" si="95"/>
        <v>0</v>
      </c>
      <c r="T101" s="336">
        <f t="shared" si="95"/>
        <v>0</v>
      </c>
      <c r="U101" s="336">
        <f t="shared" si="95"/>
        <v>0</v>
      </c>
      <c r="V101" s="336">
        <f t="shared" si="95"/>
        <v>0</v>
      </c>
      <c r="W101" s="336">
        <f t="shared" si="95"/>
        <v>0</v>
      </c>
      <c r="X101" s="336">
        <f t="shared" si="95"/>
        <v>0</v>
      </c>
      <c r="Y101" s="336">
        <f t="shared" si="95"/>
        <v>0</v>
      </c>
      <c r="Z101" s="336">
        <f t="shared" si="95"/>
        <v>0</v>
      </c>
      <c r="AA101" s="336">
        <f t="shared" si="95"/>
        <v>0</v>
      </c>
      <c r="AB101" s="336">
        <f t="shared" si="95"/>
        <v>0</v>
      </c>
      <c r="AC101" s="336">
        <f t="shared" si="95"/>
        <v>0</v>
      </c>
      <c r="AD101" s="336">
        <f t="shared" si="95"/>
        <v>0</v>
      </c>
      <c r="AE101" s="336">
        <f t="shared" si="95"/>
        <v>0</v>
      </c>
      <c r="AF101" s="336">
        <f t="shared" si="95"/>
        <v>0</v>
      </c>
      <c r="AG101" s="336">
        <f t="shared" si="95"/>
        <v>0</v>
      </c>
      <c r="AH101" s="336">
        <f t="shared" si="95"/>
        <v>0</v>
      </c>
      <c r="AI101" s="336">
        <f t="shared" si="95"/>
        <v>0</v>
      </c>
    </row>
    <row r="102" spans="2:35" x14ac:dyDescent="0.25">
      <c r="B102" s="46" t="s">
        <v>119</v>
      </c>
      <c r="C102" s="46" t="s">
        <v>118</v>
      </c>
      <c r="D102" s="46" t="s">
        <v>18</v>
      </c>
      <c r="E102" s="46" t="s">
        <v>104</v>
      </c>
      <c r="F102" s="46" t="s">
        <v>174</v>
      </c>
      <c r="G102" s="46"/>
      <c r="H102" s="371">
        <f t="shared" si="27"/>
        <v>0.18752908329455562</v>
      </c>
      <c r="I102" s="371">
        <f t="shared" si="83"/>
        <v>0.18752908329455562</v>
      </c>
      <c r="J102" s="371">
        <f t="shared" si="28"/>
        <v>0.18752908329455562</v>
      </c>
      <c r="K102" s="371">
        <f t="shared" si="29"/>
        <v>0.18752908329455562</v>
      </c>
      <c r="L102" s="371">
        <f t="shared" si="84"/>
        <v>0.18752908329455562</v>
      </c>
      <c r="M102" s="372">
        <v>0.2857142857142857</v>
      </c>
      <c r="N102" s="371">
        <f t="shared" si="30"/>
        <v>0.2857142857142857</v>
      </c>
      <c r="O102" s="371">
        <f t="shared" si="31"/>
        <v>0.2857142857142857</v>
      </c>
      <c r="P102" s="371">
        <f t="shared" si="85"/>
        <v>0.18752908329455562</v>
      </c>
      <c r="Q102" s="371">
        <f t="shared" si="86"/>
        <v>0.18752908329455562</v>
      </c>
      <c r="R102" s="372">
        <v>0</v>
      </c>
      <c r="S102" s="371">
        <f t="shared" si="32"/>
        <v>0.2857142857142857</v>
      </c>
      <c r="T102" s="371">
        <f t="shared" si="87"/>
        <v>0.18752908329455562</v>
      </c>
      <c r="U102" s="371">
        <f t="shared" si="88"/>
        <v>0.18752908329455562</v>
      </c>
      <c r="V102" s="371">
        <f t="shared" si="89"/>
        <v>0.18752908329455562</v>
      </c>
      <c r="W102" s="371">
        <f t="shared" si="90"/>
        <v>0.18752908329455562</v>
      </c>
      <c r="X102" s="371">
        <f t="shared" si="91"/>
        <v>0.18752908329455562</v>
      </c>
      <c r="Y102" s="371">
        <f t="shared" si="33"/>
        <v>0.2857142857142857</v>
      </c>
      <c r="Z102" s="371">
        <f t="shared" si="34"/>
        <v>0.2857142857142857</v>
      </c>
      <c r="AA102" s="372">
        <v>0.27687296416938112</v>
      </c>
      <c r="AB102" s="371">
        <f t="shared" si="92"/>
        <v>0.18752908329455562</v>
      </c>
      <c r="AC102" s="372">
        <v>0</v>
      </c>
      <c r="AD102" s="371">
        <f t="shared" si="35"/>
        <v>0</v>
      </c>
      <c r="AE102" s="374">
        <f t="shared" si="36"/>
        <v>0.18752908329455562</v>
      </c>
      <c r="AF102" s="374">
        <f t="shared" si="37"/>
        <v>0.18752908329455562</v>
      </c>
      <c r="AG102" s="374">
        <f t="shared" si="38"/>
        <v>0.2857142857142857</v>
      </c>
      <c r="AH102" s="371">
        <f t="shared" si="39"/>
        <v>0.27687296416938112</v>
      </c>
      <c r="AI102" s="371">
        <f t="shared" si="93"/>
        <v>0.18752908329455562</v>
      </c>
    </row>
    <row r="103" spans="2:35" x14ac:dyDescent="0.25">
      <c r="B103" s="46" t="s">
        <v>94</v>
      </c>
      <c r="C103" s="46" t="s">
        <v>125</v>
      </c>
      <c r="D103" s="46" t="s">
        <v>18</v>
      </c>
      <c r="E103" s="46" t="s">
        <v>104</v>
      </c>
      <c r="F103" s="46" t="s">
        <v>174</v>
      </c>
      <c r="G103" s="46"/>
      <c r="H103" s="371">
        <f t="shared" si="27"/>
        <v>0</v>
      </c>
      <c r="I103" s="371">
        <f t="shared" si="83"/>
        <v>0</v>
      </c>
      <c r="J103" s="371">
        <f t="shared" si="28"/>
        <v>0</v>
      </c>
      <c r="K103" s="371">
        <f t="shared" si="29"/>
        <v>0</v>
      </c>
      <c r="L103" s="371">
        <f t="shared" si="84"/>
        <v>0</v>
      </c>
      <c r="M103" s="372">
        <v>0</v>
      </c>
      <c r="N103" s="371">
        <f t="shared" si="30"/>
        <v>0</v>
      </c>
      <c r="O103" s="371">
        <f t="shared" si="31"/>
        <v>0</v>
      </c>
      <c r="P103" s="371">
        <f t="shared" si="85"/>
        <v>0</v>
      </c>
      <c r="Q103" s="371">
        <f t="shared" si="86"/>
        <v>0</v>
      </c>
      <c r="R103" s="372">
        <v>0</v>
      </c>
      <c r="S103" s="371">
        <f t="shared" si="32"/>
        <v>0</v>
      </c>
      <c r="T103" s="371">
        <f t="shared" si="87"/>
        <v>0</v>
      </c>
      <c r="U103" s="371">
        <f t="shared" si="88"/>
        <v>0</v>
      </c>
      <c r="V103" s="371">
        <f t="shared" si="89"/>
        <v>0</v>
      </c>
      <c r="W103" s="371">
        <f t="shared" si="90"/>
        <v>0</v>
      </c>
      <c r="X103" s="371">
        <f t="shared" si="91"/>
        <v>0</v>
      </c>
      <c r="Y103" s="371">
        <f t="shared" si="33"/>
        <v>0</v>
      </c>
      <c r="Z103" s="371">
        <f t="shared" si="34"/>
        <v>0</v>
      </c>
      <c r="AA103" s="376">
        <v>0</v>
      </c>
      <c r="AB103" s="371">
        <f t="shared" si="92"/>
        <v>0</v>
      </c>
      <c r="AC103" s="372">
        <v>0</v>
      </c>
      <c r="AD103" s="371">
        <f t="shared" si="35"/>
        <v>0</v>
      </c>
      <c r="AE103" s="374">
        <f t="shared" si="36"/>
        <v>0</v>
      </c>
      <c r="AF103" s="374">
        <f t="shared" si="37"/>
        <v>0</v>
      </c>
      <c r="AG103" s="374">
        <f t="shared" si="38"/>
        <v>0</v>
      </c>
      <c r="AH103" s="371">
        <f t="shared" si="39"/>
        <v>0</v>
      </c>
      <c r="AI103" s="371">
        <f t="shared" si="93"/>
        <v>0</v>
      </c>
    </row>
    <row r="104" spans="2:35" x14ac:dyDescent="0.25">
      <c r="B104" s="46" t="s">
        <v>148</v>
      </c>
      <c r="C104" s="46" t="s">
        <v>173</v>
      </c>
      <c r="D104" s="46" t="s">
        <v>18</v>
      </c>
      <c r="E104" s="46" t="s">
        <v>104</v>
      </c>
      <c r="F104" s="46" t="s">
        <v>174</v>
      </c>
      <c r="G104" s="46"/>
      <c r="H104" s="371">
        <f t="shared" si="27"/>
        <v>0</v>
      </c>
      <c r="I104" s="371">
        <f t="shared" si="83"/>
        <v>0</v>
      </c>
      <c r="J104" s="371">
        <f t="shared" si="28"/>
        <v>0</v>
      </c>
      <c r="K104" s="371">
        <f t="shared" si="29"/>
        <v>0</v>
      </c>
      <c r="L104" s="371">
        <f t="shared" si="84"/>
        <v>0</v>
      </c>
      <c r="M104" s="372">
        <v>0</v>
      </c>
      <c r="N104" s="371">
        <f t="shared" si="30"/>
        <v>0</v>
      </c>
      <c r="O104" s="371">
        <f t="shared" si="31"/>
        <v>0</v>
      </c>
      <c r="P104" s="371">
        <f t="shared" si="85"/>
        <v>0</v>
      </c>
      <c r="Q104" s="371">
        <f t="shared" si="86"/>
        <v>0</v>
      </c>
      <c r="R104" s="376">
        <v>0</v>
      </c>
      <c r="S104" s="371">
        <f t="shared" si="32"/>
        <v>0</v>
      </c>
      <c r="T104" s="371">
        <f t="shared" si="87"/>
        <v>0</v>
      </c>
      <c r="U104" s="371">
        <f t="shared" si="88"/>
        <v>0</v>
      </c>
      <c r="V104" s="371">
        <f t="shared" si="89"/>
        <v>0</v>
      </c>
      <c r="W104" s="371">
        <f t="shared" si="90"/>
        <v>0</v>
      </c>
      <c r="X104" s="371">
        <f t="shared" si="91"/>
        <v>0</v>
      </c>
      <c r="Y104" s="371">
        <f t="shared" si="33"/>
        <v>0</v>
      </c>
      <c r="Z104" s="371">
        <f t="shared" si="34"/>
        <v>0</v>
      </c>
      <c r="AA104" s="376">
        <v>0</v>
      </c>
      <c r="AB104" s="371">
        <f t="shared" si="92"/>
        <v>0</v>
      </c>
      <c r="AC104" s="376">
        <v>0</v>
      </c>
      <c r="AD104" s="371">
        <f t="shared" si="35"/>
        <v>0</v>
      </c>
      <c r="AE104" s="374">
        <f t="shared" si="36"/>
        <v>0</v>
      </c>
      <c r="AF104" s="374">
        <f t="shared" si="37"/>
        <v>0</v>
      </c>
      <c r="AG104" s="374">
        <f t="shared" si="38"/>
        <v>0</v>
      </c>
      <c r="AH104" s="371">
        <f t="shared" si="39"/>
        <v>0</v>
      </c>
      <c r="AI104" s="371">
        <f t="shared" si="93"/>
        <v>0</v>
      </c>
    </row>
    <row r="105" spans="2:35" x14ac:dyDescent="0.25">
      <c r="B105" s="46" t="s">
        <v>169</v>
      </c>
      <c r="C105" s="46" t="s">
        <v>120</v>
      </c>
      <c r="D105" s="46" t="s">
        <v>18</v>
      </c>
      <c r="E105" s="46" t="s">
        <v>104</v>
      </c>
      <c r="F105" s="46" t="s">
        <v>174</v>
      </c>
      <c r="G105" s="46"/>
      <c r="H105" s="371">
        <f t="shared" si="27"/>
        <v>0</v>
      </c>
      <c r="I105" s="371">
        <f t="shared" si="83"/>
        <v>0</v>
      </c>
      <c r="J105" s="371">
        <f t="shared" si="28"/>
        <v>0</v>
      </c>
      <c r="K105" s="371">
        <f t="shared" si="29"/>
        <v>0</v>
      </c>
      <c r="L105" s="371">
        <f t="shared" si="84"/>
        <v>0</v>
      </c>
      <c r="M105" s="372">
        <v>0</v>
      </c>
      <c r="N105" s="371">
        <f t="shared" si="30"/>
        <v>0</v>
      </c>
      <c r="O105" s="371">
        <f t="shared" si="31"/>
        <v>0</v>
      </c>
      <c r="P105" s="371">
        <f t="shared" si="85"/>
        <v>0</v>
      </c>
      <c r="Q105" s="371">
        <f t="shared" si="86"/>
        <v>0</v>
      </c>
      <c r="R105" s="376">
        <v>1</v>
      </c>
      <c r="S105" s="371">
        <f t="shared" si="32"/>
        <v>0</v>
      </c>
      <c r="T105" s="371">
        <f t="shared" si="87"/>
        <v>0</v>
      </c>
      <c r="U105" s="371">
        <f t="shared" si="88"/>
        <v>0</v>
      </c>
      <c r="V105" s="371">
        <f t="shared" si="89"/>
        <v>0</v>
      </c>
      <c r="W105" s="371">
        <f t="shared" si="90"/>
        <v>0</v>
      </c>
      <c r="X105" s="371">
        <f t="shared" si="91"/>
        <v>0</v>
      </c>
      <c r="Y105" s="371">
        <f t="shared" si="33"/>
        <v>0</v>
      </c>
      <c r="Z105" s="371">
        <f t="shared" si="34"/>
        <v>0</v>
      </c>
      <c r="AA105" s="376">
        <v>0</v>
      </c>
      <c r="AB105" s="371">
        <f t="shared" si="92"/>
        <v>0</v>
      </c>
      <c r="AC105" s="376">
        <v>0</v>
      </c>
      <c r="AD105" s="371">
        <f t="shared" si="35"/>
        <v>0</v>
      </c>
      <c r="AE105" s="374">
        <f t="shared" si="36"/>
        <v>0</v>
      </c>
      <c r="AF105" s="374">
        <f t="shared" si="37"/>
        <v>0</v>
      </c>
      <c r="AG105" s="374">
        <f t="shared" si="38"/>
        <v>0</v>
      </c>
      <c r="AH105" s="371">
        <f t="shared" si="39"/>
        <v>0</v>
      </c>
      <c r="AI105" s="371">
        <f t="shared" si="93"/>
        <v>0</v>
      </c>
    </row>
    <row r="106" spans="2:35" x14ac:dyDescent="0.25">
      <c r="B106" s="339"/>
      <c r="C106" s="340" t="s">
        <v>176</v>
      </c>
      <c r="D106" s="339"/>
      <c r="E106" s="339"/>
      <c r="F106" s="340"/>
      <c r="G106" s="340"/>
      <c r="H106" s="338">
        <f t="shared" ref="H106:AI106" si="96">SUM(H96,H99,H102,H103,H105,H104)</f>
        <v>1</v>
      </c>
      <c r="I106" s="338">
        <f t="shared" si="96"/>
        <v>1</v>
      </c>
      <c r="J106" s="338">
        <f t="shared" si="96"/>
        <v>1</v>
      </c>
      <c r="K106" s="338">
        <f t="shared" si="96"/>
        <v>1</v>
      </c>
      <c r="L106" s="338">
        <f t="shared" si="96"/>
        <v>1</v>
      </c>
      <c r="M106" s="338">
        <f t="shared" si="96"/>
        <v>1</v>
      </c>
      <c r="N106" s="338">
        <f t="shared" si="96"/>
        <v>1</v>
      </c>
      <c r="O106" s="338">
        <f t="shared" si="96"/>
        <v>1</v>
      </c>
      <c r="P106" s="338">
        <f t="shared" si="96"/>
        <v>1</v>
      </c>
      <c r="Q106" s="338">
        <f t="shared" si="96"/>
        <v>1</v>
      </c>
      <c r="R106" s="338">
        <f t="shared" si="96"/>
        <v>1</v>
      </c>
      <c r="S106" s="338">
        <f t="shared" si="96"/>
        <v>1</v>
      </c>
      <c r="T106" s="338">
        <f t="shared" si="96"/>
        <v>1</v>
      </c>
      <c r="U106" s="338">
        <f t="shared" si="96"/>
        <v>1</v>
      </c>
      <c r="V106" s="338">
        <f t="shared" si="96"/>
        <v>1</v>
      </c>
      <c r="W106" s="338">
        <f t="shared" si="96"/>
        <v>1</v>
      </c>
      <c r="X106" s="338">
        <f t="shared" si="96"/>
        <v>1</v>
      </c>
      <c r="Y106" s="338">
        <f t="shared" si="96"/>
        <v>1</v>
      </c>
      <c r="Z106" s="338">
        <f t="shared" si="96"/>
        <v>1</v>
      </c>
      <c r="AA106" s="338">
        <f t="shared" si="96"/>
        <v>1</v>
      </c>
      <c r="AB106" s="338">
        <f t="shared" si="96"/>
        <v>1</v>
      </c>
      <c r="AC106" s="338">
        <f t="shared" si="96"/>
        <v>1</v>
      </c>
      <c r="AD106" s="338">
        <f t="shared" si="96"/>
        <v>1</v>
      </c>
      <c r="AE106" s="338">
        <f t="shared" si="96"/>
        <v>1</v>
      </c>
      <c r="AF106" s="338">
        <f t="shared" si="96"/>
        <v>1</v>
      </c>
      <c r="AG106" s="338">
        <f t="shared" si="96"/>
        <v>1</v>
      </c>
      <c r="AH106" s="338">
        <f t="shared" si="96"/>
        <v>1</v>
      </c>
      <c r="AI106" s="338">
        <f t="shared" si="96"/>
        <v>1</v>
      </c>
    </row>
    <row r="107" spans="2:35" x14ac:dyDescent="0.25">
      <c r="B107" s="360" t="s">
        <v>122</v>
      </c>
      <c r="C107" s="360" t="s">
        <v>121</v>
      </c>
      <c r="D107" s="360" t="s">
        <v>19</v>
      </c>
      <c r="E107" s="360" t="s">
        <v>105</v>
      </c>
      <c r="F107" s="360" t="s">
        <v>174</v>
      </c>
      <c r="G107" s="360"/>
      <c r="H107" s="366">
        <f t="shared" si="27"/>
        <v>1.5897217986852286E-2</v>
      </c>
      <c r="I107" s="368">
        <v>1.5897217986852286E-2</v>
      </c>
      <c r="J107" s="366">
        <f t="shared" si="28"/>
        <v>1.5897217986852286E-2</v>
      </c>
      <c r="K107" s="366">
        <f t="shared" si="29"/>
        <v>1.5897217986852286E-2</v>
      </c>
      <c r="L107" s="368">
        <v>0.30626289730714173</v>
      </c>
      <c r="M107" s="368">
        <v>0.13285618429881463</v>
      </c>
      <c r="N107" s="366">
        <f t="shared" si="30"/>
        <v>0.13285618429881463</v>
      </c>
      <c r="O107" s="366">
        <f t="shared" si="31"/>
        <v>0.13285618429881463</v>
      </c>
      <c r="P107" s="368">
        <v>0.14325158545162853</v>
      </c>
      <c r="Q107" s="368">
        <v>0.55911292022822756</v>
      </c>
      <c r="R107" s="368">
        <v>7.3432122173903935E-2</v>
      </c>
      <c r="S107" s="368">
        <v>0.17342378982937579</v>
      </c>
      <c r="T107" s="368">
        <v>0.19919277644847344</v>
      </c>
      <c r="U107" s="368">
        <v>0.25219956461929649</v>
      </c>
      <c r="V107" s="368">
        <v>0.19919277644847344</v>
      </c>
      <c r="W107" s="368">
        <v>0.24865296058904052</v>
      </c>
      <c r="X107" s="368">
        <v>0.2064422064951813</v>
      </c>
      <c r="Y107" s="366">
        <f t="shared" si="33"/>
        <v>0.13285618429881463</v>
      </c>
      <c r="Z107" s="366">
        <f t="shared" si="34"/>
        <v>0.13285618429881463</v>
      </c>
      <c r="AA107" s="368">
        <v>0.2382901245670499</v>
      </c>
      <c r="AB107" s="368">
        <v>3.1038137586312908E-2</v>
      </c>
      <c r="AC107" s="368">
        <v>0.18625261618882616</v>
      </c>
      <c r="AD107" s="366">
        <f t="shared" si="35"/>
        <v>0.18625261618882616</v>
      </c>
      <c r="AE107" s="370">
        <f t="shared" si="36"/>
        <v>0.26774544620940777</v>
      </c>
      <c r="AF107" s="370">
        <f t="shared" si="37"/>
        <v>1.5897217986852286E-2</v>
      </c>
      <c r="AG107" s="370">
        <f t="shared" si="38"/>
        <v>0.13285618429881463</v>
      </c>
      <c r="AH107" s="368">
        <v>0.13996171968584015</v>
      </c>
      <c r="AI107" s="368">
        <v>0.26774544620940777</v>
      </c>
    </row>
    <row r="108" spans="2:35" x14ac:dyDescent="0.25">
      <c r="B108" s="46" t="s">
        <v>122</v>
      </c>
      <c r="C108" s="46" t="s">
        <v>468</v>
      </c>
      <c r="D108" s="46" t="s">
        <v>19</v>
      </c>
      <c r="E108" s="46" t="s">
        <v>105</v>
      </c>
      <c r="F108" s="46" t="s">
        <v>174</v>
      </c>
      <c r="G108" s="46"/>
      <c r="H108" s="336">
        <f t="shared" ref="H108:AI108" si="97">H$53*H107</f>
        <v>1.5781518734893054E-2</v>
      </c>
      <c r="I108" s="336">
        <f t="shared" si="97"/>
        <v>1.5897217986852286E-2</v>
      </c>
      <c r="J108" s="336">
        <f t="shared" si="97"/>
        <v>1.5374003710084603E-2</v>
      </c>
      <c r="K108" s="336">
        <f t="shared" si="97"/>
        <v>1.5897217986852286E-2</v>
      </c>
      <c r="L108" s="336">
        <f t="shared" si="97"/>
        <v>0.30603264134612729</v>
      </c>
      <c r="M108" s="336">
        <f t="shared" si="97"/>
        <v>0.13285618429881463</v>
      </c>
      <c r="N108" s="336">
        <f t="shared" si="97"/>
        <v>0.13027945064983568</v>
      </c>
      <c r="O108" s="336">
        <f t="shared" si="97"/>
        <v>0.13285618429881463</v>
      </c>
      <c r="P108" s="336">
        <f t="shared" si="97"/>
        <v>0.14263995285301997</v>
      </c>
      <c r="Q108" s="336">
        <f t="shared" si="97"/>
        <v>0.50270658540142021</v>
      </c>
      <c r="R108" s="336">
        <f t="shared" si="97"/>
        <v>7.3432122173903935E-2</v>
      </c>
      <c r="S108" s="336">
        <f t="shared" si="97"/>
        <v>0.15823822547627733</v>
      </c>
      <c r="T108" s="336">
        <f t="shared" si="97"/>
        <v>0.19880442126717995</v>
      </c>
      <c r="U108" s="336">
        <f t="shared" si="97"/>
        <v>0.21662115834636314</v>
      </c>
      <c r="V108" s="336">
        <f t="shared" si="97"/>
        <v>0.19840975333700531</v>
      </c>
      <c r="W108" s="336">
        <f t="shared" si="97"/>
        <v>0.23375116718868449</v>
      </c>
      <c r="X108" s="336">
        <f t="shared" si="97"/>
        <v>0.20354186011237871</v>
      </c>
      <c r="Y108" s="336">
        <f t="shared" si="97"/>
        <v>0.13285618429881463</v>
      </c>
      <c r="Z108" s="336">
        <f t="shared" si="97"/>
        <v>0.13285618429881463</v>
      </c>
      <c r="AA108" s="336">
        <f t="shared" si="97"/>
        <v>0.2308919916691404</v>
      </c>
      <c r="AB108" s="336">
        <f t="shared" si="97"/>
        <v>3.0628826477659021E-2</v>
      </c>
      <c r="AC108" s="336">
        <f t="shared" si="97"/>
        <v>0.18017998706159391</v>
      </c>
      <c r="AD108" s="336">
        <f t="shared" si="97"/>
        <v>0.18616483415069968</v>
      </c>
      <c r="AE108" s="336">
        <f t="shared" si="97"/>
        <v>0.26215868104179035</v>
      </c>
      <c r="AF108" s="336">
        <f t="shared" si="97"/>
        <v>1.5367837996183976E-2</v>
      </c>
      <c r="AG108" s="336">
        <f t="shared" si="97"/>
        <v>0.12083035740109037</v>
      </c>
      <c r="AH108" s="336">
        <f t="shared" si="97"/>
        <v>0.10694357289366037</v>
      </c>
      <c r="AI108" s="336">
        <f t="shared" si="97"/>
        <v>0.20088938925567235</v>
      </c>
    </row>
    <row r="109" spans="2:35" x14ac:dyDescent="0.25">
      <c r="B109" s="46" t="s">
        <v>122</v>
      </c>
      <c r="C109" s="46" t="s">
        <v>469</v>
      </c>
      <c r="D109" s="46" t="s">
        <v>19</v>
      </c>
      <c r="E109" s="46" t="s">
        <v>105</v>
      </c>
      <c r="F109" s="46" t="s">
        <v>174</v>
      </c>
      <c r="G109" s="46"/>
      <c r="H109" s="336">
        <f>H107-H108</f>
        <v>1.1569925195923161E-4</v>
      </c>
      <c r="I109" s="336">
        <f t="shared" ref="I109" si="98">I107-I108</f>
        <v>0</v>
      </c>
      <c r="J109" s="336">
        <f>J107-J108</f>
        <v>5.232142767676827E-4</v>
      </c>
      <c r="K109" s="336">
        <f>K107-K108</f>
        <v>0</v>
      </c>
      <c r="L109" s="336">
        <f t="shared" ref="L109:M109" si="99">L107-L108</f>
        <v>2.3025596101444723E-4</v>
      </c>
      <c r="M109" s="336">
        <f t="shared" si="99"/>
        <v>0</v>
      </c>
      <c r="N109" s="336">
        <f>N107-N108</f>
        <v>2.5767336489789516E-3</v>
      </c>
      <c r="O109" s="336">
        <f>O107-O108</f>
        <v>0</v>
      </c>
      <c r="P109" s="336">
        <f t="shared" ref="P109:R109" si="100">P107-P108</f>
        <v>6.1163259860855246E-4</v>
      </c>
      <c r="Q109" s="336">
        <f t="shared" si="100"/>
        <v>5.6406334826807347E-2</v>
      </c>
      <c r="R109" s="336">
        <f t="shared" si="100"/>
        <v>0</v>
      </c>
      <c r="S109" s="336">
        <f>S107-S108</f>
        <v>1.5185564353098452E-2</v>
      </c>
      <c r="T109" s="336">
        <f t="shared" ref="T109:X109" si="101">T107-T108</f>
        <v>3.8835518129348712E-4</v>
      </c>
      <c r="U109" s="336">
        <f t="shared" si="101"/>
        <v>3.5578406272933349E-2</v>
      </c>
      <c r="V109" s="336">
        <f t="shared" si="101"/>
        <v>7.8302311146813408E-4</v>
      </c>
      <c r="W109" s="336">
        <f t="shared" si="101"/>
        <v>1.4901793400356023E-2</v>
      </c>
      <c r="X109" s="336">
        <f t="shared" si="101"/>
        <v>2.9003463828025933E-3</v>
      </c>
      <c r="Y109" s="336">
        <f>Y107-Y108</f>
        <v>0</v>
      </c>
      <c r="Z109" s="336">
        <f>Z107-Z108</f>
        <v>0</v>
      </c>
      <c r="AA109" s="336">
        <f t="shared" ref="AA109:AC109" si="102">AA107-AA108</f>
        <v>7.3981328979094985E-3</v>
      </c>
      <c r="AB109" s="336">
        <f t="shared" si="102"/>
        <v>4.0931110865388698E-4</v>
      </c>
      <c r="AC109" s="336">
        <f t="shared" si="102"/>
        <v>6.0726291272322486E-3</v>
      </c>
      <c r="AD109" s="336">
        <f>AD107-AD108</f>
        <v>8.7782038126482664E-5</v>
      </c>
      <c r="AE109" s="336">
        <f>AE107-AE108</f>
        <v>5.5867651676174135E-3</v>
      </c>
      <c r="AF109" s="336">
        <f>AF107-AF108</f>
        <v>5.293799906683095E-4</v>
      </c>
      <c r="AG109" s="336">
        <f>AG107-AG108</f>
        <v>1.2025826897724259E-2</v>
      </c>
      <c r="AH109" s="336">
        <f>AH107-AH108</f>
        <v>3.3018146792179778E-2</v>
      </c>
      <c r="AI109" s="336">
        <f t="shared" ref="AI109" si="103">AI107-AI108</f>
        <v>6.6856056953735421E-2</v>
      </c>
    </row>
    <row r="110" spans="2:35" x14ac:dyDescent="0.25">
      <c r="B110" s="360" t="s">
        <v>124</v>
      </c>
      <c r="C110" s="360" t="s">
        <v>123</v>
      </c>
      <c r="D110" s="360" t="s">
        <v>19</v>
      </c>
      <c r="E110" s="360" t="s">
        <v>105</v>
      </c>
      <c r="F110" s="360" t="s">
        <v>174</v>
      </c>
      <c r="G110" s="360"/>
      <c r="H110" s="371">
        <f>I110</f>
        <v>7.9736046191916429E-3</v>
      </c>
      <c r="I110" s="372">
        <v>7.9736046191916429E-3</v>
      </c>
      <c r="J110" s="371">
        <f t="shared" si="28"/>
        <v>7.9736046191916429E-3</v>
      </c>
      <c r="K110" s="371">
        <f t="shared" si="29"/>
        <v>7.9736046191916429E-3</v>
      </c>
      <c r="L110" s="372">
        <v>8.6447870555155848E-2</v>
      </c>
      <c r="M110" s="373">
        <v>2.1248042943413106E-2</v>
      </c>
      <c r="N110" s="371">
        <f t="shared" si="30"/>
        <v>2.1248042943413106E-2</v>
      </c>
      <c r="O110" s="371">
        <f t="shared" si="31"/>
        <v>2.1248042943413106E-2</v>
      </c>
      <c r="P110" s="372">
        <v>0.20923117463897428</v>
      </c>
      <c r="Q110" s="372">
        <v>5.0044739126898094E-2</v>
      </c>
      <c r="R110" s="372">
        <v>8.5529976711114768E-3</v>
      </c>
      <c r="S110" s="372">
        <v>0.12947365316020629</v>
      </c>
      <c r="T110" s="373">
        <v>1.2403307108528189E-2</v>
      </c>
      <c r="U110" s="372">
        <v>2.7162487345818643E-5</v>
      </c>
      <c r="V110" s="372">
        <v>1.2403307108528189E-2</v>
      </c>
      <c r="W110" s="372">
        <v>2.6362575444010092E-2</v>
      </c>
      <c r="X110" s="372">
        <v>2.4824702914881388E-3</v>
      </c>
      <c r="Y110" s="371">
        <f t="shared" si="33"/>
        <v>2.1248042943413106E-2</v>
      </c>
      <c r="Z110" s="371">
        <f t="shared" si="34"/>
        <v>2.1248042943413106E-2</v>
      </c>
      <c r="AA110" s="372">
        <v>5.1423472704673498E-2</v>
      </c>
      <c r="AB110" s="372">
        <v>0.18460448168379856</v>
      </c>
      <c r="AC110" s="372">
        <v>0</v>
      </c>
      <c r="AD110" s="371">
        <f t="shared" si="35"/>
        <v>0</v>
      </c>
      <c r="AE110" s="374">
        <f t="shared" si="36"/>
        <v>0.15122994424333999</v>
      </c>
      <c r="AF110" s="374">
        <f t="shared" si="37"/>
        <v>7.9736046191916429E-3</v>
      </c>
      <c r="AG110" s="374">
        <f t="shared" si="38"/>
        <v>2.1248042943413106E-2</v>
      </c>
      <c r="AH110" s="372">
        <v>0.10520839507544458</v>
      </c>
      <c r="AI110" s="372">
        <v>0.15122994424333999</v>
      </c>
    </row>
    <row r="111" spans="2:35" x14ac:dyDescent="0.25">
      <c r="B111" s="46" t="s">
        <v>124</v>
      </c>
      <c r="C111" s="46" t="s">
        <v>470</v>
      </c>
      <c r="D111" s="46" t="s">
        <v>19</v>
      </c>
      <c r="E111" s="46" t="s">
        <v>105</v>
      </c>
      <c r="F111" s="46" t="s">
        <v>174</v>
      </c>
      <c r="G111" s="46"/>
      <c r="H111" s="337">
        <f t="shared" ref="H111:AI111" si="104">H110*H$54</f>
        <v>7.597567839538741E-3</v>
      </c>
      <c r="I111" s="337">
        <f t="shared" si="104"/>
        <v>7.0054316968321999E-3</v>
      </c>
      <c r="J111" s="337">
        <f t="shared" si="104"/>
        <v>7.3057567341584528E-3</v>
      </c>
      <c r="K111" s="337">
        <f t="shared" si="104"/>
        <v>7.0461227462011531E-3</v>
      </c>
      <c r="L111" s="337">
        <f t="shared" si="104"/>
        <v>6.1992431103028614E-2</v>
      </c>
      <c r="M111" s="337">
        <f t="shared" si="104"/>
        <v>1.9557531351990308E-2</v>
      </c>
      <c r="N111" s="337">
        <f t="shared" si="104"/>
        <v>2.0464276668280684E-2</v>
      </c>
      <c r="O111" s="337">
        <f t="shared" si="104"/>
        <v>2.0271595418303489E-2</v>
      </c>
      <c r="P111" s="337">
        <f t="shared" si="104"/>
        <v>0.17649895464933421</v>
      </c>
      <c r="Q111" s="337">
        <f t="shared" si="104"/>
        <v>1.2690066230590878E-2</v>
      </c>
      <c r="R111" s="337">
        <f t="shared" si="104"/>
        <v>5.0879868194134426E-3</v>
      </c>
      <c r="S111" s="337">
        <f t="shared" si="104"/>
        <v>9.6653436610183219E-2</v>
      </c>
      <c r="T111" s="337">
        <f t="shared" si="104"/>
        <v>8.0569627805673442E-3</v>
      </c>
      <c r="U111" s="337">
        <f t="shared" si="104"/>
        <v>7.9629738581693021E-6</v>
      </c>
      <c r="V111" s="337">
        <f t="shared" si="104"/>
        <v>9.3506653235316851E-3</v>
      </c>
      <c r="W111" s="337">
        <f t="shared" si="104"/>
        <v>1.7504423093144268E-2</v>
      </c>
      <c r="X111" s="337">
        <f t="shared" si="104"/>
        <v>1.4873546584033232E-3</v>
      </c>
      <c r="Y111" s="337">
        <f t="shared" si="104"/>
        <v>2.0203608659033624E-2</v>
      </c>
      <c r="Z111" s="337">
        <f t="shared" si="104"/>
        <v>2.0400017758563913E-2</v>
      </c>
      <c r="AA111" s="337">
        <f t="shared" si="104"/>
        <v>2.9296316134211256E-2</v>
      </c>
      <c r="AB111" s="337">
        <f t="shared" si="104"/>
        <v>0.15804325366063832</v>
      </c>
      <c r="AC111" s="337">
        <f t="shared" si="104"/>
        <v>0</v>
      </c>
      <c r="AD111" s="337">
        <f t="shared" si="104"/>
        <v>0</v>
      </c>
      <c r="AE111" s="337">
        <f t="shared" si="104"/>
        <v>0.11774278484937312</v>
      </c>
      <c r="AF111" s="337">
        <f t="shared" si="104"/>
        <v>6.9996839146790578E-3</v>
      </c>
      <c r="AG111" s="337">
        <f t="shared" si="104"/>
        <v>1.3000572978618209E-2</v>
      </c>
      <c r="AH111" s="337">
        <f t="shared" si="104"/>
        <v>6.0578443909893254E-2</v>
      </c>
      <c r="AI111" s="337">
        <f t="shared" si="104"/>
        <v>5.0445876767484264E-2</v>
      </c>
    </row>
    <row r="112" spans="2:35" x14ac:dyDescent="0.25">
      <c r="B112" s="46" t="s">
        <v>124</v>
      </c>
      <c r="C112" s="46" t="s">
        <v>471</v>
      </c>
      <c r="D112" s="46" t="s">
        <v>19</v>
      </c>
      <c r="E112" s="46" t="s">
        <v>105</v>
      </c>
      <c r="F112" s="46" t="s">
        <v>174</v>
      </c>
      <c r="G112" s="46"/>
      <c r="H112" s="336">
        <f>H110-H111</f>
        <v>3.7603677965290187E-4</v>
      </c>
      <c r="I112" s="336">
        <f t="shared" ref="I112:AI112" si="105">I110-I111</f>
        <v>9.6817292235944295E-4</v>
      </c>
      <c r="J112" s="336">
        <f t="shared" si="105"/>
        <v>6.6784788503319002E-4</v>
      </c>
      <c r="K112" s="336">
        <f t="shared" si="105"/>
        <v>9.2748187299048976E-4</v>
      </c>
      <c r="L112" s="336">
        <f t="shared" si="105"/>
        <v>2.4455439452127234E-2</v>
      </c>
      <c r="M112" s="336">
        <f t="shared" si="105"/>
        <v>1.6905115914227983E-3</v>
      </c>
      <c r="N112" s="336">
        <f t="shared" si="105"/>
        <v>7.8376627513242203E-4</v>
      </c>
      <c r="O112" s="336">
        <f t="shared" si="105"/>
        <v>9.7644752510961733E-4</v>
      </c>
      <c r="P112" s="336">
        <f t="shared" si="105"/>
        <v>3.2732219989640071E-2</v>
      </c>
      <c r="Q112" s="336">
        <f t="shared" si="105"/>
        <v>3.7354672896307214E-2</v>
      </c>
      <c r="R112" s="336">
        <f t="shared" si="105"/>
        <v>3.4650108516980343E-3</v>
      </c>
      <c r="S112" s="336">
        <f t="shared" si="105"/>
        <v>3.2820216550023068E-2</v>
      </c>
      <c r="T112" s="336">
        <f t="shared" si="105"/>
        <v>4.3463443279608445E-3</v>
      </c>
      <c r="U112" s="336">
        <f t="shared" si="105"/>
        <v>1.9199513487649343E-5</v>
      </c>
      <c r="V112" s="336">
        <f t="shared" si="105"/>
        <v>3.0526417849965036E-3</v>
      </c>
      <c r="W112" s="336">
        <f t="shared" si="105"/>
        <v>8.8581523508658236E-3</v>
      </c>
      <c r="X112" s="336">
        <f t="shared" si="105"/>
        <v>9.9511563308481567E-4</v>
      </c>
      <c r="Y112" s="336">
        <f t="shared" si="105"/>
        <v>1.0444342843794821E-3</v>
      </c>
      <c r="Z112" s="336">
        <f t="shared" si="105"/>
        <v>8.4802518484919376E-4</v>
      </c>
      <c r="AA112" s="336">
        <f t="shared" si="105"/>
        <v>2.2127156570462242E-2</v>
      </c>
      <c r="AB112" s="336">
        <f t="shared" si="105"/>
        <v>2.6561228023160244E-2</v>
      </c>
      <c r="AC112" s="336">
        <f t="shared" si="105"/>
        <v>0</v>
      </c>
      <c r="AD112" s="336">
        <f t="shared" si="105"/>
        <v>0</v>
      </c>
      <c r="AE112" s="336">
        <f t="shared" si="105"/>
        <v>3.3487159393966875E-2</v>
      </c>
      <c r="AF112" s="336">
        <f t="shared" si="105"/>
        <v>9.7392070451258507E-4</v>
      </c>
      <c r="AG112" s="336">
        <f t="shared" si="105"/>
        <v>8.2474699647948971E-3</v>
      </c>
      <c r="AH112" s="336">
        <f t="shared" si="105"/>
        <v>4.4629951165551324E-2</v>
      </c>
      <c r="AI112" s="336">
        <f t="shared" si="105"/>
        <v>0.10078406747585572</v>
      </c>
    </row>
    <row r="113" spans="2:35" x14ac:dyDescent="0.25">
      <c r="B113" s="46" t="s">
        <v>119</v>
      </c>
      <c r="C113" s="46" t="s">
        <v>118</v>
      </c>
      <c r="D113" s="46" t="s">
        <v>19</v>
      </c>
      <c r="E113" s="46" t="s">
        <v>105</v>
      </c>
      <c r="F113" s="46" t="s">
        <v>174</v>
      </c>
      <c r="G113" s="46"/>
      <c r="H113" s="371">
        <f t="shared" si="27"/>
        <v>6.3813832579298624E-2</v>
      </c>
      <c r="I113" s="372">
        <v>6.3813832579298624E-2</v>
      </c>
      <c r="J113" s="371">
        <f t="shared" si="28"/>
        <v>6.3813832579298624E-2</v>
      </c>
      <c r="K113" s="371">
        <f t="shared" si="29"/>
        <v>6.3813832579298624E-2</v>
      </c>
      <c r="L113" s="372">
        <v>6.88825709839333E-2</v>
      </c>
      <c r="M113" s="373">
        <v>9.729367031983896E-2</v>
      </c>
      <c r="N113" s="371">
        <f t="shared" si="30"/>
        <v>9.729367031983896E-2</v>
      </c>
      <c r="O113" s="371">
        <f t="shared" si="31"/>
        <v>9.729367031983896E-2</v>
      </c>
      <c r="P113" s="372">
        <v>3.4758835029713289E-2</v>
      </c>
      <c r="Q113" s="372">
        <v>7.6240784486894517E-2</v>
      </c>
      <c r="R113" s="372">
        <v>5.9809154798953039E-2</v>
      </c>
      <c r="S113" s="372">
        <v>0.23296843378351473</v>
      </c>
      <c r="T113" s="373">
        <v>8.4901952181027807E-2</v>
      </c>
      <c r="U113" s="372">
        <v>5.8795490978782131E-2</v>
      </c>
      <c r="V113" s="372">
        <v>8.4901952181027807E-2</v>
      </c>
      <c r="W113" s="372">
        <v>8.3911207505615398E-2</v>
      </c>
      <c r="X113" s="372">
        <v>0.15532102598619055</v>
      </c>
      <c r="Y113" s="371">
        <f t="shared" si="33"/>
        <v>9.729367031983896E-2</v>
      </c>
      <c r="Z113" s="371">
        <f t="shared" si="34"/>
        <v>9.729367031983896E-2</v>
      </c>
      <c r="AA113" s="372">
        <v>4.8744633026094074E-2</v>
      </c>
      <c r="AB113" s="372">
        <v>0</v>
      </c>
      <c r="AC113" s="372">
        <v>7.8220290609759768E-2</v>
      </c>
      <c r="AD113" s="371">
        <f t="shared" si="35"/>
        <v>7.8220290609759768E-2</v>
      </c>
      <c r="AE113" s="374">
        <f t="shared" si="36"/>
        <v>1.0908001130212858E-2</v>
      </c>
      <c r="AF113" s="374">
        <f t="shared" si="37"/>
        <v>6.3813832579298624E-2</v>
      </c>
      <c r="AG113" s="374">
        <f t="shared" si="38"/>
        <v>9.729367031983896E-2</v>
      </c>
      <c r="AH113" s="372">
        <v>2.9748352299841907E-2</v>
      </c>
      <c r="AI113" s="372">
        <v>1.0908001130212858E-2</v>
      </c>
    </row>
    <row r="114" spans="2:35" x14ac:dyDescent="0.25">
      <c r="B114" s="46" t="s">
        <v>94</v>
      </c>
      <c r="C114" s="46" t="s">
        <v>125</v>
      </c>
      <c r="D114" s="46" t="s">
        <v>19</v>
      </c>
      <c r="E114" s="46" t="s">
        <v>105</v>
      </c>
      <c r="F114" s="46" t="s">
        <v>174</v>
      </c>
      <c r="G114" s="46"/>
      <c r="H114" s="371">
        <f t="shared" si="27"/>
        <v>0.2306846301897168</v>
      </c>
      <c r="I114" s="372">
        <v>0.2306846301897168</v>
      </c>
      <c r="J114" s="371">
        <f t="shared" si="28"/>
        <v>0.2306846301897168</v>
      </c>
      <c r="K114" s="371">
        <f t="shared" si="29"/>
        <v>0.2306846301897168</v>
      </c>
      <c r="L114" s="372">
        <v>0.10527087572362832</v>
      </c>
      <c r="M114" s="373">
        <v>0.1</v>
      </c>
      <c r="N114" s="371">
        <f t="shared" si="30"/>
        <v>0.1</v>
      </c>
      <c r="O114" s="371">
        <f t="shared" si="31"/>
        <v>0.1</v>
      </c>
      <c r="P114" s="372">
        <v>6.2422132187816677E-2</v>
      </c>
      <c r="Q114" s="372">
        <v>8.2803076458254826E-2</v>
      </c>
      <c r="R114" s="372">
        <v>0.16285731951113952</v>
      </c>
      <c r="S114" s="372">
        <v>7.8868246475581938E-2</v>
      </c>
      <c r="T114" s="373">
        <v>1.9835857983451142E-2</v>
      </c>
      <c r="U114" s="372">
        <v>9.3838359791260567E-2</v>
      </c>
      <c r="V114" s="372">
        <v>1.9835857983451142E-2</v>
      </c>
      <c r="W114" s="372">
        <v>7.4938738207100272E-2</v>
      </c>
      <c r="X114" s="372">
        <v>5.5002066808841295E-2</v>
      </c>
      <c r="Y114" s="371">
        <f t="shared" si="33"/>
        <v>0.1</v>
      </c>
      <c r="Z114" s="371">
        <f t="shared" si="34"/>
        <v>0.1</v>
      </c>
      <c r="AA114" s="376">
        <v>0.1</v>
      </c>
      <c r="AB114" s="376">
        <v>0.26613525327847776</v>
      </c>
      <c r="AC114" s="376">
        <v>9.0347389819645713E-2</v>
      </c>
      <c r="AD114" s="371">
        <f t="shared" si="35"/>
        <v>9.0347389819645713E-2</v>
      </c>
      <c r="AE114" s="374">
        <f t="shared" si="36"/>
        <v>5.8346096462601298E-2</v>
      </c>
      <c r="AF114" s="374">
        <f t="shared" si="37"/>
        <v>0.2306846301897168</v>
      </c>
      <c r="AG114" s="374">
        <f t="shared" si="38"/>
        <v>0.1</v>
      </c>
      <c r="AH114" s="376">
        <v>4.5660128720550371E-2</v>
      </c>
      <c r="AI114" s="376">
        <v>5.8346096462601298E-2</v>
      </c>
    </row>
    <row r="115" spans="2:35" x14ac:dyDescent="0.25">
      <c r="B115" s="46" t="s">
        <v>148</v>
      </c>
      <c r="C115" s="46" t="s">
        <v>173</v>
      </c>
      <c r="D115" s="46" t="s">
        <v>19</v>
      </c>
      <c r="E115" s="46" t="s">
        <v>105</v>
      </c>
      <c r="F115" s="46" t="s">
        <v>174</v>
      </c>
      <c r="G115" s="46"/>
      <c r="H115" s="371">
        <f>I115</f>
        <v>0.67485690004249255</v>
      </c>
      <c r="I115" s="376">
        <v>0.67485690004249255</v>
      </c>
      <c r="J115" s="371">
        <f t="shared" si="28"/>
        <v>0.67485690004249255</v>
      </c>
      <c r="K115" s="371">
        <f t="shared" si="29"/>
        <v>0.67485690004249255</v>
      </c>
      <c r="L115" s="376">
        <v>0.43313578543014081</v>
      </c>
      <c r="M115" s="369">
        <v>0.64860210243793304</v>
      </c>
      <c r="N115" s="371">
        <f t="shared" si="30"/>
        <v>0.64860210243793304</v>
      </c>
      <c r="O115" s="371">
        <f t="shared" si="31"/>
        <v>0.64860210243793304</v>
      </c>
      <c r="P115" s="376">
        <v>0.55033627269186725</v>
      </c>
      <c r="Q115" s="376">
        <v>0.23179847969972497</v>
      </c>
      <c r="R115" s="376">
        <v>0.6683497866902991</v>
      </c>
      <c r="S115" s="376">
        <v>0.38526587675132118</v>
      </c>
      <c r="T115" s="369">
        <v>0.67537033364737542</v>
      </c>
      <c r="U115" s="376">
        <v>0.34081365849735085</v>
      </c>
      <c r="V115" s="376">
        <v>0.67537033364737542</v>
      </c>
      <c r="W115" s="376">
        <v>0.5416656515955669</v>
      </c>
      <c r="X115" s="376">
        <v>0.56640205727741688</v>
      </c>
      <c r="Y115" s="371">
        <f t="shared" si="33"/>
        <v>0.64860210243793304</v>
      </c>
      <c r="Z115" s="371">
        <f t="shared" si="34"/>
        <v>0.64860210243793304</v>
      </c>
      <c r="AA115" s="376">
        <v>0.56154176970218306</v>
      </c>
      <c r="AB115" s="376">
        <v>0.51822212745141072</v>
      </c>
      <c r="AC115" s="376">
        <v>0.53085350343985027</v>
      </c>
      <c r="AD115" s="371">
        <f t="shared" si="35"/>
        <v>0.53085350343985027</v>
      </c>
      <c r="AE115" s="374">
        <f t="shared" si="36"/>
        <v>0.49374917652112255</v>
      </c>
      <c r="AF115" s="374">
        <f t="shared" si="37"/>
        <v>0.67485690004249255</v>
      </c>
      <c r="AG115" s="374">
        <f t="shared" si="38"/>
        <v>0.64860210243793304</v>
      </c>
      <c r="AH115" s="376">
        <v>0.63838426586862751</v>
      </c>
      <c r="AI115" s="376">
        <v>0.49374917652112255</v>
      </c>
    </row>
    <row r="116" spans="2:35" x14ac:dyDescent="0.25">
      <c r="B116" s="46" t="s">
        <v>169</v>
      </c>
      <c r="C116" s="46" t="s">
        <v>120</v>
      </c>
      <c r="D116" s="46" t="s">
        <v>19</v>
      </c>
      <c r="E116" s="46" t="s">
        <v>105</v>
      </c>
      <c r="F116" s="46" t="s">
        <v>174</v>
      </c>
      <c r="G116" s="46"/>
      <c r="H116" s="371">
        <f t="shared" si="27"/>
        <v>6.7738145824480728E-3</v>
      </c>
      <c r="I116" s="376">
        <v>6.7738145824480728E-3</v>
      </c>
      <c r="J116" s="371">
        <f t="shared" si="28"/>
        <v>6.7738145824480728E-3</v>
      </c>
      <c r="K116" s="371">
        <f t="shared" si="29"/>
        <v>6.7738145824480728E-3</v>
      </c>
      <c r="L116" s="376">
        <v>0</v>
      </c>
      <c r="M116" s="369">
        <v>0</v>
      </c>
      <c r="N116" s="371">
        <f t="shared" si="30"/>
        <v>0</v>
      </c>
      <c r="O116" s="371">
        <f t="shared" si="31"/>
        <v>0</v>
      </c>
      <c r="P116" s="376">
        <v>0</v>
      </c>
      <c r="Q116" s="376">
        <v>0</v>
      </c>
      <c r="R116" s="376">
        <v>2.6998619154592857E-2</v>
      </c>
      <c r="S116" s="376">
        <v>0</v>
      </c>
      <c r="T116" s="369">
        <v>8.2957726311440085E-3</v>
      </c>
      <c r="U116" s="376">
        <v>0.25432576362596415</v>
      </c>
      <c r="V116" s="376">
        <v>8.2957726311440085E-3</v>
      </c>
      <c r="W116" s="376">
        <v>2.4468866658666901E-2</v>
      </c>
      <c r="X116" s="376">
        <v>1.4350173140881875E-2</v>
      </c>
      <c r="Y116" s="371">
        <f t="shared" si="33"/>
        <v>0</v>
      </c>
      <c r="Z116" s="371">
        <f t="shared" si="34"/>
        <v>0</v>
      </c>
      <c r="AA116" s="376">
        <v>0</v>
      </c>
      <c r="AB116" s="376">
        <v>0</v>
      </c>
      <c r="AC116" s="376">
        <v>0.1143261999419181</v>
      </c>
      <c r="AD116" s="371">
        <f t="shared" si="35"/>
        <v>0.1143261999419181</v>
      </c>
      <c r="AE116" s="374">
        <f t="shared" si="36"/>
        <v>1.8021335433315539E-2</v>
      </c>
      <c r="AF116" s="374">
        <f t="shared" si="37"/>
        <v>6.7738145824480728E-3</v>
      </c>
      <c r="AG116" s="374">
        <f t="shared" si="38"/>
        <v>0</v>
      </c>
      <c r="AH116" s="376">
        <v>4.1037138349695433E-2</v>
      </c>
      <c r="AI116" s="376">
        <v>1.8021335433315539E-2</v>
      </c>
    </row>
    <row r="117" spans="2:35" x14ac:dyDescent="0.25">
      <c r="B117" s="339"/>
      <c r="C117" s="340" t="s">
        <v>176</v>
      </c>
      <c r="D117" s="339"/>
      <c r="E117" s="339"/>
      <c r="F117" s="340"/>
      <c r="G117" s="340"/>
      <c r="H117" s="338">
        <f>SUM(H107,H110,H113,H114,H116,H115)</f>
        <v>1</v>
      </c>
      <c r="I117" s="338">
        <f>SUM(I107,I110,I113,I114,I116,I115)</f>
        <v>1</v>
      </c>
      <c r="J117" s="338">
        <f>SUM(J107,J110,J113,J114,J116,J115)</f>
        <v>1</v>
      </c>
      <c r="K117" s="338">
        <f>SUM(K107,K110,K113,K114,K116,K115)</f>
        <v>1</v>
      </c>
      <c r="L117" s="338">
        <f>SUM(L107,L110,L113,L114,L116,L115)</f>
        <v>1</v>
      </c>
      <c r="M117" s="510">
        <f>SUM(M107,M110,M113:M116)</f>
        <v>0.99999999999999967</v>
      </c>
      <c r="N117" s="338">
        <f t="shared" ref="N117:AI117" si="106">SUM(N107,N110,N113,N114,N116,N115)</f>
        <v>0.99999999999999967</v>
      </c>
      <c r="O117" s="338">
        <f t="shared" si="106"/>
        <v>0.99999999999999967</v>
      </c>
      <c r="P117" s="338">
        <f t="shared" si="106"/>
        <v>1</v>
      </c>
      <c r="Q117" s="338">
        <f t="shared" si="106"/>
        <v>1</v>
      </c>
      <c r="R117" s="338">
        <f t="shared" si="106"/>
        <v>1</v>
      </c>
      <c r="S117" s="338">
        <f t="shared" si="106"/>
        <v>0.99999999999999989</v>
      </c>
      <c r="T117" s="338">
        <f t="shared" si="106"/>
        <v>1</v>
      </c>
      <c r="U117" s="338">
        <f t="shared" si="106"/>
        <v>1</v>
      </c>
      <c r="V117" s="338">
        <f t="shared" si="106"/>
        <v>1</v>
      </c>
      <c r="W117" s="338">
        <f t="shared" si="106"/>
        <v>1</v>
      </c>
      <c r="X117" s="338">
        <f t="shared" si="106"/>
        <v>1</v>
      </c>
      <c r="Y117" s="338">
        <f t="shared" si="106"/>
        <v>0.99999999999999967</v>
      </c>
      <c r="Z117" s="338">
        <f t="shared" si="106"/>
        <v>0.99999999999999967</v>
      </c>
      <c r="AA117" s="338">
        <f t="shared" si="106"/>
        <v>1.0000000000000004</v>
      </c>
      <c r="AB117" s="338">
        <f t="shared" si="106"/>
        <v>1</v>
      </c>
      <c r="AC117" s="338">
        <f t="shared" si="106"/>
        <v>1</v>
      </c>
      <c r="AD117" s="338">
        <f t="shared" si="106"/>
        <v>1</v>
      </c>
      <c r="AE117" s="338">
        <f t="shared" si="106"/>
        <v>1</v>
      </c>
      <c r="AF117" s="338">
        <f t="shared" si="106"/>
        <v>1</v>
      </c>
      <c r="AG117" s="338">
        <f t="shared" si="106"/>
        <v>0.99999999999999967</v>
      </c>
      <c r="AH117" s="338">
        <f t="shared" si="106"/>
        <v>1</v>
      </c>
      <c r="AI117" s="338">
        <f t="shared" si="106"/>
        <v>1</v>
      </c>
    </row>
    <row r="118" spans="2:35" x14ac:dyDescent="0.25">
      <c r="B118" s="360" t="s">
        <v>122</v>
      </c>
      <c r="C118" s="360" t="s">
        <v>121</v>
      </c>
      <c r="D118" s="360" t="s">
        <v>458</v>
      </c>
      <c r="E118" s="360" t="s">
        <v>457</v>
      </c>
      <c r="F118" s="360" t="s">
        <v>174</v>
      </c>
      <c r="G118" s="360"/>
      <c r="H118" s="366">
        <f t="shared" si="27"/>
        <v>0.8217255080225544</v>
      </c>
      <c r="I118" s="366">
        <f>AVERAGE(L118,M118,P118,Q118,R118,S118,U118,V118,X118,AA118,AB118,AC118,AH118,AI118)</f>
        <v>0.8217255080225544</v>
      </c>
      <c r="J118" s="366">
        <f t="shared" si="28"/>
        <v>0.8217255080225544</v>
      </c>
      <c r="K118" s="366">
        <f t="shared" si="29"/>
        <v>0.8217255080225544</v>
      </c>
      <c r="L118" s="367">
        <v>0.94083812283378965</v>
      </c>
      <c r="M118" s="367">
        <v>0.76999339061467287</v>
      </c>
      <c r="N118" s="366">
        <f t="shared" si="30"/>
        <v>0.76999339061467287</v>
      </c>
      <c r="O118" s="366">
        <f t="shared" si="31"/>
        <v>0.76999339061467287</v>
      </c>
      <c r="P118" s="367">
        <v>0.40002360717658159</v>
      </c>
      <c r="Q118" s="367">
        <v>0.98931322058034654</v>
      </c>
      <c r="R118" s="367">
        <v>0.82393397524071532</v>
      </c>
      <c r="S118" s="367">
        <v>0.46632075014560626</v>
      </c>
      <c r="T118" s="366">
        <f>AVERAGE(L118,M118,P118,Q118,R118,S118,U118,V118,X118,AA118,AB118,AC118,AH118,AI118)</f>
        <v>0.8217255080225544</v>
      </c>
      <c r="U118" s="367">
        <v>0.97957893754457748</v>
      </c>
      <c r="V118" s="367">
        <v>0.85217206972335602</v>
      </c>
      <c r="W118" s="366">
        <f>AVERAGE(L118,M118,P118,Q118,R118,S118,U118,V118,X118,AA118,AB118,AC118,AH118,AI118)</f>
        <v>0.8217255080225544</v>
      </c>
      <c r="X118" s="367">
        <v>0.97396282583872484</v>
      </c>
      <c r="Y118" s="366">
        <f t="shared" si="33"/>
        <v>0.76999339061467287</v>
      </c>
      <c r="Z118" s="367">
        <v>0.76999339061467287</v>
      </c>
      <c r="AA118" s="367">
        <v>0.83881010414358514</v>
      </c>
      <c r="AB118" s="367">
        <v>0.89649530674148137</v>
      </c>
      <c r="AC118" s="367">
        <v>0.90069456215626731</v>
      </c>
      <c r="AD118" s="366">
        <f t="shared" si="35"/>
        <v>0.90069456215626731</v>
      </c>
      <c r="AE118" s="370">
        <f t="shared" si="36"/>
        <v>0.93362256375356811</v>
      </c>
      <c r="AF118" s="370">
        <f t="shared" si="37"/>
        <v>0.8217255080225544</v>
      </c>
      <c r="AG118" s="370">
        <f t="shared" si="38"/>
        <v>0.76999339061467287</v>
      </c>
      <c r="AH118" s="367">
        <v>0.73839767582248683</v>
      </c>
      <c r="AI118" s="367">
        <v>0.93362256375356811</v>
      </c>
    </row>
    <row r="119" spans="2:35" x14ac:dyDescent="0.25">
      <c r="B119" s="46" t="s">
        <v>122</v>
      </c>
      <c r="C119" s="46" t="s">
        <v>468</v>
      </c>
      <c r="D119" s="46" t="s">
        <v>458</v>
      </c>
      <c r="E119" s="46" t="s">
        <v>457</v>
      </c>
      <c r="F119" s="46" t="s">
        <v>174</v>
      </c>
      <c r="G119" s="46"/>
      <c r="H119" s="336">
        <f t="shared" ref="H119:AI119" si="107">H$53*H118</f>
        <v>0.8157450259864738</v>
      </c>
      <c r="I119" s="336">
        <f t="shared" si="107"/>
        <v>0.8217255080225544</v>
      </c>
      <c r="J119" s="336">
        <f t="shared" si="107"/>
        <v>0.79468061766896192</v>
      </c>
      <c r="K119" s="336">
        <f t="shared" si="107"/>
        <v>0.8217255080225544</v>
      </c>
      <c r="L119" s="336">
        <f t="shared" si="107"/>
        <v>0.94013077764755615</v>
      </c>
      <c r="M119" s="336">
        <f t="shared" si="107"/>
        <v>0.76999339061467287</v>
      </c>
      <c r="N119" s="336">
        <f t="shared" si="107"/>
        <v>0.75505943861567715</v>
      </c>
      <c r="O119" s="336">
        <f t="shared" si="107"/>
        <v>0.76999339061467287</v>
      </c>
      <c r="P119" s="336">
        <f t="shared" si="107"/>
        <v>0.39831565066363395</v>
      </c>
      <c r="Q119" s="336">
        <f t="shared" si="107"/>
        <v>0.88950595312198877</v>
      </c>
      <c r="R119" s="336">
        <f t="shared" si="107"/>
        <v>0.82393397524071532</v>
      </c>
      <c r="S119" s="336">
        <f t="shared" si="107"/>
        <v>0.42548815291377162</v>
      </c>
      <c r="T119" s="336">
        <f t="shared" si="107"/>
        <v>0.82012343507427099</v>
      </c>
      <c r="U119" s="336">
        <f t="shared" si="107"/>
        <v>0.8413873531579058</v>
      </c>
      <c r="V119" s="336">
        <f t="shared" si="107"/>
        <v>0.84882219711533191</v>
      </c>
      <c r="W119" s="336">
        <f t="shared" si="107"/>
        <v>0.77247942736722353</v>
      </c>
      <c r="X119" s="336">
        <f t="shared" si="107"/>
        <v>0.96027943421613293</v>
      </c>
      <c r="Y119" s="336">
        <f t="shared" si="107"/>
        <v>0.76999339061467287</v>
      </c>
      <c r="Z119" s="336">
        <f t="shared" si="107"/>
        <v>0.76999339061467287</v>
      </c>
      <c r="AA119" s="336">
        <f t="shared" si="107"/>
        <v>0.81276778015790352</v>
      </c>
      <c r="AB119" s="336">
        <f t="shared" si="107"/>
        <v>0.88467289997223053</v>
      </c>
      <c r="AC119" s="336">
        <f t="shared" si="107"/>
        <v>0.8713280805206769</v>
      </c>
      <c r="AD119" s="336">
        <f t="shared" si="107"/>
        <v>0.90027005910222502</v>
      </c>
      <c r="AE119" s="336">
        <f t="shared" si="107"/>
        <v>0.91414163478643029</v>
      </c>
      <c r="AF119" s="336">
        <f t="shared" si="107"/>
        <v>0.79436191257279332</v>
      </c>
      <c r="AG119" s="336">
        <f t="shared" si="107"/>
        <v>0.7002954139883304</v>
      </c>
      <c r="AH119" s="336">
        <f t="shared" si="107"/>
        <v>0.56420345395927973</v>
      </c>
      <c r="AI119" s="336">
        <f t="shared" si="107"/>
        <v>0.70049694320881117</v>
      </c>
    </row>
    <row r="120" spans="2:35" x14ac:dyDescent="0.25">
      <c r="B120" s="46" t="s">
        <v>122</v>
      </c>
      <c r="C120" s="46" t="s">
        <v>469</v>
      </c>
      <c r="D120" s="46" t="s">
        <v>458</v>
      </c>
      <c r="E120" s="46" t="s">
        <v>457</v>
      </c>
      <c r="F120" s="46" t="s">
        <v>174</v>
      </c>
      <c r="G120" s="46"/>
      <c r="H120" s="336">
        <f>H118-H119</f>
        <v>5.9804820360805921E-3</v>
      </c>
      <c r="I120" s="336">
        <f t="shared" ref="I120" si="108">I118-I119</f>
        <v>0</v>
      </c>
      <c r="J120" s="336">
        <f>J118-J119</f>
        <v>2.7044890353592477E-2</v>
      </c>
      <c r="K120" s="336">
        <f>K118-K119</f>
        <v>0</v>
      </c>
      <c r="L120" s="336">
        <f t="shared" ref="L120:M120" si="109">L118-L119</f>
        <v>7.0734518623349896E-4</v>
      </c>
      <c r="M120" s="336">
        <f t="shared" si="109"/>
        <v>0</v>
      </c>
      <c r="N120" s="336">
        <f>N118-N119</f>
        <v>1.493395199899572E-2</v>
      </c>
      <c r="O120" s="336">
        <f>O118-O119</f>
        <v>0</v>
      </c>
      <c r="P120" s="336">
        <f t="shared" ref="P120:R120" si="110">P118-P119</f>
        <v>1.7079565129476393E-3</v>
      </c>
      <c r="Q120" s="336">
        <f t="shared" si="110"/>
        <v>9.9807267458357773E-2</v>
      </c>
      <c r="R120" s="336">
        <f t="shared" si="110"/>
        <v>0</v>
      </c>
      <c r="S120" s="336">
        <f>S118-S119</f>
        <v>4.0832597231834633E-2</v>
      </c>
      <c r="T120" s="336">
        <f t="shared" ref="T120:X120" si="111">T118-T119</f>
        <v>1.6020729482834062E-3</v>
      </c>
      <c r="U120" s="336">
        <f t="shared" si="111"/>
        <v>0.13819158438667167</v>
      </c>
      <c r="V120" s="336">
        <f t="shared" si="111"/>
        <v>3.349872608024107E-3</v>
      </c>
      <c r="W120" s="336">
        <f t="shared" si="111"/>
        <v>4.9246080655330871E-2</v>
      </c>
      <c r="X120" s="336">
        <f t="shared" si="111"/>
        <v>1.3683391622591912E-2</v>
      </c>
      <c r="Y120" s="336">
        <f>Y118-Y119</f>
        <v>0</v>
      </c>
      <c r="Z120" s="336">
        <f>Z118-Z119</f>
        <v>0</v>
      </c>
      <c r="AA120" s="336">
        <f t="shared" ref="AA120:AC120" si="112">AA118-AA119</f>
        <v>2.6042323985681626E-2</v>
      </c>
      <c r="AB120" s="336">
        <f t="shared" si="112"/>
        <v>1.1822406769250837E-2</v>
      </c>
      <c r="AC120" s="336">
        <f t="shared" si="112"/>
        <v>2.9366481635590413E-2</v>
      </c>
      <c r="AD120" s="336">
        <f>AD118-AD119</f>
        <v>4.2450305404229116E-4</v>
      </c>
      <c r="AE120" s="336">
        <f>AE118-AE119</f>
        <v>1.9480928967137823E-2</v>
      </c>
      <c r="AF120" s="336">
        <f>AF118-AF119</f>
        <v>2.736359544976108E-2</v>
      </c>
      <c r="AG120" s="336">
        <f>AG118-AG119</f>
        <v>6.9697976626342473E-2</v>
      </c>
      <c r="AH120" s="336">
        <f>AH118-AH119</f>
        <v>0.1741942218632071</v>
      </c>
      <c r="AI120" s="336">
        <f t="shared" ref="AI120" si="113">AI118-AI119</f>
        <v>0.23312562054475694</v>
      </c>
    </row>
    <row r="121" spans="2:35" x14ac:dyDescent="0.25">
      <c r="B121" s="360" t="s">
        <v>124</v>
      </c>
      <c r="C121" s="360" t="s">
        <v>123</v>
      </c>
      <c r="D121" s="360" t="s">
        <v>458</v>
      </c>
      <c r="E121" s="360" t="s">
        <v>457</v>
      </c>
      <c r="F121" s="360" t="s">
        <v>174</v>
      </c>
      <c r="G121" s="360"/>
      <c r="H121" s="371">
        <f t="shared" si="27"/>
        <v>0</v>
      </c>
      <c r="I121" s="371">
        <f t="shared" ref="I121:I138" si="114">AVERAGE(L121,M121,P121,Q121,R121,S121,U121,V121,X121,AA121,AB121,AC121,AH121,AI121)</f>
        <v>0</v>
      </c>
      <c r="J121" s="371">
        <f t="shared" si="28"/>
        <v>0</v>
      </c>
      <c r="K121" s="371">
        <f t="shared" si="29"/>
        <v>0</v>
      </c>
      <c r="L121" s="372">
        <v>0</v>
      </c>
      <c r="M121" s="372">
        <v>0</v>
      </c>
      <c r="N121" s="371">
        <f t="shared" si="30"/>
        <v>0</v>
      </c>
      <c r="O121" s="371">
        <f t="shared" si="31"/>
        <v>0</v>
      </c>
      <c r="P121" s="372">
        <v>0</v>
      </c>
      <c r="Q121" s="372">
        <v>0</v>
      </c>
      <c r="R121" s="372">
        <v>0</v>
      </c>
      <c r="S121" s="372">
        <v>0</v>
      </c>
      <c r="T121" s="371">
        <f t="shared" ref="T121:T138" si="115">AVERAGE(L121,M121,P121,Q121,R121,S121,U121,V121,X121,AA121,AB121,AC121,AH121,AI121)</f>
        <v>0</v>
      </c>
      <c r="U121" s="372">
        <v>0</v>
      </c>
      <c r="V121" s="373">
        <v>0</v>
      </c>
      <c r="W121" s="371">
        <f t="shared" ref="W121:W138" si="116">AVERAGE(L121,M121,P121,Q121,R121,S121,U121,V121,X121,AA121,AB121,AC121,AH121,AI121)</f>
        <v>0</v>
      </c>
      <c r="X121" s="372">
        <v>0</v>
      </c>
      <c r="Y121" s="371">
        <f t="shared" si="33"/>
        <v>0</v>
      </c>
      <c r="Z121" s="371">
        <f t="shared" si="34"/>
        <v>0</v>
      </c>
      <c r="AA121" s="372">
        <v>0</v>
      </c>
      <c r="AB121" s="372">
        <v>0</v>
      </c>
      <c r="AC121" s="372">
        <v>0</v>
      </c>
      <c r="AD121" s="371">
        <f t="shared" si="35"/>
        <v>0</v>
      </c>
      <c r="AE121" s="374">
        <f t="shared" si="36"/>
        <v>0</v>
      </c>
      <c r="AF121" s="374">
        <f t="shared" si="37"/>
        <v>0</v>
      </c>
      <c r="AG121" s="374">
        <f t="shared" si="38"/>
        <v>0</v>
      </c>
      <c r="AH121" s="372">
        <v>0</v>
      </c>
      <c r="AI121" s="372">
        <v>0</v>
      </c>
    </row>
    <row r="122" spans="2:35" x14ac:dyDescent="0.25">
      <c r="B122" s="46" t="s">
        <v>124</v>
      </c>
      <c r="C122" s="46" t="s">
        <v>470</v>
      </c>
      <c r="D122" s="46" t="s">
        <v>458</v>
      </c>
      <c r="E122" s="46" t="s">
        <v>457</v>
      </c>
      <c r="F122" s="46" t="s">
        <v>174</v>
      </c>
      <c r="G122" s="46"/>
      <c r="H122" s="337">
        <f t="shared" ref="H122:AI122" si="117">H121*H$54</f>
        <v>0</v>
      </c>
      <c r="I122" s="337">
        <f t="shared" si="117"/>
        <v>0</v>
      </c>
      <c r="J122" s="337">
        <f t="shared" si="117"/>
        <v>0</v>
      </c>
      <c r="K122" s="337">
        <f t="shared" si="117"/>
        <v>0</v>
      </c>
      <c r="L122" s="337">
        <f t="shared" si="117"/>
        <v>0</v>
      </c>
      <c r="M122" s="337">
        <f t="shared" si="117"/>
        <v>0</v>
      </c>
      <c r="N122" s="337">
        <f t="shared" si="117"/>
        <v>0</v>
      </c>
      <c r="O122" s="337">
        <f t="shared" si="117"/>
        <v>0</v>
      </c>
      <c r="P122" s="337">
        <f t="shared" si="117"/>
        <v>0</v>
      </c>
      <c r="Q122" s="337">
        <f t="shared" si="117"/>
        <v>0</v>
      </c>
      <c r="R122" s="337">
        <f t="shared" si="117"/>
        <v>0</v>
      </c>
      <c r="S122" s="337">
        <f t="shared" si="117"/>
        <v>0</v>
      </c>
      <c r="T122" s="337">
        <f t="shared" si="117"/>
        <v>0</v>
      </c>
      <c r="U122" s="337">
        <f t="shared" si="117"/>
        <v>0</v>
      </c>
      <c r="V122" s="337">
        <f t="shared" si="117"/>
        <v>0</v>
      </c>
      <c r="W122" s="337">
        <f t="shared" si="117"/>
        <v>0</v>
      </c>
      <c r="X122" s="337">
        <f t="shared" si="117"/>
        <v>0</v>
      </c>
      <c r="Y122" s="337">
        <f t="shared" si="117"/>
        <v>0</v>
      </c>
      <c r="Z122" s="337">
        <f t="shared" si="117"/>
        <v>0</v>
      </c>
      <c r="AA122" s="337">
        <f t="shared" si="117"/>
        <v>0</v>
      </c>
      <c r="AB122" s="337">
        <f t="shared" si="117"/>
        <v>0</v>
      </c>
      <c r="AC122" s="337">
        <f t="shared" si="117"/>
        <v>0</v>
      </c>
      <c r="AD122" s="337">
        <f t="shared" si="117"/>
        <v>0</v>
      </c>
      <c r="AE122" s="337">
        <f t="shared" si="117"/>
        <v>0</v>
      </c>
      <c r="AF122" s="337">
        <f t="shared" si="117"/>
        <v>0</v>
      </c>
      <c r="AG122" s="337">
        <f t="shared" si="117"/>
        <v>0</v>
      </c>
      <c r="AH122" s="337">
        <f t="shared" si="117"/>
        <v>0</v>
      </c>
      <c r="AI122" s="337">
        <f t="shared" si="117"/>
        <v>0</v>
      </c>
    </row>
    <row r="123" spans="2:35" x14ac:dyDescent="0.25">
      <c r="B123" s="46" t="s">
        <v>124</v>
      </c>
      <c r="C123" s="46" t="s">
        <v>471</v>
      </c>
      <c r="D123" s="46" t="s">
        <v>458</v>
      </c>
      <c r="E123" s="46" t="s">
        <v>457</v>
      </c>
      <c r="F123" s="46" t="s">
        <v>174</v>
      </c>
      <c r="G123" s="46"/>
      <c r="H123" s="336">
        <f>H121-H122</f>
        <v>0</v>
      </c>
      <c r="I123" s="336">
        <f t="shared" ref="I123:AI123" si="118">I121-I122</f>
        <v>0</v>
      </c>
      <c r="J123" s="336">
        <f t="shared" si="118"/>
        <v>0</v>
      </c>
      <c r="K123" s="336">
        <f t="shared" si="118"/>
        <v>0</v>
      </c>
      <c r="L123" s="336">
        <f t="shared" si="118"/>
        <v>0</v>
      </c>
      <c r="M123" s="336">
        <f t="shared" si="118"/>
        <v>0</v>
      </c>
      <c r="N123" s="336">
        <f t="shared" si="118"/>
        <v>0</v>
      </c>
      <c r="O123" s="336">
        <f t="shared" si="118"/>
        <v>0</v>
      </c>
      <c r="P123" s="336">
        <f t="shared" si="118"/>
        <v>0</v>
      </c>
      <c r="Q123" s="336">
        <f t="shared" si="118"/>
        <v>0</v>
      </c>
      <c r="R123" s="336">
        <f t="shared" si="118"/>
        <v>0</v>
      </c>
      <c r="S123" s="336">
        <f t="shared" si="118"/>
        <v>0</v>
      </c>
      <c r="T123" s="336">
        <f t="shared" si="118"/>
        <v>0</v>
      </c>
      <c r="U123" s="336">
        <f t="shared" si="118"/>
        <v>0</v>
      </c>
      <c r="V123" s="336">
        <f t="shared" si="118"/>
        <v>0</v>
      </c>
      <c r="W123" s="336">
        <f t="shared" si="118"/>
        <v>0</v>
      </c>
      <c r="X123" s="336">
        <f t="shared" si="118"/>
        <v>0</v>
      </c>
      <c r="Y123" s="336">
        <f t="shared" si="118"/>
        <v>0</v>
      </c>
      <c r="Z123" s="336">
        <f t="shared" si="118"/>
        <v>0</v>
      </c>
      <c r="AA123" s="336">
        <f t="shared" si="118"/>
        <v>0</v>
      </c>
      <c r="AB123" s="336">
        <f t="shared" si="118"/>
        <v>0</v>
      </c>
      <c r="AC123" s="336">
        <f t="shared" si="118"/>
        <v>0</v>
      </c>
      <c r="AD123" s="336">
        <f t="shared" si="118"/>
        <v>0</v>
      </c>
      <c r="AE123" s="336">
        <f t="shared" si="118"/>
        <v>0</v>
      </c>
      <c r="AF123" s="336">
        <f t="shared" si="118"/>
        <v>0</v>
      </c>
      <c r="AG123" s="336">
        <f t="shared" si="118"/>
        <v>0</v>
      </c>
      <c r="AH123" s="336">
        <f t="shared" si="118"/>
        <v>0</v>
      </c>
      <c r="AI123" s="336">
        <f t="shared" si="118"/>
        <v>0</v>
      </c>
    </row>
    <row r="124" spans="2:35" x14ac:dyDescent="0.25">
      <c r="B124" s="46" t="s">
        <v>119</v>
      </c>
      <c r="C124" s="46" t="s">
        <v>118</v>
      </c>
      <c r="D124" s="46" t="s">
        <v>458</v>
      </c>
      <c r="E124" s="46" t="s">
        <v>457</v>
      </c>
      <c r="F124" s="46" t="s">
        <v>174</v>
      </c>
      <c r="G124" s="46"/>
      <c r="H124" s="371">
        <f t="shared" si="27"/>
        <v>0.16482428195633478</v>
      </c>
      <c r="I124" s="371">
        <f t="shared" si="114"/>
        <v>0.16482428195633478</v>
      </c>
      <c r="J124" s="371">
        <f t="shared" si="28"/>
        <v>0.16482428195633478</v>
      </c>
      <c r="K124" s="371">
        <f t="shared" si="29"/>
        <v>0.16482428195633478</v>
      </c>
      <c r="L124" s="372">
        <v>5.916187716621036E-2</v>
      </c>
      <c r="M124" s="372">
        <v>0.23000660938532716</v>
      </c>
      <c r="N124" s="371">
        <f t="shared" si="30"/>
        <v>0.23000660938532716</v>
      </c>
      <c r="O124" s="371">
        <f t="shared" si="31"/>
        <v>0.23000660938532716</v>
      </c>
      <c r="P124" s="372">
        <v>0.59997639282341841</v>
      </c>
      <c r="Q124" s="372">
        <v>1.0686779419653429E-2</v>
      </c>
      <c r="R124" s="372">
        <v>6.5313285585542863E-2</v>
      </c>
      <c r="S124" s="372">
        <v>0.53367924985439374</v>
      </c>
      <c r="T124" s="371">
        <f t="shared" si="115"/>
        <v>0.16482428195633478</v>
      </c>
      <c r="U124" s="372">
        <v>2.0421062455422544E-2</v>
      </c>
      <c r="V124" s="373">
        <v>0.14782793027664395</v>
      </c>
      <c r="W124" s="371">
        <f t="shared" si="116"/>
        <v>0.16482428195633478</v>
      </c>
      <c r="X124" s="372">
        <v>1.8993089934668066E-2</v>
      </c>
      <c r="Y124" s="371">
        <f t="shared" si="33"/>
        <v>0.23000660938532716</v>
      </c>
      <c r="Z124" s="371">
        <f t="shared" si="34"/>
        <v>0.23000660938532716</v>
      </c>
      <c r="AA124" s="372">
        <v>0.1611898958564148</v>
      </c>
      <c r="AB124" s="372">
        <v>0.10350469325851858</v>
      </c>
      <c r="AC124" s="372">
        <v>7.476805381682429E-2</v>
      </c>
      <c r="AD124" s="371">
        <f t="shared" si="35"/>
        <v>7.476805381682429E-2</v>
      </c>
      <c r="AE124" s="374">
        <f t="shared" si="36"/>
        <v>2.0408703378135693E-2</v>
      </c>
      <c r="AF124" s="374">
        <f t="shared" si="37"/>
        <v>0.16482428195633478</v>
      </c>
      <c r="AG124" s="374">
        <f t="shared" si="38"/>
        <v>0.23000660938532716</v>
      </c>
      <c r="AH124" s="372">
        <v>0.26160232417751322</v>
      </c>
      <c r="AI124" s="372">
        <v>2.0408703378135693E-2</v>
      </c>
    </row>
    <row r="125" spans="2:35" x14ac:dyDescent="0.25">
      <c r="B125" s="46" t="s">
        <v>94</v>
      </c>
      <c r="C125" s="46" t="s">
        <v>125</v>
      </c>
      <c r="D125" s="46" t="s">
        <v>458</v>
      </c>
      <c r="E125" s="46" t="s">
        <v>457</v>
      </c>
      <c r="F125" s="46" t="s">
        <v>174</v>
      </c>
      <c r="G125" s="46"/>
      <c r="H125" s="371">
        <f t="shared" si="27"/>
        <v>0</v>
      </c>
      <c r="I125" s="371">
        <f t="shared" si="114"/>
        <v>0</v>
      </c>
      <c r="J125" s="371">
        <f t="shared" si="28"/>
        <v>0</v>
      </c>
      <c r="K125" s="371">
        <f t="shared" si="29"/>
        <v>0</v>
      </c>
      <c r="L125" s="372">
        <v>0</v>
      </c>
      <c r="M125" s="372">
        <v>0</v>
      </c>
      <c r="N125" s="371">
        <f t="shared" si="30"/>
        <v>0</v>
      </c>
      <c r="O125" s="371">
        <f t="shared" si="31"/>
        <v>0</v>
      </c>
      <c r="P125" s="372">
        <v>0</v>
      </c>
      <c r="Q125" s="372">
        <v>0</v>
      </c>
      <c r="R125" s="372">
        <v>0</v>
      </c>
      <c r="S125" s="372">
        <v>0</v>
      </c>
      <c r="T125" s="371">
        <f t="shared" si="115"/>
        <v>0</v>
      </c>
      <c r="U125" s="372">
        <v>0</v>
      </c>
      <c r="V125" s="373">
        <v>0</v>
      </c>
      <c r="W125" s="371">
        <f t="shared" si="116"/>
        <v>0</v>
      </c>
      <c r="X125" s="372">
        <v>0</v>
      </c>
      <c r="Y125" s="371">
        <f t="shared" si="33"/>
        <v>0</v>
      </c>
      <c r="Z125" s="371">
        <f t="shared" si="34"/>
        <v>0</v>
      </c>
      <c r="AA125" s="376">
        <v>0</v>
      </c>
      <c r="AB125" s="376">
        <v>0</v>
      </c>
      <c r="AC125" s="376">
        <v>0</v>
      </c>
      <c r="AD125" s="371">
        <f t="shared" si="35"/>
        <v>0</v>
      </c>
      <c r="AE125" s="374">
        <f t="shared" si="36"/>
        <v>0</v>
      </c>
      <c r="AF125" s="374">
        <f t="shared" si="37"/>
        <v>0</v>
      </c>
      <c r="AG125" s="374">
        <f t="shared" si="38"/>
        <v>0</v>
      </c>
      <c r="AH125" s="372">
        <v>0</v>
      </c>
      <c r="AI125" s="372">
        <v>0</v>
      </c>
    </row>
    <row r="126" spans="2:35" x14ac:dyDescent="0.25">
      <c r="B126" s="46" t="s">
        <v>148</v>
      </c>
      <c r="C126" s="46" t="s">
        <v>173</v>
      </c>
      <c r="D126" s="46" t="s">
        <v>458</v>
      </c>
      <c r="E126" s="46" t="s">
        <v>457</v>
      </c>
      <c r="F126" s="46" t="s">
        <v>174</v>
      </c>
      <c r="G126" s="46"/>
      <c r="H126" s="371">
        <f t="shared" si="27"/>
        <v>0</v>
      </c>
      <c r="I126" s="371">
        <f t="shared" si="114"/>
        <v>0</v>
      </c>
      <c r="J126" s="371">
        <f t="shared" si="28"/>
        <v>0</v>
      </c>
      <c r="K126" s="371">
        <f t="shared" si="29"/>
        <v>0</v>
      </c>
      <c r="L126" s="376">
        <v>0</v>
      </c>
      <c r="M126" s="376">
        <v>0</v>
      </c>
      <c r="N126" s="371">
        <f t="shared" si="30"/>
        <v>0</v>
      </c>
      <c r="O126" s="371">
        <f t="shared" si="31"/>
        <v>0</v>
      </c>
      <c r="P126" s="372">
        <v>0</v>
      </c>
      <c r="Q126" s="372">
        <v>0</v>
      </c>
      <c r="R126" s="372">
        <v>0</v>
      </c>
      <c r="S126" s="372">
        <v>0</v>
      </c>
      <c r="T126" s="371">
        <f t="shared" si="115"/>
        <v>0</v>
      </c>
      <c r="U126" s="376">
        <v>0</v>
      </c>
      <c r="V126" s="369">
        <v>0</v>
      </c>
      <c r="W126" s="371">
        <f t="shared" si="116"/>
        <v>0</v>
      </c>
      <c r="X126" s="372">
        <v>0</v>
      </c>
      <c r="Y126" s="371">
        <f t="shared" si="33"/>
        <v>0</v>
      </c>
      <c r="Z126" s="371">
        <f t="shared" si="34"/>
        <v>0</v>
      </c>
      <c r="AA126" s="376">
        <v>0</v>
      </c>
      <c r="AB126" s="376">
        <v>0</v>
      </c>
      <c r="AC126" s="376">
        <v>0</v>
      </c>
      <c r="AD126" s="371">
        <f t="shared" si="35"/>
        <v>0</v>
      </c>
      <c r="AE126" s="374">
        <f t="shared" si="36"/>
        <v>0</v>
      </c>
      <c r="AF126" s="374">
        <f t="shared" si="37"/>
        <v>0</v>
      </c>
      <c r="AG126" s="374">
        <f t="shared" si="38"/>
        <v>0</v>
      </c>
      <c r="AH126" s="376">
        <v>0</v>
      </c>
      <c r="AI126" s="376">
        <v>0</v>
      </c>
    </row>
    <row r="127" spans="2:35" x14ac:dyDescent="0.25">
      <c r="B127" s="46" t="s">
        <v>169</v>
      </c>
      <c r="C127" s="46" t="s">
        <v>120</v>
      </c>
      <c r="D127" s="46" t="s">
        <v>458</v>
      </c>
      <c r="E127" s="46" t="s">
        <v>457</v>
      </c>
      <c r="F127" s="46" t="s">
        <v>174</v>
      </c>
      <c r="G127" s="46"/>
      <c r="H127" s="371">
        <f t="shared" si="27"/>
        <v>1.345021002111097E-2</v>
      </c>
      <c r="I127" s="371">
        <f t="shared" si="114"/>
        <v>1.345021002111097E-2</v>
      </c>
      <c r="J127" s="371">
        <f t="shared" si="28"/>
        <v>1.345021002111097E-2</v>
      </c>
      <c r="K127" s="371">
        <f t="shared" si="29"/>
        <v>1.345021002111097E-2</v>
      </c>
      <c r="L127" s="376">
        <v>0</v>
      </c>
      <c r="M127" s="376">
        <v>0</v>
      </c>
      <c r="N127" s="371">
        <f t="shared" si="30"/>
        <v>0</v>
      </c>
      <c r="O127" s="371">
        <f t="shared" si="31"/>
        <v>0</v>
      </c>
      <c r="P127" s="376">
        <v>0</v>
      </c>
      <c r="Q127" s="376">
        <v>0</v>
      </c>
      <c r="R127" s="376">
        <v>0.11075273917374188</v>
      </c>
      <c r="S127" s="376">
        <v>0</v>
      </c>
      <c r="T127" s="371">
        <f t="shared" si="115"/>
        <v>1.345021002111097E-2</v>
      </c>
      <c r="U127" s="376">
        <v>0</v>
      </c>
      <c r="V127" s="369">
        <v>0</v>
      </c>
      <c r="W127" s="371">
        <f t="shared" si="116"/>
        <v>1.345021002111097E-2</v>
      </c>
      <c r="X127" s="376">
        <v>7.0440842266070863E-3</v>
      </c>
      <c r="Y127" s="371">
        <f t="shared" si="33"/>
        <v>0</v>
      </c>
      <c r="Z127" s="371">
        <f t="shared" si="34"/>
        <v>0</v>
      </c>
      <c r="AA127" s="376">
        <v>0</v>
      </c>
      <c r="AB127" s="376">
        <v>0</v>
      </c>
      <c r="AC127" s="376">
        <v>2.4537384026908412E-2</v>
      </c>
      <c r="AD127" s="371">
        <f t="shared" si="35"/>
        <v>2.4537384026908412E-2</v>
      </c>
      <c r="AE127" s="374">
        <f t="shared" si="36"/>
        <v>4.596873286829619E-2</v>
      </c>
      <c r="AF127" s="374">
        <f t="shared" si="37"/>
        <v>1.345021002111097E-2</v>
      </c>
      <c r="AG127" s="374">
        <f t="shared" si="38"/>
        <v>0</v>
      </c>
      <c r="AH127" s="376">
        <v>0</v>
      </c>
      <c r="AI127" s="376">
        <v>4.596873286829619E-2</v>
      </c>
    </row>
    <row r="128" spans="2:35" x14ac:dyDescent="0.25">
      <c r="B128" s="339"/>
      <c r="C128" s="340" t="s">
        <v>176</v>
      </c>
      <c r="D128" s="339"/>
      <c r="E128" s="339"/>
      <c r="F128" s="340"/>
      <c r="G128" s="340"/>
      <c r="H128" s="338">
        <f t="shared" ref="H128:AI128" si="119">SUM(H118,H121,H124,H125,H127,H126)</f>
        <v>1.0000000000000002</v>
      </c>
      <c r="I128" s="338">
        <f t="shared" si="119"/>
        <v>1.0000000000000002</v>
      </c>
      <c r="J128" s="338">
        <f t="shared" si="119"/>
        <v>1.0000000000000002</v>
      </c>
      <c r="K128" s="338">
        <f t="shared" si="119"/>
        <v>1.0000000000000002</v>
      </c>
      <c r="L128" s="338">
        <f t="shared" si="119"/>
        <v>1</v>
      </c>
      <c r="M128" s="338">
        <f t="shared" si="119"/>
        <v>1</v>
      </c>
      <c r="N128" s="338">
        <f t="shared" si="119"/>
        <v>1</v>
      </c>
      <c r="O128" s="338">
        <f t="shared" si="119"/>
        <v>1</v>
      </c>
      <c r="P128" s="338">
        <f t="shared" si="119"/>
        <v>1</v>
      </c>
      <c r="Q128" s="338">
        <f t="shared" si="119"/>
        <v>1</v>
      </c>
      <c r="R128" s="338">
        <f t="shared" si="119"/>
        <v>1</v>
      </c>
      <c r="S128" s="338">
        <f t="shared" si="119"/>
        <v>1</v>
      </c>
      <c r="T128" s="338">
        <f t="shared" si="119"/>
        <v>1.0000000000000002</v>
      </c>
      <c r="U128" s="338">
        <f t="shared" si="119"/>
        <v>1</v>
      </c>
      <c r="V128" s="338">
        <f t="shared" si="119"/>
        <v>1</v>
      </c>
      <c r="W128" s="338">
        <f t="shared" si="119"/>
        <v>1.0000000000000002</v>
      </c>
      <c r="X128" s="338">
        <f t="shared" si="119"/>
        <v>1</v>
      </c>
      <c r="Y128" s="338">
        <f t="shared" si="119"/>
        <v>1</v>
      </c>
      <c r="Z128" s="338">
        <f t="shared" si="119"/>
        <v>1</v>
      </c>
      <c r="AA128" s="338">
        <f t="shared" si="119"/>
        <v>1</v>
      </c>
      <c r="AB128" s="338">
        <f t="shared" si="119"/>
        <v>1</v>
      </c>
      <c r="AC128" s="338">
        <f t="shared" si="119"/>
        <v>1</v>
      </c>
      <c r="AD128" s="338">
        <f t="shared" si="119"/>
        <v>1</v>
      </c>
      <c r="AE128" s="338">
        <f t="shared" si="119"/>
        <v>1</v>
      </c>
      <c r="AF128" s="338">
        <f t="shared" si="119"/>
        <v>1.0000000000000002</v>
      </c>
      <c r="AG128" s="338">
        <f t="shared" si="119"/>
        <v>1</v>
      </c>
      <c r="AH128" s="338">
        <f t="shared" si="119"/>
        <v>1</v>
      </c>
      <c r="AI128" s="338">
        <f t="shared" si="119"/>
        <v>1</v>
      </c>
    </row>
    <row r="129" spans="2:35" x14ac:dyDescent="0.25">
      <c r="B129" s="360" t="s">
        <v>122</v>
      </c>
      <c r="C129" s="360" t="s">
        <v>121</v>
      </c>
      <c r="D129" s="360" t="s">
        <v>93</v>
      </c>
      <c r="E129" s="360" t="s">
        <v>106</v>
      </c>
      <c r="F129" s="360" t="s">
        <v>174</v>
      </c>
      <c r="G129" s="360"/>
      <c r="H129" s="366">
        <f t="shared" si="27"/>
        <v>0.8217255080225544</v>
      </c>
      <c r="I129" s="366">
        <f t="shared" si="114"/>
        <v>0.8217255080225544</v>
      </c>
      <c r="J129" s="366">
        <f t="shared" si="28"/>
        <v>0.8217255080225544</v>
      </c>
      <c r="K129" s="366">
        <f t="shared" si="29"/>
        <v>0.8217255080225544</v>
      </c>
      <c r="L129" s="367">
        <v>0.94083812283378965</v>
      </c>
      <c r="M129" s="367">
        <v>0.76999339061467287</v>
      </c>
      <c r="N129" s="366">
        <f t="shared" si="30"/>
        <v>0.76999339061467287</v>
      </c>
      <c r="O129" s="366">
        <f t="shared" si="31"/>
        <v>0.76999339061467287</v>
      </c>
      <c r="P129" s="367">
        <v>0.40002360717658159</v>
      </c>
      <c r="Q129" s="367">
        <v>0.98931322058034654</v>
      </c>
      <c r="R129" s="367">
        <v>0.82393397524071532</v>
      </c>
      <c r="S129" s="367">
        <v>0.46632075014560626</v>
      </c>
      <c r="T129" s="366">
        <f t="shared" si="115"/>
        <v>0.8217255080225544</v>
      </c>
      <c r="U129" s="367">
        <v>0.97957893754457748</v>
      </c>
      <c r="V129" s="367">
        <v>0.85217206972335602</v>
      </c>
      <c r="W129" s="366">
        <f t="shared" si="116"/>
        <v>0.8217255080225544</v>
      </c>
      <c r="X129" s="367">
        <v>0.97396282583872484</v>
      </c>
      <c r="Y129" s="366">
        <f>M129</f>
        <v>0.76999339061467287</v>
      </c>
      <c r="Z129" s="366">
        <f t="shared" si="34"/>
        <v>0.76999339061467287</v>
      </c>
      <c r="AA129" s="367">
        <v>0.83881010414358514</v>
      </c>
      <c r="AB129" s="367">
        <v>0.89649530674148137</v>
      </c>
      <c r="AC129" s="367">
        <v>0.90069456215626731</v>
      </c>
      <c r="AD129" s="366">
        <f t="shared" si="35"/>
        <v>0.90069456215626731</v>
      </c>
      <c r="AE129" s="370">
        <f t="shared" si="36"/>
        <v>0.93362256375356811</v>
      </c>
      <c r="AF129" s="370">
        <f t="shared" si="37"/>
        <v>0.8217255080225544</v>
      </c>
      <c r="AG129" s="370">
        <f t="shared" si="38"/>
        <v>0.76999339061467287</v>
      </c>
      <c r="AH129" s="367">
        <v>0.73839767582248683</v>
      </c>
      <c r="AI129" s="367">
        <v>0.93362256375356811</v>
      </c>
    </row>
    <row r="130" spans="2:35" x14ac:dyDescent="0.25">
      <c r="B130" s="46" t="s">
        <v>122</v>
      </c>
      <c r="C130" s="46" t="s">
        <v>468</v>
      </c>
      <c r="D130" s="46" t="s">
        <v>93</v>
      </c>
      <c r="E130" s="46" t="s">
        <v>106</v>
      </c>
      <c r="F130" s="46" t="s">
        <v>174</v>
      </c>
      <c r="G130" s="46"/>
      <c r="H130" s="336">
        <f t="shared" ref="H130:AI130" si="120">H$53*H129</f>
        <v>0.8157450259864738</v>
      </c>
      <c r="I130" s="336">
        <f t="shared" si="120"/>
        <v>0.8217255080225544</v>
      </c>
      <c r="J130" s="336">
        <f t="shared" si="120"/>
        <v>0.79468061766896192</v>
      </c>
      <c r="K130" s="336">
        <f t="shared" si="120"/>
        <v>0.8217255080225544</v>
      </c>
      <c r="L130" s="336">
        <f t="shared" si="120"/>
        <v>0.94013077764755615</v>
      </c>
      <c r="M130" s="336">
        <f t="shared" si="120"/>
        <v>0.76999339061467287</v>
      </c>
      <c r="N130" s="336">
        <f t="shared" si="120"/>
        <v>0.75505943861567715</v>
      </c>
      <c r="O130" s="336">
        <f t="shared" si="120"/>
        <v>0.76999339061467287</v>
      </c>
      <c r="P130" s="336">
        <f t="shared" si="120"/>
        <v>0.39831565066363395</v>
      </c>
      <c r="Q130" s="336">
        <f t="shared" si="120"/>
        <v>0.88950595312198877</v>
      </c>
      <c r="R130" s="336">
        <f t="shared" si="120"/>
        <v>0.82393397524071532</v>
      </c>
      <c r="S130" s="336">
        <f t="shared" si="120"/>
        <v>0.42548815291377162</v>
      </c>
      <c r="T130" s="336">
        <f t="shared" si="120"/>
        <v>0.82012343507427099</v>
      </c>
      <c r="U130" s="336">
        <f t="shared" si="120"/>
        <v>0.8413873531579058</v>
      </c>
      <c r="V130" s="336">
        <f t="shared" si="120"/>
        <v>0.84882219711533191</v>
      </c>
      <c r="W130" s="336">
        <f t="shared" si="120"/>
        <v>0.77247942736722353</v>
      </c>
      <c r="X130" s="336">
        <f t="shared" si="120"/>
        <v>0.96027943421613293</v>
      </c>
      <c r="Y130" s="336">
        <f t="shared" si="120"/>
        <v>0.76999339061467287</v>
      </c>
      <c r="Z130" s="336">
        <f t="shared" si="120"/>
        <v>0.76999339061467287</v>
      </c>
      <c r="AA130" s="336">
        <f t="shared" si="120"/>
        <v>0.81276778015790352</v>
      </c>
      <c r="AB130" s="336">
        <f t="shared" si="120"/>
        <v>0.88467289997223053</v>
      </c>
      <c r="AC130" s="336">
        <f t="shared" si="120"/>
        <v>0.8713280805206769</v>
      </c>
      <c r="AD130" s="336">
        <f t="shared" si="120"/>
        <v>0.90027005910222502</v>
      </c>
      <c r="AE130" s="336">
        <f t="shared" si="120"/>
        <v>0.91414163478643029</v>
      </c>
      <c r="AF130" s="336">
        <f t="shared" si="120"/>
        <v>0.79436191257279332</v>
      </c>
      <c r="AG130" s="336">
        <f t="shared" si="120"/>
        <v>0.7002954139883304</v>
      </c>
      <c r="AH130" s="336">
        <f t="shared" si="120"/>
        <v>0.56420345395927973</v>
      </c>
      <c r="AI130" s="336">
        <f t="shared" si="120"/>
        <v>0.70049694320881117</v>
      </c>
    </row>
    <row r="131" spans="2:35" x14ac:dyDescent="0.25">
      <c r="B131" s="46" t="s">
        <v>122</v>
      </c>
      <c r="C131" s="46" t="s">
        <v>469</v>
      </c>
      <c r="D131" s="46" t="s">
        <v>93</v>
      </c>
      <c r="E131" s="46" t="s">
        <v>106</v>
      </c>
      <c r="F131" s="46" t="s">
        <v>174</v>
      </c>
      <c r="G131" s="46"/>
      <c r="H131" s="336">
        <f>H129-H130</f>
        <v>5.9804820360805921E-3</v>
      </c>
      <c r="I131" s="336">
        <f t="shared" ref="I131" si="121">I129-I130</f>
        <v>0</v>
      </c>
      <c r="J131" s="336">
        <f>J129-J130</f>
        <v>2.7044890353592477E-2</v>
      </c>
      <c r="K131" s="336">
        <f>K129-K130</f>
        <v>0</v>
      </c>
      <c r="L131" s="336">
        <f t="shared" ref="L131:M131" si="122">L129-L130</f>
        <v>7.0734518623349896E-4</v>
      </c>
      <c r="M131" s="336">
        <f t="shared" si="122"/>
        <v>0</v>
      </c>
      <c r="N131" s="336">
        <f>N129-N130</f>
        <v>1.493395199899572E-2</v>
      </c>
      <c r="O131" s="336">
        <f>O129-O130</f>
        <v>0</v>
      </c>
      <c r="P131" s="336">
        <f t="shared" ref="P131:R131" si="123">P129-P130</f>
        <v>1.7079565129476393E-3</v>
      </c>
      <c r="Q131" s="336">
        <f t="shared" si="123"/>
        <v>9.9807267458357773E-2</v>
      </c>
      <c r="R131" s="336">
        <f t="shared" si="123"/>
        <v>0</v>
      </c>
      <c r="S131" s="336">
        <f>S129-S130</f>
        <v>4.0832597231834633E-2</v>
      </c>
      <c r="T131" s="336">
        <f t="shared" ref="T131:X131" si="124">T129-T130</f>
        <v>1.6020729482834062E-3</v>
      </c>
      <c r="U131" s="336">
        <f t="shared" si="124"/>
        <v>0.13819158438667167</v>
      </c>
      <c r="V131" s="336">
        <f t="shared" si="124"/>
        <v>3.349872608024107E-3</v>
      </c>
      <c r="W131" s="336">
        <f t="shared" si="124"/>
        <v>4.9246080655330871E-2</v>
      </c>
      <c r="X131" s="336">
        <f t="shared" si="124"/>
        <v>1.3683391622591912E-2</v>
      </c>
      <c r="Y131" s="336">
        <f>Y129-Y130</f>
        <v>0</v>
      </c>
      <c r="Z131" s="336">
        <f>Z129-Z130</f>
        <v>0</v>
      </c>
      <c r="AA131" s="336">
        <f t="shared" ref="AA131:AC131" si="125">AA129-AA130</f>
        <v>2.6042323985681626E-2</v>
      </c>
      <c r="AB131" s="336">
        <f t="shared" si="125"/>
        <v>1.1822406769250837E-2</v>
      </c>
      <c r="AC131" s="336">
        <f t="shared" si="125"/>
        <v>2.9366481635590413E-2</v>
      </c>
      <c r="AD131" s="336">
        <f>AD129-AD130</f>
        <v>4.2450305404229116E-4</v>
      </c>
      <c r="AE131" s="336">
        <f>AE129-AE130</f>
        <v>1.9480928967137823E-2</v>
      </c>
      <c r="AF131" s="336">
        <f>AF129-AF130</f>
        <v>2.736359544976108E-2</v>
      </c>
      <c r="AG131" s="336">
        <f>AG129-AG130</f>
        <v>6.9697976626342473E-2</v>
      </c>
      <c r="AH131" s="336">
        <f>AH129-AH130</f>
        <v>0.1741942218632071</v>
      </c>
      <c r="AI131" s="336">
        <f t="shared" ref="AI131" si="126">AI129-AI130</f>
        <v>0.23312562054475694</v>
      </c>
    </row>
    <row r="132" spans="2:35" x14ac:dyDescent="0.25">
      <c r="B132" s="360" t="s">
        <v>124</v>
      </c>
      <c r="C132" s="360" t="s">
        <v>123</v>
      </c>
      <c r="D132" s="360" t="s">
        <v>93</v>
      </c>
      <c r="E132" s="360" t="s">
        <v>106</v>
      </c>
      <c r="F132" s="360" t="s">
        <v>174</v>
      </c>
      <c r="G132" s="360"/>
      <c r="H132" s="371">
        <f t="shared" si="27"/>
        <v>0</v>
      </c>
      <c r="I132" s="371">
        <f t="shared" si="114"/>
        <v>0</v>
      </c>
      <c r="J132" s="371">
        <f t="shared" si="28"/>
        <v>0</v>
      </c>
      <c r="K132" s="371">
        <f t="shared" si="29"/>
        <v>0</v>
      </c>
      <c r="L132" s="372">
        <v>0</v>
      </c>
      <c r="M132" s="372">
        <v>0</v>
      </c>
      <c r="N132" s="371">
        <f t="shared" si="30"/>
        <v>0</v>
      </c>
      <c r="O132" s="371">
        <f t="shared" si="31"/>
        <v>0</v>
      </c>
      <c r="P132" s="372">
        <v>0</v>
      </c>
      <c r="Q132" s="372">
        <v>0</v>
      </c>
      <c r="R132" s="372">
        <v>0</v>
      </c>
      <c r="S132" s="372">
        <v>0</v>
      </c>
      <c r="T132" s="371">
        <f t="shared" si="115"/>
        <v>0</v>
      </c>
      <c r="U132" s="372">
        <v>0</v>
      </c>
      <c r="V132" s="372">
        <v>0</v>
      </c>
      <c r="W132" s="371">
        <f t="shared" si="116"/>
        <v>0</v>
      </c>
      <c r="X132" s="372">
        <v>0</v>
      </c>
      <c r="Y132" s="371">
        <f t="shared" si="33"/>
        <v>0</v>
      </c>
      <c r="Z132" s="371">
        <f t="shared" si="34"/>
        <v>0</v>
      </c>
      <c r="AA132" s="372">
        <v>0</v>
      </c>
      <c r="AB132" s="372">
        <v>0</v>
      </c>
      <c r="AC132" s="372">
        <v>0</v>
      </c>
      <c r="AD132" s="371">
        <f t="shared" si="35"/>
        <v>0</v>
      </c>
      <c r="AE132" s="374">
        <f t="shared" si="36"/>
        <v>0</v>
      </c>
      <c r="AF132" s="374">
        <f t="shared" si="37"/>
        <v>0</v>
      </c>
      <c r="AG132" s="374">
        <f t="shared" si="38"/>
        <v>0</v>
      </c>
      <c r="AH132" s="373">
        <v>0</v>
      </c>
      <c r="AI132" s="373">
        <v>0</v>
      </c>
    </row>
    <row r="133" spans="2:35" x14ac:dyDescent="0.25">
      <c r="B133" s="46" t="s">
        <v>124</v>
      </c>
      <c r="C133" s="46" t="s">
        <v>470</v>
      </c>
      <c r="D133" s="46" t="s">
        <v>93</v>
      </c>
      <c r="E133" s="46" t="s">
        <v>106</v>
      </c>
      <c r="F133" s="46" t="s">
        <v>174</v>
      </c>
      <c r="G133" s="46"/>
      <c r="H133" s="337">
        <f t="shared" ref="H133:AI133" si="127">H132*H$54</f>
        <v>0</v>
      </c>
      <c r="I133" s="337">
        <f t="shared" si="127"/>
        <v>0</v>
      </c>
      <c r="J133" s="337">
        <f t="shared" si="127"/>
        <v>0</v>
      </c>
      <c r="K133" s="337">
        <f t="shared" si="127"/>
        <v>0</v>
      </c>
      <c r="L133" s="337">
        <f t="shared" si="127"/>
        <v>0</v>
      </c>
      <c r="M133" s="337">
        <f t="shared" si="127"/>
        <v>0</v>
      </c>
      <c r="N133" s="337">
        <f t="shared" si="127"/>
        <v>0</v>
      </c>
      <c r="O133" s="337">
        <f t="shared" si="127"/>
        <v>0</v>
      </c>
      <c r="P133" s="337">
        <f t="shared" si="127"/>
        <v>0</v>
      </c>
      <c r="Q133" s="337">
        <f t="shared" si="127"/>
        <v>0</v>
      </c>
      <c r="R133" s="337">
        <f t="shared" si="127"/>
        <v>0</v>
      </c>
      <c r="S133" s="337">
        <f t="shared" si="127"/>
        <v>0</v>
      </c>
      <c r="T133" s="337">
        <f t="shared" si="127"/>
        <v>0</v>
      </c>
      <c r="U133" s="337">
        <f t="shared" si="127"/>
        <v>0</v>
      </c>
      <c r="V133" s="337">
        <f t="shared" si="127"/>
        <v>0</v>
      </c>
      <c r="W133" s="337">
        <f t="shared" si="127"/>
        <v>0</v>
      </c>
      <c r="X133" s="337">
        <f t="shared" si="127"/>
        <v>0</v>
      </c>
      <c r="Y133" s="337">
        <f t="shared" si="127"/>
        <v>0</v>
      </c>
      <c r="Z133" s="337">
        <f t="shared" si="127"/>
        <v>0</v>
      </c>
      <c r="AA133" s="337">
        <f t="shared" si="127"/>
        <v>0</v>
      </c>
      <c r="AB133" s="337">
        <f t="shared" si="127"/>
        <v>0</v>
      </c>
      <c r="AC133" s="337">
        <f t="shared" si="127"/>
        <v>0</v>
      </c>
      <c r="AD133" s="337">
        <f t="shared" si="127"/>
        <v>0</v>
      </c>
      <c r="AE133" s="337">
        <f t="shared" si="127"/>
        <v>0</v>
      </c>
      <c r="AF133" s="337">
        <f t="shared" si="127"/>
        <v>0</v>
      </c>
      <c r="AG133" s="337">
        <f t="shared" si="127"/>
        <v>0</v>
      </c>
      <c r="AH133" s="337">
        <f t="shared" si="127"/>
        <v>0</v>
      </c>
      <c r="AI133" s="337">
        <f t="shared" si="127"/>
        <v>0</v>
      </c>
    </row>
    <row r="134" spans="2:35" x14ac:dyDescent="0.25">
      <c r="B134" s="46" t="s">
        <v>124</v>
      </c>
      <c r="C134" s="46" t="s">
        <v>471</v>
      </c>
      <c r="D134" s="46" t="s">
        <v>93</v>
      </c>
      <c r="E134" s="46" t="s">
        <v>106</v>
      </c>
      <c r="F134" s="46" t="s">
        <v>174</v>
      </c>
      <c r="G134" s="46"/>
      <c r="H134" s="336">
        <f>H132-H133</f>
        <v>0</v>
      </c>
      <c r="I134" s="336">
        <f t="shared" ref="I134:AI134" si="128">I132-I133</f>
        <v>0</v>
      </c>
      <c r="J134" s="336">
        <f t="shared" si="128"/>
        <v>0</v>
      </c>
      <c r="K134" s="336">
        <f t="shared" si="128"/>
        <v>0</v>
      </c>
      <c r="L134" s="336">
        <f t="shared" si="128"/>
        <v>0</v>
      </c>
      <c r="M134" s="336">
        <f t="shared" si="128"/>
        <v>0</v>
      </c>
      <c r="N134" s="336">
        <f t="shared" si="128"/>
        <v>0</v>
      </c>
      <c r="O134" s="336">
        <f t="shared" si="128"/>
        <v>0</v>
      </c>
      <c r="P134" s="336">
        <f t="shared" si="128"/>
        <v>0</v>
      </c>
      <c r="Q134" s="336">
        <f t="shared" si="128"/>
        <v>0</v>
      </c>
      <c r="R134" s="336">
        <f t="shared" si="128"/>
        <v>0</v>
      </c>
      <c r="S134" s="336">
        <f t="shared" si="128"/>
        <v>0</v>
      </c>
      <c r="T134" s="336">
        <f t="shared" si="128"/>
        <v>0</v>
      </c>
      <c r="U134" s="336">
        <f t="shared" si="128"/>
        <v>0</v>
      </c>
      <c r="V134" s="336">
        <f t="shared" si="128"/>
        <v>0</v>
      </c>
      <c r="W134" s="336">
        <f t="shared" si="128"/>
        <v>0</v>
      </c>
      <c r="X134" s="336">
        <f t="shared" si="128"/>
        <v>0</v>
      </c>
      <c r="Y134" s="336">
        <f t="shared" si="128"/>
        <v>0</v>
      </c>
      <c r="Z134" s="336">
        <f t="shared" si="128"/>
        <v>0</v>
      </c>
      <c r="AA134" s="336">
        <f t="shared" si="128"/>
        <v>0</v>
      </c>
      <c r="AB134" s="336">
        <f t="shared" si="128"/>
        <v>0</v>
      </c>
      <c r="AC134" s="336">
        <f t="shared" si="128"/>
        <v>0</v>
      </c>
      <c r="AD134" s="336">
        <f t="shared" si="128"/>
        <v>0</v>
      </c>
      <c r="AE134" s="336">
        <f t="shared" si="128"/>
        <v>0</v>
      </c>
      <c r="AF134" s="336">
        <f t="shared" si="128"/>
        <v>0</v>
      </c>
      <c r="AG134" s="336">
        <f t="shared" si="128"/>
        <v>0</v>
      </c>
      <c r="AH134" s="336">
        <f t="shared" si="128"/>
        <v>0</v>
      </c>
      <c r="AI134" s="336">
        <f t="shared" si="128"/>
        <v>0</v>
      </c>
    </row>
    <row r="135" spans="2:35" x14ac:dyDescent="0.25">
      <c r="B135" s="46" t="s">
        <v>119</v>
      </c>
      <c r="C135" s="46" t="s">
        <v>118</v>
      </c>
      <c r="D135" s="46" t="s">
        <v>93</v>
      </c>
      <c r="E135" s="46" t="s">
        <v>106</v>
      </c>
      <c r="F135" s="46" t="s">
        <v>174</v>
      </c>
      <c r="G135" s="46"/>
      <c r="H135" s="371">
        <f t="shared" si="27"/>
        <v>0.16482428195633478</v>
      </c>
      <c r="I135" s="371">
        <f t="shared" si="114"/>
        <v>0.16482428195633478</v>
      </c>
      <c r="J135" s="371">
        <f t="shared" si="28"/>
        <v>0.16482428195633478</v>
      </c>
      <c r="K135" s="371">
        <f t="shared" si="29"/>
        <v>0.16482428195633478</v>
      </c>
      <c r="L135" s="372">
        <v>5.916187716621036E-2</v>
      </c>
      <c r="M135" s="372">
        <v>0.23000660938532716</v>
      </c>
      <c r="N135" s="371">
        <f t="shared" si="30"/>
        <v>0.23000660938532716</v>
      </c>
      <c r="O135" s="371">
        <f t="shared" si="31"/>
        <v>0.23000660938532716</v>
      </c>
      <c r="P135" s="372">
        <v>0.59997639282341841</v>
      </c>
      <c r="Q135" s="372">
        <v>1.0686779419653429E-2</v>
      </c>
      <c r="R135" s="372">
        <v>6.5313285585542863E-2</v>
      </c>
      <c r="S135" s="372">
        <v>0.53367924985439374</v>
      </c>
      <c r="T135" s="371">
        <f t="shared" si="115"/>
        <v>0.16482428195633478</v>
      </c>
      <c r="U135" s="372">
        <v>2.0421062455422544E-2</v>
      </c>
      <c r="V135" s="372">
        <v>0.14782793027664395</v>
      </c>
      <c r="W135" s="371">
        <f t="shared" si="116"/>
        <v>0.16482428195633478</v>
      </c>
      <c r="X135" s="372">
        <v>1.8993089934668066E-2</v>
      </c>
      <c r="Y135" s="371">
        <f t="shared" si="33"/>
        <v>0.23000660938532716</v>
      </c>
      <c r="Z135" s="371">
        <f t="shared" si="34"/>
        <v>0.23000660938532716</v>
      </c>
      <c r="AA135" s="372">
        <v>0.1611898958564148</v>
      </c>
      <c r="AB135" s="372">
        <v>0.10350469325851858</v>
      </c>
      <c r="AC135" s="372">
        <v>7.476805381682429E-2</v>
      </c>
      <c r="AD135" s="371">
        <f t="shared" si="35"/>
        <v>7.476805381682429E-2</v>
      </c>
      <c r="AE135" s="374">
        <f t="shared" si="36"/>
        <v>2.0408703378135693E-2</v>
      </c>
      <c r="AF135" s="374">
        <f t="shared" si="37"/>
        <v>0.16482428195633478</v>
      </c>
      <c r="AG135" s="374">
        <f t="shared" si="38"/>
        <v>0.23000660938532716</v>
      </c>
      <c r="AH135" s="373">
        <v>0.26160232417751322</v>
      </c>
      <c r="AI135" s="373">
        <v>2.0408703378135693E-2</v>
      </c>
    </row>
    <row r="136" spans="2:35" x14ac:dyDescent="0.25">
      <c r="B136" s="46" t="s">
        <v>94</v>
      </c>
      <c r="C136" s="46" t="s">
        <v>125</v>
      </c>
      <c r="D136" s="46" t="s">
        <v>93</v>
      </c>
      <c r="E136" s="46" t="s">
        <v>106</v>
      </c>
      <c r="F136" s="46" t="s">
        <v>174</v>
      </c>
      <c r="G136" s="46"/>
      <c r="H136" s="371">
        <f t="shared" si="27"/>
        <v>0</v>
      </c>
      <c r="I136" s="371">
        <f t="shared" si="114"/>
        <v>0</v>
      </c>
      <c r="J136" s="371">
        <f t="shared" si="28"/>
        <v>0</v>
      </c>
      <c r="K136" s="371">
        <f t="shared" si="29"/>
        <v>0</v>
      </c>
      <c r="L136" s="372">
        <v>0</v>
      </c>
      <c r="M136" s="372">
        <v>0</v>
      </c>
      <c r="N136" s="371">
        <f t="shared" si="30"/>
        <v>0</v>
      </c>
      <c r="O136" s="371">
        <f t="shared" si="31"/>
        <v>0</v>
      </c>
      <c r="P136" s="372">
        <v>0</v>
      </c>
      <c r="Q136" s="372">
        <v>0</v>
      </c>
      <c r="R136" s="372">
        <v>0</v>
      </c>
      <c r="S136" s="372">
        <v>0</v>
      </c>
      <c r="T136" s="371">
        <f t="shared" si="115"/>
        <v>0</v>
      </c>
      <c r="U136" s="376">
        <v>0</v>
      </c>
      <c r="V136" s="376">
        <v>0</v>
      </c>
      <c r="W136" s="371">
        <f t="shared" si="116"/>
        <v>0</v>
      </c>
      <c r="X136" s="376">
        <v>0</v>
      </c>
      <c r="Y136" s="371">
        <f t="shared" si="33"/>
        <v>0</v>
      </c>
      <c r="Z136" s="371">
        <f t="shared" si="34"/>
        <v>0</v>
      </c>
      <c r="AA136" s="376">
        <v>0</v>
      </c>
      <c r="AB136" s="376">
        <v>0</v>
      </c>
      <c r="AC136" s="376">
        <v>0</v>
      </c>
      <c r="AD136" s="371">
        <f t="shared" si="35"/>
        <v>0</v>
      </c>
      <c r="AE136" s="374">
        <f t="shared" si="36"/>
        <v>0</v>
      </c>
      <c r="AF136" s="374">
        <f t="shared" si="37"/>
        <v>0</v>
      </c>
      <c r="AG136" s="374">
        <f t="shared" si="38"/>
        <v>0</v>
      </c>
      <c r="AH136" s="369">
        <v>0</v>
      </c>
      <c r="AI136" s="369">
        <v>0</v>
      </c>
    </row>
    <row r="137" spans="2:35" x14ac:dyDescent="0.25">
      <c r="B137" s="46" t="s">
        <v>148</v>
      </c>
      <c r="C137" s="46" t="s">
        <v>173</v>
      </c>
      <c r="D137" s="46" t="s">
        <v>93</v>
      </c>
      <c r="E137" s="46" t="s">
        <v>106</v>
      </c>
      <c r="F137" s="46" t="s">
        <v>174</v>
      </c>
      <c r="G137" s="46"/>
      <c r="H137" s="371">
        <f t="shared" si="27"/>
        <v>0</v>
      </c>
      <c r="I137" s="371">
        <f t="shared" si="114"/>
        <v>0</v>
      </c>
      <c r="J137" s="371">
        <f t="shared" si="28"/>
        <v>0</v>
      </c>
      <c r="K137" s="371">
        <f t="shared" si="29"/>
        <v>0</v>
      </c>
      <c r="L137" s="376">
        <v>0</v>
      </c>
      <c r="M137" s="376">
        <v>0</v>
      </c>
      <c r="N137" s="371">
        <f t="shared" si="30"/>
        <v>0</v>
      </c>
      <c r="O137" s="371">
        <f t="shared" si="31"/>
        <v>0</v>
      </c>
      <c r="P137" s="372">
        <v>0</v>
      </c>
      <c r="Q137" s="372">
        <v>0</v>
      </c>
      <c r="R137" s="372">
        <v>0</v>
      </c>
      <c r="S137" s="372">
        <v>0</v>
      </c>
      <c r="T137" s="371">
        <f t="shared" si="115"/>
        <v>0</v>
      </c>
      <c r="U137" s="376">
        <v>0</v>
      </c>
      <c r="V137" s="376">
        <v>0</v>
      </c>
      <c r="W137" s="371">
        <f t="shared" si="116"/>
        <v>0</v>
      </c>
      <c r="X137" s="376">
        <v>0</v>
      </c>
      <c r="Y137" s="371">
        <f t="shared" si="33"/>
        <v>0</v>
      </c>
      <c r="Z137" s="371">
        <f t="shared" si="34"/>
        <v>0</v>
      </c>
      <c r="AA137" s="376">
        <v>0</v>
      </c>
      <c r="AB137" s="376">
        <v>0</v>
      </c>
      <c r="AC137" s="376">
        <v>0</v>
      </c>
      <c r="AD137" s="371">
        <f t="shared" si="35"/>
        <v>0</v>
      </c>
      <c r="AE137" s="374">
        <f t="shared" si="36"/>
        <v>0</v>
      </c>
      <c r="AF137" s="374">
        <f t="shared" si="37"/>
        <v>0</v>
      </c>
      <c r="AG137" s="374">
        <f t="shared" si="38"/>
        <v>0</v>
      </c>
      <c r="AH137" s="369">
        <v>0</v>
      </c>
      <c r="AI137" s="369">
        <v>0</v>
      </c>
    </row>
    <row r="138" spans="2:35" x14ac:dyDescent="0.25">
      <c r="B138" s="46" t="s">
        <v>169</v>
      </c>
      <c r="C138" s="46" t="s">
        <v>120</v>
      </c>
      <c r="D138" s="46" t="s">
        <v>93</v>
      </c>
      <c r="E138" s="46" t="s">
        <v>106</v>
      </c>
      <c r="F138" s="46" t="s">
        <v>174</v>
      </c>
      <c r="G138" s="46"/>
      <c r="H138" s="371">
        <f t="shared" si="27"/>
        <v>1.345021002111097E-2</v>
      </c>
      <c r="I138" s="371">
        <f t="shared" si="114"/>
        <v>1.345021002111097E-2</v>
      </c>
      <c r="J138" s="371">
        <f t="shared" si="28"/>
        <v>1.345021002111097E-2</v>
      </c>
      <c r="K138" s="371">
        <f t="shared" si="29"/>
        <v>1.345021002111097E-2</v>
      </c>
      <c r="L138" s="376">
        <v>0</v>
      </c>
      <c r="M138" s="376">
        <v>0</v>
      </c>
      <c r="N138" s="371">
        <f t="shared" si="30"/>
        <v>0</v>
      </c>
      <c r="O138" s="371">
        <f t="shared" si="31"/>
        <v>0</v>
      </c>
      <c r="P138" s="376">
        <v>0</v>
      </c>
      <c r="Q138" s="376">
        <v>0</v>
      </c>
      <c r="R138" s="376">
        <v>0.11075273917374188</v>
      </c>
      <c r="S138" s="376">
        <v>0</v>
      </c>
      <c r="T138" s="371">
        <f t="shared" si="115"/>
        <v>1.345021002111097E-2</v>
      </c>
      <c r="U138" s="376">
        <v>0</v>
      </c>
      <c r="V138" s="376">
        <v>0</v>
      </c>
      <c r="W138" s="371">
        <f t="shared" si="116"/>
        <v>1.345021002111097E-2</v>
      </c>
      <c r="X138" s="376">
        <v>7.0440842266070863E-3</v>
      </c>
      <c r="Y138" s="371">
        <f t="shared" si="33"/>
        <v>0</v>
      </c>
      <c r="Z138" s="371">
        <f t="shared" si="34"/>
        <v>0</v>
      </c>
      <c r="AA138" s="376">
        <v>0</v>
      </c>
      <c r="AB138" s="376">
        <v>0</v>
      </c>
      <c r="AC138" s="376">
        <v>2.4537384026908412E-2</v>
      </c>
      <c r="AD138" s="371">
        <f t="shared" si="35"/>
        <v>2.4537384026908412E-2</v>
      </c>
      <c r="AE138" s="374">
        <f t="shared" si="36"/>
        <v>4.596873286829619E-2</v>
      </c>
      <c r="AF138" s="374">
        <f t="shared" si="37"/>
        <v>1.345021002111097E-2</v>
      </c>
      <c r="AG138" s="374">
        <f t="shared" si="38"/>
        <v>0</v>
      </c>
      <c r="AH138" s="369">
        <v>0</v>
      </c>
      <c r="AI138" s="369">
        <v>4.596873286829619E-2</v>
      </c>
    </row>
    <row r="139" spans="2:35" x14ac:dyDescent="0.25">
      <c r="B139" s="339"/>
      <c r="C139" s="340" t="s">
        <v>176</v>
      </c>
      <c r="D139" s="339"/>
      <c r="E139" s="339"/>
      <c r="F139" s="340"/>
      <c r="G139" s="340"/>
      <c r="H139" s="338">
        <f t="shared" ref="H139:AI139" si="129">SUM(H129,H132,H135,H136,H138,H137)</f>
        <v>1.0000000000000002</v>
      </c>
      <c r="I139" s="338">
        <f t="shared" si="129"/>
        <v>1.0000000000000002</v>
      </c>
      <c r="J139" s="338">
        <f t="shared" si="129"/>
        <v>1.0000000000000002</v>
      </c>
      <c r="K139" s="338">
        <f t="shared" si="129"/>
        <v>1.0000000000000002</v>
      </c>
      <c r="L139" s="338">
        <f t="shared" si="129"/>
        <v>1</v>
      </c>
      <c r="M139" s="338">
        <f t="shared" si="129"/>
        <v>1</v>
      </c>
      <c r="N139" s="338">
        <f t="shared" si="129"/>
        <v>1</v>
      </c>
      <c r="O139" s="338">
        <f t="shared" si="129"/>
        <v>1</v>
      </c>
      <c r="P139" s="338">
        <f t="shared" si="129"/>
        <v>1</v>
      </c>
      <c r="Q139" s="338">
        <f t="shared" si="129"/>
        <v>1</v>
      </c>
      <c r="R139" s="338">
        <f t="shared" si="129"/>
        <v>1</v>
      </c>
      <c r="S139" s="338">
        <f t="shared" si="129"/>
        <v>1</v>
      </c>
      <c r="T139" s="338">
        <f t="shared" si="129"/>
        <v>1.0000000000000002</v>
      </c>
      <c r="U139" s="338">
        <f t="shared" si="129"/>
        <v>1</v>
      </c>
      <c r="V139" s="338">
        <f t="shared" si="129"/>
        <v>1</v>
      </c>
      <c r="W139" s="338">
        <f t="shared" si="129"/>
        <v>1.0000000000000002</v>
      </c>
      <c r="X139" s="338">
        <f t="shared" si="129"/>
        <v>1</v>
      </c>
      <c r="Y139" s="338">
        <f t="shared" si="129"/>
        <v>1</v>
      </c>
      <c r="Z139" s="338">
        <f t="shared" si="129"/>
        <v>1</v>
      </c>
      <c r="AA139" s="338">
        <f t="shared" si="129"/>
        <v>1</v>
      </c>
      <c r="AB139" s="338">
        <f t="shared" si="129"/>
        <v>1</v>
      </c>
      <c r="AC139" s="338">
        <f t="shared" si="129"/>
        <v>1</v>
      </c>
      <c r="AD139" s="338">
        <f t="shared" si="129"/>
        <v>1</v>
      </c>
      <c r="AE139" s="338">
        <f t="shared" si="129"/>
        <v>1</v>
      </c>
      <c r="AF139" s="338">
        <f t="shared" si="129"/>
        <v>1.0000000000000002</v>
      </c>
      <c r="AG139" s="338">
        <f t="shared" si="129"/>
        <v>1</v>
      </c>
      <c r="AH139" s="338">
        <f t="shared" si="129"/>
        <v>1</v>
      </c>
      <c r="AI139" s="338">
        <f t="shared" si="129"/>
        <v>1</v>
      </c>
    </row>
    <row r="140" spans="2:35" x14ac:dyDescent="0.25">
      <c r="B140" s="360" t="s">
        <v>122</v>
      </c>
      <c r="C140" s="360" t="s">
        <v>121</v>
      </c>
      <c r="D140" s="360" t="s">
        <v>20</v>
      </c>
      <c r="E140" s="360" t="s">
        <v>108</v>
      </c>
      <c r="F140" s="360" t="s">
        <v>174</v>
      </c>
      <c r="G140" s="360"/>
      <c r="H140" s="366">
        <f>I140</f>
        <v>1</v>
      </c>
      <c r="I140" s="366">
        <f>AVERAGE(U140,V140,AA140)</f>
        <v>1</v>
      </c>
      <c r="J140" s="366">
        <f t="shared" si="28"/>
        <v>1</v>
      </c>
      <c r="K140" s="366">
        <f t="shared" si="29"/>
        <v>1</v>
      </c>
      <c r="L140" s="366">
        <f>AVERAGE(U140,V140,AA140)</f>
        <v>1</v>
      </c>
      <c r="M140" s="366">
        <f>AVERAGE(U140,V140,AA140)</f>
        <v>1</v>
      </c>
      <c r="N140" s="366">
        <f t="shared" si="30"/>
        <v>1</v>
      </c>
      <c r="O140" s="366">
        <f t="shared" si="31"/>
        <v>1</v>
      </c>
      <c r="P140" s="366">
        <f>AVERAGE(U140,V140,AA140)</f>
        <v>1</v>
      </c>
      <c r="Q140" s="366">
        <f>AVERAGE(U140,V140,AA140)</f>
        <v>1</v>
      </c>
      <c r="R140" s="366">
        <f>AVERAGE(U140,V140,AA140)</f>
        <v>1</v>
      </c>
      <c r="S140" s="366">
        <f>AVERAGE(U140,V140,AA140)</f>
        <v>1</v>
      </c>
      <c r="T140" s="366">
        <f>AVERAGE(U140,V140,AA140)</f>
        <v>1</v>
      </c>
      <c r="U140" s="368">
        <v>1</v>
      </c>
      <c r="V140" s="368">
        <v>1</v>
      </c>
      <c r="W140" s="366">
        <f>AVERAGE(U140,V140,AA140)</f>
        <v>1</v>
      </c>
      <c r="X140" s="366">
        <f>AVERAGE(U140,V140,AA140)</f>
        <v>1</v>
      </c>
      <c r="Y140" s="366">
        <f t="shared" si="33"/>
        <v>1</v>
      </c>
      <c r="Z140" s="366">
        <f t="shared" si="34"/>
        <v>1</v>
      </c>
      <c r="AA140" s="367">
        <v>1</v>
      </c>
      <c r="AB140" s="366">
        <f>AVERAGE(U140,V140,AA140)</f>
        <v>1</v>
      </c>
      <c r="AC140" s="366">
        <f>AVERAGE(U140,V140,AA140)</f>
        <v>1</v>
      </c>
      <c r="AD140" s="366">
        <f t="shared" si="35"/>
        <v>1</v>
      </c>
      <c r="AE140" s="370">
        <f t="shared" si="36"/>
        <v>1</v>
      </c>
      <c r="AF140" s="370">
        <f t="shared" si="37"/>
        <v>1</v>
      </c>
      <c r="AG140" s="370">
        <f t="shared" si="38"/>
        <v>1</v>
      </c>
      <c r="AH140" s="375">
        <f>AA140</f>
        <v>1</v>
      </c>
      <c r="AI140" s="375">
        <f>AVERAGE(U140,V140,AA140)</f>
        <v>1</v>
      </c>
    </row>
    <row r="141" spans="2:35" x14ac:dyDescent="0.25">
      <c r="B141" s="46" t="s">
        <v>122</v>
      </c>
      <c r="C141" s="46" t="s">
        <v>468</v>
      </c>
      <c r="D141" s="46" t="s">
        <v>20</v>
      </c>
      <c r="E141" s="46" t="s">
        <v>108</v>
      </c>
      <c r="F141" s="46" t="s">
        <v>174</v>
      </c>
      <c r="G141" s="46"/>
      <c r="H141" s="336">
        <f t="shared" ref="H141:AI141" si="130">H$53*H140</f>
        <v>0.99272204406740105</v>
      </c>
      <c r="I141" s="336">
        <f t="shared" si="130"/>
        <v>1</v>
      </c>
      <c r="J141" s="336">
        <f t="shared" si="130"/>
        <v>0.96708768306502402</v>
      </c>
      <c r="K141" s="336">
        <f t="shared" si="130"/>
        <v>1</v>
      </c>
      <c r="L141" s="336">
        <f t="shared" si="130"/>
        <v>0.99924817546284905</v>
      </c>
      <c r="M141" s="336">
        <f t="shared" si="130"/>
        <v>1</v>
      </c>
      <c r="N141" s="336">
        <f t="shared" si="130"/>
        <v>0.98060509066568202</v>
      </c>
      <c r="O141" s="336">
        <f t="shared" si="130"/>
        <v>1</v>
      </c>
      <c r="P141" s="336">
        <f t="shared" si="130"/>
        <v>0.99573036070295295</v>
      </c>
      <c r="Q141" s="336">
        <f t="shared" si="130"/>
        <v>0.89911459244443404</v>
      </c>
      <c r="R141" s="336">
        <f t="shared" si="130"/>
        <v>1</v>
      </c>
      <c r="S141" s="336">
        <f t="shared" si="130"/>
        <v>0.91243667107010595</v>
      </c>
      <c r="T141" s="336">
        <f t="shared" si="130"/>
        <v>0.99805035509711904</v>
      </c>
      <c r="U141" s="336">
        <f t="shared" si="130"/>
        <v>0.85892756664096503</v>
      </c>
      <c r="V141" s="336">
        <f t="shared" si="130"/>
        <v>0.99606901853857799</v>
      </c>
      <c r="W141" s="336">
        <f t="shared" si="130"/>
        <v>0.94006991364569004</v>
      </c>
      <c r="X141" s="336">
        <f t="shared" si="130"/>
        <v>0.98595080709491301</v>
      </c>
      <c r="Y141" s="336">
        <f t="shared" si="130"/>
        <v>1</v>
      </c>
      <c r="Z141" s="336">
        <f t="shared" si="130"/>
        <v>1</v>
      </c>
      <c r="AA141" s="336">
        <f t="shared" si="130"/>
        <v>0.96895325430984103</v>
      </c>
      <c r="AB141" s="336">
        <f t="shared" si="130"/>
        <v>0.98681263953045995</v>
      </c>
      <c r="AC141" s="336">
        <f t="shared" si="130"/>
        <v>0.96739573783449195</v>
      </c>
      <c r="AD141" s="336">
        <f t="shared" si="130"/>
        <v>0.99952869366389197</v>
      </c>
      <c r="AE141" s="336">
        <f t="shared" si="130"/>
        <v>0.97913404225277501</v>
      </c>
      <c r="AF141" s="336">
        <f t="shared" si="130"/>
        <v>0.96669983445492602</v>
      </c>
      <c r="AG141" s="336">
        <f t="shared" si="130"/>
        <v>0.90948237026982304</v>
      </c>
      <c r="AH141" s="336">
        <f t="shared" si="130"/>
        <v>0.76409158971258195</v>
      </c>
      <c r="AI141" s="336">
        <f t="shared" si="130"/>
        <v>0.75029992890543395</v>
      </c>
    </row>
    <row r="142" spans="2:35" x14ac:dyDescent="0.25">
      <c r="B142" s="46" t="s">
        <v>122</v>
      </c>
      <c r="C142" s="46" t="s">
        <v>469</v>
      </c>
      <c r="D142" s="46" t="s">
        <v>20</v>
      </c>
      <c r="E142" s="46" t="s">
        <v>108</v>
      </c>
      <c r="F142" s="46" t="s">
        <v>174</v>
      </c>
      <c r="G142" s="46"/>
      <c r="H142" s="336">
        <f>H140-H141</f>
        <v>7.2779559325989451E-3</v>
      </c>
      <c r="I142" s="336">
        <f t="shared" ref="I142" si="131">I140-I141</f>
        <v>0</v>
      </c>
      <c r="J142" s="336">
        <f>J140-J141</f>
        <v>3.2912316934975983E-2</v>
      </c>
      <c r="K142" s="336">
        <f>K140-K141</f>
        <v>0</v>
      </c>
      <c r="L142" s="336">
        <f t="shared" ref="L142:M142" si="132">L140-L141</f>
        <v>7.5182453715094688E-4</v>
      </c>
      <c r="M142" s="336">
        <f t="shared" si="132"/>
        <v>0</v>
      </c>
      <c r="N142" s="336">
        <f>N140-N141</f>
        <v>1.9394909334317978E-2</v>
      </c>
      <c r="O142" s="336">
        <f>O140-O141</f>
        <v>0</v>
      </c>
      <c r="P142" s="336">
        <f t="shared" ref="P142:R142" si="133">P140-P141</f>
        <v>4.2696392970470454E-3</v>
      </c>
      <c r="Q142" s="336">
        <f t="shared" si="133"/>
        <v>0.10088540755556596</v>
      </c>
      <c r="R142" s="336">
        <f t="shared" si="133"/>
        <v>0</v>
      </c>
      <c r="S142" s="336">
        <f>S140-S141</f>
        <v>8.7563328929894046E-2</v>
      </c>
      <c r="T142" s="336">
        <f t="shared" ref="T142:X142" si="134">T140-T141</f>
        <v>1.9496449028809648E-3</v>
      </c>
      <c r="U142" s="336">
        <f t="shared" si="134"/>
        <v>0.14107243335903497</v>
      </c>
      <c r="V142" s="336">
        <f t="shared" si="134"/>
        <v>3.9309814614220118E-3</v>
      </c>
      <c r="W142" s="336">
        <f t="shared" si="134"/>
        <v>5.9930086354309964E-2</v>
      </c>
      <c r="X142" s="336">
        <f t="shared" si="134"/>
        <v>1.4049192905086993E-2</v>
      </c>
      <c r="Y142" s="336">
        <f>Y140-Y141</f>
        <v>0</v>
      </c>
      <c r="Z142" s="336">
        <f>Z140-Z141</f>
        <v>0</v>
      </c>
      <c r="AA142" s="336">
        <f t="shared" ref="AA142:AC142" si="135">AA140-AA141</f>
        <v>3.1046745690158972E-2</v>
      </c>
      <c r="AB142" s="336">
        <f t="shared" si="135"/>
        <v>1.3187360469540055E-2</v>
      </c>
      <c r="AC142" s="336">
        <f t="shared" si="135"/>
        <v>3.2604262165508047E-2</v>
      </c>
      <c r="AD142" s="336">
        <f>AD140-AD141</f>
        <v>4.7130633610803496E-4</v>
      </c>
      <c r="AE142" s="336">
        <f>AE140-AE141</f>
        <v>2.0865957747224995E-2</v>
      </c>
      <c r="AF142" s="336">
        <f>AF140-AF141</f>
        <v>3.3300165545073979E-2</v>
      </c>
      <c r="AG142" s="336">
        <f>AG140-AG141</f>
        <v>9.0517629730176963E-2</v>
      </c>
      <c r="AH142" s="336">
        <f>AH140-AH141</f>
        <v>0.23590841028741805</v>
      </c>
      <c r="AI142" s="336">
        <f t="shared" ref="AI142" si="136">AI140-AI141</f>
        <v>0.24970007109456605</v>
      </c>
    </row>
    <row r="143" spans="2:35" x14ac:dyDescent="0.25">
      <c r="B143" s="360" t="s">
        <v>124</v>
      </c>
      <c r="C143" s="360" t="s">
        <v>123</v>
      </c>
      <c r="D143" s="360" t="s">
        <v>20</v>
      </c>
      <c r="E143" s="360" t="s">
        <v>108</v>
      </c>
      <c r="F143" s="360" t="s">
        <v>174</v>
      </c>
      <c r="G143" s="360"/>
      <c r="H143" s="371">
        <v>0</v>
      </c>
      <c r="I143" s="371">
        <f>AVERAGE(U143,V143,AA143)</f>
        <v>0</v>
      </c>
      <c r="J143" s="371">
        <f t="shared" ref="J143:J193" si="137">I143</f>
        <v>0</v>
      </c>
      <c r="K143" s="371">
        <f t="shared" ref="K143:K193" si="138">I143</f>
        <v>0</v>
      </c>
      <c r="L143" s="371">
        <f t="shared" ref="L143:L149" si="139">AVERAGE(U143,V143,AA143)</f>
        <v>0</v>
      </c>
      <c r="M143" s="371">
        <f t="shared" ref="M143:M149" si="140">AVERAGE(U143,V143,AA143)</f>
        <v>0</v>
      </c>
      <c r="N143" s="371">
        <f t="shared" ref="N143:N193" si="141">M143</f>
        <v>0</v>
      </c>
      <c r="O143" s="371">
        <f t="shared" ref="O143:O193" si="142">M143</f>
        <v>0</v>
      </c>
      <c r="P143" s="371">
        <f t="shared" ref="P143:P149" si="143">AVERAGE(U143,V143,AA143)</f>
        <v>0</v>
      </c>
      <c r="Q143" s="371">
        <f t="shared" ref="Q143:Q149" si="144">AVERAGE(U143,V143,AA143)</f>
        <v>0</v>
      </c>
      <c r="R143" s="371">
        <f t="shared" ref="R143:R149" si="145">AVERAGE(U143,V143,AA143)</f>
        <v>0</v>
      </c>
      <c r="S143" s="371">
        <f t="shared" ref="S143:S149" si="146">AVERAGE(U143,V143,AA143)</f>
        <v>0</v>
      </c>
      <c r="T143" s="371">
        <f t="shared" ref="T143:T149" si="147">AVERAGE(U143,V143,AA143)</f>
        <v>0</v>
      </c>
      <c r="U143" s="372">
        <v>0</v>
      </c>
      <c r="V143" s="372">
        <v>0</v>
      </c>
      <c r="W143" s="371">
        <f t="shared" ref="W143:W149" si="148">AVERAGE(U143,V143,AA143)</f>
        <v>0</v>
      </c>
      <c r="X143" s="371">
        <f t="shared" ref="X143:X149" si="149">AVERAGE(U143,V143,AA143)</f>
        <v>0</v>
      </c>
      <c r="Y143" s="371">
        <f t="shared" ref="Y143:Y193" si="150">M143</f>
        <v>0</v>
      </c>
      <c r="Z143" s="371">
        <f t="shared" ref="Z143:Z193" si="151">M143</f>
        <v>0</v>
      </c>
      <c r="AA143" s="372">
        <v>0</v>
      </c>
      <c r="AB143" s="371">
        <f t="shared" ref="AB143:AB149" si="152">AVERAGE(U143,V143,AA143)</f>
        <v>0</v>
      </c>
      <c r="AC143" s="371">
        <f t="shared" ref="AC143:AC149" si="153">AVERAGE(U143,V143,AA143)</f>
        <v>0</v>
      </c>
      <c r="AD143" s="371">
        <f t="shared" ref="AD143:AD193" si="154">AC143</f>
        <v>0</v>
      </c>
      <c r="AE143" s="374">
        <f t="shared" ref="AE143:AE193" si="155">AI143</f>
        <v>0</v>
      </c>
      <c r="AF143" s="374">
        <f t="shared" ref="AF143:AF193" si="156">I143</f>
        <v>0</v>
      </c>
      <c r="AG143" s="374">
        <f t="shared" ref="AG143:AG193" si="157">M143</f>
        <v>0</v>
      </c>
      <c r="AH143" s="375">
        <f t="shared" ref="AH143:AH149" si="158">AA143</f>
        <v>0</v>
      </c>
      <c r="AI143" s="375">
        <f t="shared" ref="AI143:AI149" si="159">AVERAGE(U143,V143,AA143)</f>
        <v>0</v>
      </c>
    </row>
    <row r="144" spans="2:35" x14ac:dyDescent="0.25">
      <c r="B144" s="46" t="s">
        <v>124</v>
      </c>
      <c r="C144" s="46" t="s">
        <v>470</v>
      </c>
      <c r="D144" s="46" t="s">
        <v>20</v>
      </c>
      <c r="E144" s="46" t="s">
        <v>108</v>
      </c>
      <c r="F144" s="46" t="s">
        <v>174</v>
      </c>
      <c r="G144" s="46"/>
      <c r="H144" s="337">
        <f t="shared" ref="H144:AI144" si="160">H143*H$54</f>
        <v>0</v>
      </c>
      <c r="I144" s="337">
        <f t="shared" si="160"/>
        <v>0</v>
      </c>
      <c r="J144" s="337">
        <f t="shared" si="160"/>
        <v>0</v>
      </c>
      <c r="K144" s="337">
        <f t="shared" si="160"/>
        <v>0</v>
      </c>
      <c r="L144" s="337">
        <f t="shared" si="160"/>
        <v>0</v>
      </c>
      <c r="M144" s="337">
        <f t="shared" si="160"/>
        <v>0</v>
      </c>
      <c r="N144" s="337">
        <f t="shared" si="160"/>
        <v>0</v>
      </c>
      <c r="O144" s="337">
        <f t="shared" si="160"/>
        <v>0</v>
      </c>
      <c r="P144" s="337">
        <f t="shared" si="160"/>
        <v>0</v>
      </c>
      <c r="Q144" s="337">
        <f t="shared" si="160"/>
        <v>0</v>
      </c>
      <c r="R144" s="337">
        <f t="shared" si="160"/>
        <v>0</v>
      </c>
      <c r="S144" s="337">
        <f t="shared" si="160"/>
        <v>0</v>
      </c>
      <c r="T144" s="337">
        <f t="shared" si="160"/>
        <v>0</v>
      </c>
      <c r="U144" s="337">
        <f t="shared" si="160"/>
        <v>0</v>
      </c>
      <c r="V144" s="337">
        <f t="shared" si="160"/>
        <v>0</v>
      </c>
      <c r="W144" s="337">
        <f t="shared" si="160"/>
        <v>0</v>
      </c>
      <c r="X144" s="337">
        <f t="shared" si="160"/>
        <v>0</v>
      </c>
      <c r="Y144" s="337">
        <f t="shared" si="160"/>
        <v>0</v>
      </c>
      <c r="Z144" s="337">
        <f t="shared" si="160"/>
        <v>0</v>
      </c>
      <c r="AA144" s="337">
        <f t="shared" si="160"/>
        <v>0</v>
      </c>
      <c r="AB144" s="337">
        <f t="shared" si="160"/>
        <v>0</v>
      </c>
      <c r="AC144" s="337">
        <f t="shared" si="160"/>
        <v>0</v>
      </c>
      <c r="AD144" s="337">
        <f t="shared" si="160"/>
        <v>0</v>
      </c>
      <c r="AE144" s="337">
        <f t="shared" si="160"/>
        <v>0</v>
      </c>
      <c r="AF144" s="337">
        <f t="shared" si="160"/>
        <v>0</v>
      </c>
      <c r="AG144" s="337">
        <f t="shared" si="160"/>
        <v>0</v>
      </c>
      <c r="AH144" s="337">
        <f t="shared" si="160"/>
        <v>0</v>
      </c>
      <c r="AI144" s="337">
        <f t="shared" si="160"/>
        <v>0</v>
      </c>
    </row>
    <row r="145" spans="2:35" x14ac:dyDescent="0.25">
      <c r="B145" s="46" t="s">
        <v>124</v>
      </c>
      <c r="C145" s="46" t="s">
        <v>471</v>
      </c>
      <c r="D145" s="46" t="s">
        <v>20</v>
      </c>
      <c r="E145" s="46" t="s">
        <v>108</v>
      </c>
      <c r="F145" s="46" t="s">
        <v>174</v>
      </c>
      <c r="G145" s="46"/>
      <c r="H145" s="336">
        <f>H143-H144</f>
        <v>0</v>
      </c>
      <c r="I145" s="336">
        <f t="shared" ref="I145:AI145" si="161">I143-I144</f>
        <v>0</v>
      </c>
      <c r="J145" s="336">
        <f t="shared" si="161"/>
        <v>0</v>
      </c>
      <c r="K145" s="336">
        <f t="shared" si="161"/>
        <v>0</v>
      </c>
      <c r="L145" s="336">
        <f t="shared" si="161"/>
        <v>0</v>
      </c>
      <c r="M145" s="336">
        <f t="shared" si="161"/>
        <v>0</v>
      </c>
      <c r="N145" s="336">
        <f t="shared" si="161"/>
        <v>0</v>
      </c>
      <c r="O145" s="336">
        <f t="shared" si="161"/>
        <v>0</v>
      </c>
      <c r="P145" s="336">
        <f t="shared" si="161"/>
        <v>0</v>
      </c>
      <c r="Q145" s="336">
        <f t="shared" si="161"/>
        <v>0</v>
      </c>
      <c r="R145" s="336">
        <f t="shared" si="161"/>
        <v>0</v>
      </c>
      <c r="S145" s="336">
        <f t="shared" si="161"/>
        <v>0</v>
      </c>
      <c r="T145" s="336">
        <f t="shared" si="161"/>
        <v>0</v>
      </c>
      <c r="U145" s="336">
        <f t="shared" si="161"/>
        <v>0</v>
      </c>
      <c r="V145" s="336">
        <f t="shared" si="161"/>
        <v>0</v>
      </c>
      <c r="W145" s="336">
        <f t="shared" si="161"/>
        <v>0</v>
      </c>
      <c r="X145" s="336">
        <f t="shared" si="161"/>
        <v>0</v>
      </c>
      <c r="Y145" s="336">
        <f t="shared" si="161"/>
        <v>0</v>
      </c>
      <c r="Z145" s="336">
        <f t="shared" si="161"/>
        <v>0</v>
      </c>
      <c r="AA145" s="336">
        <f t="shared" si="161"/>
        <v>0</v>
      </c>
      <c r="AB145" s="336">
        <f t="shared" si="161"/>
        <v>0</v>
      </c>
      <c r="AC145" s="336">
        <f t="shared" si="161"/>
        <v>0</v>
      </c>
      <c r="AD145" s="336">
        <f t="shared" si="161"/>
        <v>0</v>
      </c>
      <c r="AE145" s="336">
        <f t="shared" si="161"/>
        <v>0</v>
      </c>
      <c r="AF145" s="336">
        <f t="shared" si="161"/>
        <v>0</v>
      </c>
      <c r="AG145" s="336">
        <f t="shared" si="161"/>
        <v>0</v>
      </c>
      <c r="AH145" s="336">
        <f t="shared" si="161"/>
        <v>0</v>
      </c>
      <c r="AI145" s="336">
        <f t="shared" si="161"/>
        <v>0</v>
      </c>
    </row>
    <row r="146" spans="2:35" x14ac:dyDescent="0.25">
      <c r="B146" s="46" t="s">
        <v>119</v>
      </c>
      <c r="C146" s="46" t="s">
        <v>118</v>
      </c>
      <c r="D146" s="46" t="s">
        <v>20</v>
      </c>
      <c r="E146" s="46" t="s">
        <v>108</v>
      </c>
      <c r="F146" s="46" t="s">
        <v>174</v>
      </c>
      <c r="G146" s="46"/>
      <c r="H146" s="371">
        <f t="shared" ref="H146:H193" si="162">I146</f>
        <v>0</v>
      </c>
      <c r="I146" s="371">
        <f>AVERAGE(U146,V146,AA146)</f>
        <v>0</v>
      </c>
      <c r="J146" s="371">
        <f t="shared" si="137"/>
        <v>0</v>
      </c>
      <c r="K146" s="371">
        <f t="shared" si="138"/>
        <v>0</v>
      </c>
      <c r="L146" s="371">
        <f t="shared" si="139"/>
        <v>0</v>
      </c>
      <c r="M146" s="371">
        <f t="shared" si="140"/>
        <v>0</v>
      </c>
      <c r="N146" s="371">
        <f t="shared" si="141"/>
        <v>0</v>
      </c>
      <c r="O146" s="371">
        <f t="shared" si="142"/>
        <v>0</v>
      </c>
      <c r="P146" s="371">
        <f t="shared" si="143"/>
        <v>0</v>
      </c>
      <c r="Q146" s="371">
        <f t="shared" si="144"/>
        <v>0</v>
      </c>
      <c r="R146" s="371">
        <f t="shared" si="145"/>
        <v>0</v>
      </c>
      <c r="S146" s="371">
        <f t="shared" si="146"/>
        <v>0</v>
      </c>
      <c r="T146" s="371">
        <f t="shared" si="147"/>
        <v>0</v>
      </c>
      <c r="U146" s="372">
        <v>0</v>
      </c>
      <c r="V146" s="372">
        <v>0</v>
      </c>
      <c r="W146" s="371">
        <f t="shared" si="148"/>
        <v>0</v>
      </c>
      <c r="X146" s="371">
        <f t="shared" si="149"/>
        <v>0</v>
      </c>
      <c r="Y146" s="371">
        <f t="shared" si="150"/>
        <v>0</v>
      </c>
      <c r="Z146" s="371">
        <f t="shared" si="151"/>
        <v>0</v>
      </c>
      <c r="AA146" s="372">
        <v>0</v>
      </c>
      <c r="AB146" s="371">
        <f t="shared" si="152"/>
        <v>0</v>
      </c>
      <c r="AC146" s="371">
        <f t="shared" si="153"/>
        <v>0</v>
      </c>
      <c r="AD146" s="371">
        <f t="shared" si="154"/>
        <v>0</v>
      </c>
      <c r="AE146" s="374">
        <f t="shared" si="155"/>
        <v>0</v>
      </c>
      <c r="AF146" s="374">
        <f t="shared" si="156"/>
        <v>0</v>
      </c>
      <c r="AG146" s="374">
        <f t="shared" si="157"/>
        <v>0</v>
      </c>
      <c r="AH146" s="375">
        <f t="shared" si="158"/>
        <v>0</v>
      </c>
      <c r="AI146" s="375">
        <f t="shared" si="159"/>
        <v>0</v>
      </c>
    </row>
    <row r="147" spans="2:35" x14ac:dyDescent="0.25">
      <c r="B147" s="46" t="s">
        <v>94</v>
      </c>
      <c r="C147" s="46" t="s">
        <v>125</v>
      </c>
      <c r="D147" s="46" t="s">
        <v>20</v>
      </c>
      <c r="E147" s="46" t="s">
        <v>108</v>
      </c>
      <c r="F147" s="46" t="s">
        <v>174</v>
      </c>
      <c r="G147" s="46"/>
      <c r="H147" s="371">
        <f t="shared" si="162"/>
        <v>0</v>
      </c>
      <c r="I147" s="371">
        <f>AVERAGE(U147,V147,AA147)</f>
        <v>0</v>
      </c>
      <c r="J147" s="371">
        <f t="shared" si="137"/>
        <v>0</v>
      </c>
      <c r="K147" s="371">
        <f t="shared" si="138"/>
        <v>0</v>
      </c>
      <c r="L147" s="371">
        <f t="shared" si="139"/>
        <v>0</v>
      </c>
      <c r="M147" s="371">
        <f t="shared" si="140"/>
        <v>0</v>
      </c>
      <c r="N147" s="371">
        <f t="shared" si="141"/>
        <v>0</v>
      </c>
      <c r="O147" s="371">
        <f t="shared" si="142"/>
        <v>0</v>
      </c>
      <c r="P147" s="371">
        <f t="shared" si="143"/>
        <v>0</v>
      </c>
      <c r="Q147" s="371">
        <f t="shared" si="144"/>
        <v>0</v>
      </c>
      <c r="R147" s="371">
        <f t="shared" si="145"/>
        <v>0</v>
      </c>
      <c r="S147" s="371">
        <f t="shared" si="146"/>
        <v>0</v>
      </c>
      <c r="T147" s="371">
        <f t="shared" si="147"/>
        <v>0</v>
      </c>
      <c r="U147" s="372">
        <v>0</v>
      </c>
      <c r="V147" s="372">
        <v>0</v>
      </c>
      <c r="W147" s="371">
        <f t="shared" si="148"/>
        <v>0</v>
      </c>
      <c r="X147" s="371">
        <f t="shared" si="149"/>
        <v>0</v>
      </c>
      <c r="Y147" s="371">
        <f t="shared" si="150"/>
        <v>0</v>
      </c>
      <c r="Z147" s="371">
        <f t="shared" si="151"/>
        <v>0</v>
      </c>
      <c r="AA147" s="372">
        <v>0</v>
      </c>
      <c r="AB147" s="371">
        <f t="shared" si="152"/>
        <v>0</v>
      </c>
      <c r="AC147" s="371">
        <f t="shared" si="153"/>
        <v>0</v>
      </c>
      <c r="AD147" s="371">
        <f t="shared" si="154"/>
        <v>0</v>
      </c>
      <c r="AE147" s="374">
        <f t="shared" si="155"/>
        <v>0</v>
      </c>
      <c r="AF147" s="374">
        <f t="shared" si="156"/>
        <v>0</v>
      </c>
      <c r="AG147" s="374">
        <f t="shared" si="157"/>
        <v>0</v>
      </c>
      <c r="AH147" s="375">
        <f t="shared" si="158"/>
        <v>0</v>
      </c>
      <c r="AI147" s="375">
        <f t="shared" si="159"/>
        <v>0</v>
      </c>
    </row>
    <row r="148" spans="2:35" x14ac:dyDescent="0.25">
      <c r="B148" s="46" t="s">
        <v>148</v>
      </c>
      <c r="C148" s="46" t="s">
        <v>173</v>
      </c>
      <c r="D148" s="46" t="s">
        <v>20</v>
      </c>
      <c r="E148" s="46" t="s">
        <v>108</v>
      </c>
      <c r="F148" s="46" t="s">
        <v>174</v>
      </c>
      <c r="G148" s="46"/>
      <c r="H148" s="371">
        <f t="shared" si="162"/>
        <v>0</v>
      </c>
      <c r="I148" s="371">
        <f>AVERAGE(U148,V148,AA148)</f>
        <v>0</v>
      </c>
      <c r="J148" s="371">
        <f t="shared" si="137"/>
        <v>0</v>
      </c>
      <c r="K148" s="371">
        <f t="shared" si="138"/>
        <v>0</v>
      </c>
      <c r="L148" s="371">
        <f t="shared" si="139"/>
        <v>0</v>
      </c>
      <c r="M148" s="371">
        <f t="shared" si="140"/>
        <v>0</v>
      </c>
      <c r="N148" s="371">
        <f t="shared" si="141"/>
        <v>0</v>
      </c>
      <c r="O148" s="371">
        <f t="shared" si="142"/>
        <v>0</v>
      </c>
      <c r="P148" s="371">
        <f t="shared" si="143"/>
        <v>0</v>
      </c>
      <c r="Q148" s="371">
        <f t="shared" si="144"/>
        <v>0</v>
      </c>
      <c r="R148" s="371">
        <f t="shared" si="145"/>
        <v>0</v>
      </c>
      <c r="S148" s="371">
        <f t="shared" si="146"/>
        <v>0</v>
      </c>
      <c r="T148" s="371">
        <f t="shared" si="147"/>
        <v>0</v>
      </c>
      <c r="U148" s="376">
        <v>0</v>
      </c>
      <c r="V148" s="376">
        <v>0</v>
      </c>
      <c r="W148" s="371">
        <f t="shared" si="148"/>
        <v>0</v>
      </c>
      <c r="X148" s="371">
        <f t="shared" si="149"/>
        <v>0</v>
      </c>
      <c r="Y148" s="371">
        <f t="shared" si="150"/>
        <v>0</v>
      </c>
      <c r="Z148" s="371">
        <f t="shared" si="151"/>
        <v>0</v>
      </c>
      <c r="AA148" s="372">
        <v>0</v>
      </c>
      <c r="AB148" s="371">
        <f t="shared" si="152"/>
        <v>0</v>
      </c>
      <c r="AC148" s="371">
        <f t="shared" si="153"/>
        <v>0</v>
      </c>
      <c r="AD148" s="371">
        <f t="shared" si="154"/>
        <v>0</v>
      </c>
      <c r="AE148" s="374">
        <f t="shared" si="155"/>
        <v>0</v>
      </c>
      <c r="AF148" s="374">
        <f t="shared" si="156"/>
        <v>0</v>
      </c>
      <c r="AG148" s="374">
        <f t="shared" si="157"/>
        <v>0</v>
      </c>
      <c r="AH148" s="375">
        <f t="shared" si="158"/>
        <v>0</v>
      </c>
      <c r="AI148" s="375">
        <f t="shared" si="159"/>
        <v>0</v>
      </c>
    </row>
    <row r="149" spans="2:35" x14ac:dyDescent="0.25">
      <c r="B149" s="46" t="s">
        <v>169</v>
      </c>
      <c r="C149" s="46" t="s">
        <v>120</v>
      </c>
      <c r="D149" s="46" t="s">
        <v>20</v>
      </c>
      <c r="E149" s="46" t="s">
        <v>108</v>
      </c>
      <c r="F149" s="46" t="s">
        <v>174</v>
      </c>
      <c r="G149" s="46"/>
      <c r="H149" s="371">
        <f t="shared" si="162"/>
        <v>0</v>
      </c>
      <c r="I149" s="371">
        <f>AVERAGE(U149,V149,AA149)</f>
        <v>0</v>
      </c>
      <c r="J149" s="371">
        <f t="shared" si="137"/>
        <v>0</v>
      </c>
      <c r="K149" s="371">
        <f t="shared" si="138"/>
        <v>0</v>
      </c>
      <c r="L149" s="371">
        <f t="shared" si="139"/>
        <v>0</v>
      </c>
      <c r="M149" s="371">
        <f t="shared" si="140"/>
        <v>0</v>
      </c>
      <c r="N149" s="371">
        <f t="shared" si="141"/>
        <v>0</v>
      </c>
      <c r="O149" s="371">
        <f t="shared" si="142"/>
        <v>0</v>
      </c>
      <c r="P149" s="371">
        <f t="shared" si="143"/>
        <v>0</v>
      </c>
      <c r="Q149" s="371">
        <f t="shared" si="144"/>
        <v>0</v>
      </c>
      <c r="R149" s="371">
        <f t="shared" si="145"/>
        <v>0</v>
      </c>
      <c r="S149" s="371">
        <f t="shared" si="146"/>
        <v>0</v>
      </c>
      <c r="T149" s="371">
        <f t="shared" si="147"/>
        <v>0</v>
      </c>
      <c r="U149" s="376">
        <v>0</v>
      </c>
      <c r="V149" s="376">
        <v>0</v>
      </c>
      <c r="W149" s="371">
        <f t="shared" si="148"/>
        <v>0</v>
      </c>
      <c r="X149" s="371">
        <f t="shared" si="149"/>
        <v>0</v>
      </c>
      <c r="Y149" s="371">
        <f t="shared" si="150"/>
        <v>0</v>
      </c>
      <c r="Z149" s="371">
        <f t="shared" si="151"/>
        <v>0</v>
      </c>
      <c r="AA149" s="372">
        <v>0</v>
      </c>
      <c r="AB149" s="371">
        <f t="shared" si="152"/>
        <v>0</v>
      </c>
      <c r="AC149" s="371">
        <f t="shared" si="153"/>
        <v>0</v>
      </c>
      <c r="AD149" s="371">
        <f t="shared" si="154"/>
        <v>0</v>
      </c>
      <c r="AE149" s="374">
        <f t="shared" si="155"/>
        <v>0</v>
      </c>
      <c r="AF149" s="374">
        <f t="shared" si="156"/>
        <v>0</v>
      </c>
      <c r="AG149" s="374">
        <f t="shared" si="157"/>
        <v>0</v>
      </c>
      <c r="AH149" s="375">
        <f t="shared" si="158"/>
        <v>0</v>
      </c>
      <c r="AI149" s="375">
        <f t="shared" si="159"/>
        <v>0</v>
      </c>
    </row>
    <row r="150" spans="2:35" x14ac:dyDescent="0.25">
      <c r="B150" s="339"/>
      <c r="C150" s="340" t="s">
        <v>176</v>
      </c>
      <c r="D150" s="339"/>
      <c r="E150" s="339"/>
      <c r="F150" s="340"/>
      <c r="G150" s="340"/>
      <c r="H150" s="338">
        <f t="shared" ref="H150:AI150" si="163">SUM(H140,H143,H146,H147,H149,H148)</f>
        <v>1</v>
      </c>
      <c r="I150" s="338">
        <f t="shared" si="163"/>
        <v>1</v>
      </c>
      <c r="J150" s="338">
        <f t="shared" si="163"/>
        <v>1</v>
      </c>
      <c r="K150" s="338">
        <f t="shared" si="163"/>
        <v>1</v>
      </c>
      <c r="L150" s="338">
        <f t="shared" si="163"/>
        <v>1</v>
      </c>
      <c r="M150" s="338">
        <f t="shared" si="163"/>
        <v>1</v>
      </c>
      <c r="N150" s="338">
        <f t="shared" si="163"/>
        <v>1</v>
      </c>
      <c r="O150" s="338">
        <f t="shared" si="163"/>
        <v>1</v>
      </c>
      <c r="P150" s="338">
        <f t="shared" si="163"/>
        <v>1</v>
      </c>
      <c r="Q150" s="338">
        <f t="shared" si="163"/>
        <v>1</v>
      </c>
      <c r="R150" s="338">
        <f t="shared" si="163"/>
        <v>1</v>
      </c>
      <c r="S150" s="338">
        <f t="shared" si="163"/>
        <v>1</v>
      </c>
      <c r="T150" s="338">
        <f t="shared" si="163"/>
        <v>1</v>
      </c>
      <c r="U150" s="338">
        <f t="shared" si="163"/>
        <v>1</v>
      </c>
      <c r="V150" s="338">
        <f t="shared" si="163"/>
        <v>1</v>
      </c>
      <c r="W150" s="338">
        <f t="shared" si="163"/>
        <v>1</v>
      </c>
      <c r="X150" s="338">
        <f t="shared" si="163"/>
        <v>1</v>
      </c>
      <c r="Y150" s="338">
        <f t="shared" si="163"/>
        <v>1</v>
      </c>
      <c r="Z150" s="338">
        <f t="shared" si="163"/>
        <v>1</v>
      </c>
      <c r="AA150" s="338">
        <f t="shared" si="163"/>
        <v>1</v>
      </c>
      <c r="AB150" s="338">
        <f t="shared" si="163"/>
        <v>1</v>
      </c>
      <c r="AC150" s="338">
        <f t="shared" si="163"/>
        <v>1</v>
      </c>
      <c r="AD150" s="338">
        <f t="shared" si="163"/>
        <v>1</v>
      </c>
      <c r="AE150" s="338">
        <f t="shared" si="163"/>
        <v>1</v>
      </c>
      <c r="AF150" s="338">
        <f t="shared" si="163"/>
        <v>1</v>
      </c>
      <c r="AG150" s="338">
        <f t="shared" si="163"/>
        <v>1</v>
      </c>
      <c r="AH150" s="338">
        <f t="shared" si="163"/>
        <v>1</v>
      </c>
      <c r="AI150" s="338">
        <f t="shared" si="163"/>
        <v>1</v>
      </c>
    </row>
    <row r="151" spans="2:35" x14ac:dyDescent="0.25">
      <c r="B151" s="360" t="s">
        <v>122</v>
      </c>
      <c r="C151" s="360" t="s">
        <v>121</v>
      </c>
      <c r="D151" s="360" t="s">
        <v>0</v>
      </c>
      <c r="E151" s="360" t="s">
        <v>109</v>
      </c>
      <c r="F151" s="360" t="s">
        <v>174</v>
      </c>
      <c r="G151" s="360"/>
      <c r="H151" s="366">
        <f t="shared" si="162"/>
        <v>0.18312362729404752</v>
      </c>
      <c r="I151" s="368">
        <v>0.18312362729404752</v>
      </c>
      <c r="J151" s="366">
        <f t="shared" si="137"/>
        <v>0.18312362729404752</v>
      </c>
      <c r="K151" s="366">
        <f t="shared" si="138"/>
        <v>0.18312362729404752</v>
      </c>
      <c r="L151" s="368">
        <v>0.76431696998373388</v>
      </c>
      <c r="M151" s="368">
        <v>1.6455696202531622E-2</v>
      </c>
      <c r="N151" s="366">
        <f t="shared" si="141"/>
        <v>1.6455696202531622E-2</v>
      </c>
      <c r="O151" s="366">
        <f t="shared" si="142"/>
        <v>1.6455696202531622E-2</v>
      </c>
      <c r="P151" s="368">
        <v>0.10000073137373944</v>
      </c>
      <c r="Q151" s="368">
        <v>1</v>
      </c>
      <c r="R151" s="368">
        <v>0.76263065278690612</v>
      </c>
      <c r="S151" s="368">
        <v>0.34448210124437872</v>
      </c>
      <c r="T151" s="368">
        <v>0.23063310277502203</v>
      </c>
      <c r="U151" s="368">
        <v>1</v>
      </c>
      <c r="V151" s="368">
        <v>0.35471260306666252</v>
      </c>
      <c r="W151" s="368">
        <v>0.88179184138016764</v>
      </c>
      <c r="X151" s="368">
        <v>0.88674613586867024</v>
      </c>
      <c r="Y151" s="366">
        <f t="shared" si="150"/>
        <v>1.6455696202531622E-2</v>
      </c>
      <c r="Z151" s="366">
        <f t="shared" si="151"/>
        <v>1.6455696202531622E-2</v>
      </c>
      <c r="AA151" s="368">
        <v>0.89615344698082444</v>
      </c>
      <c r="AB151" s="368">
        <v>0.34096269939631396</v>
      </c>
      <c r="AC151" s="368">
        <v>0.34544658493870395</v>
      </c>
      <c r="AD151" s="366">
        <f t="shared" si="154"/>
        <v>0.34544658493870395</v>
      </c>
      <c r="AE151" s="370">
        <f t="shared" si="155"/>
        <v>0.90197280136941771</v>
      </c>
      <c r="AF151" s="370">
        <f t="shared" si="156"/>
        <v>0.18312362729404752</v>
      </c>
      <c r="AG151" s="370">
        <f t="shared" si="157"/>
        <v>1.6455696202531622E-2</v>
      </c>
      <c r="AH151" s="368">
        <v>0.80615541267777902</v>
      </c>
      <c r="AI151" s="368">
        <v>0.90197280136941771</v>
      </c>
    </row>
    <row r="152" spans="2:35" x14ac:dyDescent="0.25">
      <c r="B152" s="46" t="s">
        <v>122</v>
      </c>
      <c r="C152" s="46" t="s">
        <v>468</v>
      </c>
      <c r="D152" s="46" t="s">
        <v>0</v>
      </c>
      <c r="E152" s="46" t="s">
        <v>109</v>
      </c>
      <c r="F152" s="46" t="s">
        <v>174</v>
      </c>
      <c r="G152" s="46"/>
      <c r="H152" s="336">
        <f t="shared" ref="H152:AI152" si="164">H$53*H151</f>
        <v>0.18179086160438376</v>
      </c>
      <c r="I152" s="336">
        <f t="shared" si="164"/>
        <v>0.18312362729404752</v>
      </c>
      <c r="J152" s="336">
        <f t="shared" si="164"/>
        <v>0.17709660443426342</v>
      </c>
      <c r="K152" s="336">
        <f t="shared" si="164"/>
        <v>0.18312362729404752</v>
      </c>
      <c r="L152" s="336">
        <f t="shared" si="164"/>
        <v>0.76374233773153921</v>
      </c>
      <c r="M152" s="336">
        <f t="shared" si="164"/>
        <v>1.6455696202531622E-2</v>
      </c>
      <c r="N152" s="336">
        <f t="shared" si="164"/>
        <v>1.6136539466650442E-2</v>
      </c>
      <c r="O152" s="336">
        <f t="shared" si="164"/>
        <v>1.6455696202531622E-2</v>
      </c>
      <c r="P152" s="336">
        <f t="shared" si="164"/>
        <v>9.9573764321332678E-2</v>
      </c>
      <c r="Q152" s="336">
        <f t="shared" si="164"/>
        <v>0.89911459244443404</v>
      </c>
      <c r="R152" s="336">
        <f t="shared" si="164"/>
        <v>0.76263065278690612</v>
      </c>
      <c r="S152" s="336">
        <f t="shared" si="164"/>
        <v>0.31431810170265612</v>
      </c>
      <c r="T152" s="336">
        <f t="shared" si="164"/>
        <v>0.23018345012176109</v>
      </c>
      <c r="U152" s="336">
        <f t="shared" si="164"/>
        <v>0.85892756664096503</v>
      </c>
      <c r="V152" s="336">
        <f t="shared" si="164"/>
        <v>0.35331823439987475</v>
      </c>
      <c r="W152" s="336">
        <f t="shared" si="164"/>
        <v>0.8289459801797282</v>
      </c>
      <c r="X152" s="336">
        <f t="shared" si="164"/>
        <v>0.87428806834801076</v>
      </c>
      <c r="Y152" s="336">
        <f t="shared" si="164"/>
        <v>1.6455696202531622E-2</v>
      </c>
      <c r="Z152" s="336">
        <f t="shared" si="164"/>
        <v>1.6455696202531622E-2</v>
      </c>
      <c r="AA152" s="336">
        <f t="shared" si="164"/>
        <v>0.86833079881305142</v>
      </c>
      <c r="AB152" s="336">
        <f t="shared" si="164"/>
        <v>0.33646630137270733</v>
      </c>
      <c r="AC152" s="336">
        <f t="shared" si="164"/>
        <v>0.33418355391918303</v>
      </c>
      <c r="AD152" s="336">
        <f t="shared" si="164"/>
        <v>0.34528377377443548</v>
      </c>
      <c r="AE152" s="336">
        <f t="shared" si="164"/>
        <v>0.8831522750068973</v>
      </c>
      <c r="AF152" s="336">
        <f t="shared" si="164"/>
        <v>0.1770255801899413</v>
      </c>
      <c r="AG152" s="336">
        <f t="shared" si="164"/>
        <v>1.4966165586718585E-2</v>
      </c>
      <c r="AH152" s="336">
        <f t="shared" si="164"/>
        <v>0.61597657082836677</v>
      </c>
      <c r="AI152" s="336">
        <f t="shared" si="164"/>
        <v>0.67675012874210916</v>
      </c>
    </row>
    <row r="153" spans="2:35" x14ac:dyDescent="0.25">
      <c r="B153" s="46" t="s">
        <v>122</v>
      </c>
      <c r="C153" s="46" t="s">
        <v>469</v>
      </c>
      <c r="D153" s="46" t="s">
        <v>0</v>
      </c>
      <c r="E153" s="46" t="s">
        <v>109</v>
      </c>
      <c r="F153" s="46" t="s">
        <v>174</v>
      </c>
      <c r="G153" s="46"/>
      <c r="H153" s="336">
        <f>H151-H152</f>
        <v>1.3327656896637563E-3</v>
      </c>
      <c r="I153" s="336">
        <f t="shared" ref="I153" si="165">I151-I152</f>
        <v>0</v>
      </c>
      <c r="J153" s="336">
        <f>J151-J152</f>
        <v>6.027022859784098E-3</v>
      </c>
      <c r="K153" s="336">
        <f>K151-K152</f>
        <v>0</v>
      </c>
      <c r="L153" s="336">
        <f t="shared" ref="L153:M153" si="166">L151-L152</f>
        <v>5.746322521946734E-4</v>
      </c>
      <c r="M153" s="336">
        <f t="shared" si="166"/>
        <v>0</v>
      </c>
      <c r="N153" s="336">
        <f>N151-N152</f>
        <v>3.191567358811799E-4</v>
      </c>
      <c r="O153" s="336">
        <f>O151-O152</f>
        <v>0</v>
      </c>
      <c r="P153" s="336">
        <f t="shared" ref="P153:R153" si="167">P151-P152</f>
        <v>4.2696705240675981E-4</v>
      </c>
      <c r="Q153" s="336">
        <f t="shared" si="167"/>
        <v>0.10088540755556596</v>
      </c>
      <c r="R153" s="336">
        <f t="shared" si="167"/>
        <v>0</v>
      </c>
      <c r="S153" s="336">
        <f>S151-S152</f>
        <v>3.0163999541722608E-2</v>
      </c>
      <c r="T153" s="336">
        <f t="shared" ref="T153:X153" si="168">T151-T152</f>
        <v>4.4965265326094017E-4</v>
      </c>
      <c r="U153" s="336">
        <f t="shared" si="168"/>
        <v>0.14107243335903497</v>
      </c>
      <c r="V153" s="336">
        <f t="shared" si="168"/>
        <v>1.3943686667877708E-3</v>
      </c>
      <c r="W153" s="336">
        <f t="shared" si="168"/>
        <v>5.2845861200439437E-2</v>
      </c>
      <c r="X153" s="336">
        <f t="shared" si="168"/>
        <v>1.2458067520659477E-2</v>
      </c>
      <c r="Y153" s="336">
        <f>Y151-Y152</f>
        <v>0</v>
      </c>
      <c r="Z153" s="336">
        <f>Z151-Z152</f>
        <v>0</v>
      </c>
      <c r="AA153" s="336">
        <f t="shared" ref="AA153:AC153" si="169">AA151-AA152</f>
        <v>2.7822648167773023E-2</v>
      </c>
      <c r="AB153" s="336">
        <f t="shared" si="169"/>
        <v>4.4963980236066292E-3</v>
      </c>
      <c r="AC153" s="336">
        <f t="shared" si="169"/>
        <v>1.1263031019520919E-2</v>
      </c>
      <c r="AD153" s="336">
        <f>AD151-AD152</f>
        <v>1.6281116426847264E-4</v>
      </c>
      <c r="AE153" s="336">
        <f>AE151-AE152</f>
        <v>1.8820526362520407E-2</v>
      </c>
      <c r="AF153" s="336">
        <f>AF151-AF152</f>
        <v>6.098047104106219E-3</v>
      </c>
      <c r="AG153" s="336">
        <f>AG151-AG152</f>
        <v>1.489530615813037E-3</v>
      </c>
      <c r="AH153" s="336">
        <f>AH151-AH152</f>
        <v>0.19017884184941225</v>
      </c>
      <c r="AI153" s="336">
        <f t="shared" ref="AI153" si="170">AI151-AI152</f>
        <v>0.22522267262730855</v>
      </c>
    </row>
    <row r="154" spans="2:35" x14ac:dyDescent="0.25">
      <c r="B154" s="360" t="s">
        <v>124</v>
      </c>
      <c r="C154" s="360" t="s">
        <v>123</v>
      </c>
      <c r="D154" s="360" t="s">
        <v>0</v>
      </c>
      <c r="E154" s="360" t="s">
        <v>109</v>
      </c>
      <c r="F154" s="360" t="s">
        <v>174</v>
      </c>
      <c r="G154" s="360"/>
      <c r="H154" s="371">
        <f t="shared" si="162"/>
        <v>0</v>
      </c>
      <c r="I154" s="372">
        <v>0</v>
      </c>
      <c r="J154" s="371">
        <f t="shared" si="137"/>
        <v>0</v>
      </c>
      <c r="K154" s="371">
        <f t="shared" si="138"/>
        <v>0</v>
      </c>
      <c r="L154" s="372">
        <v>0</v>
      </c>
      <c r="M154" s="372">
        <v>0</v>
      </c>
      <c r="N154" s="371">
        <f t="shared" si="141"/>
        <v>0</v>
      </c>
      <c r="O154" s="371">
        <f t="shared" si="142"/>
        <v>0</v>
      </c>
      <c r="P154" s="372">
        <v>0</v>
      </c>
      <c r="Q154" s="372">
        <v>0</v>
      </c>
      <c r="R154" s="372">
        <v>0</v>
      </c>
      <c r="S154" s="372">
        <v>0</v>
      </c>
      <c r="T154" s="372">
        <v>0</v>
      </c>
      <c r="U154" s="372">
        <v>0</v>
      </c>
      <c r="V154" s="372">
        <v>0</v>
      </c>
      <c r="W154" s="372">
        <v>0</v>
      </c>
      <c r="X154" s="372">
        <v>0</v>
      </c>
      <c r="Y154" s="371">
        <f t="shared" si="150"/>
        <v>0</v>
      </c>
      <c r="Z154" s="371">
        <f t="shared" si="151"/>
        <v>0</v>
      </c>
      <c r="AA154" s="372">
        <v>0</v>
      </c>
      <c r="AB154" s="372">
        <v>0</v>
      </c>
      <c r="AC154" s="372">
        <v>0</v>
      </c>
      <c r="AD154" s="371">
        <f t="shared" si="154"/>
        <v>0</v>
      </c>
      <c r="AE154" s="374">
        <f t="shared" si="155"/>
        <v>0</v>
      </c>
      <c r="AF154" s="374">
        <f t="shared" si="156"/>
        <v>0</v>
      </c>
      <c r="AG154" s="374">
        <f t="shared" si="157"/>
        <v>0</v>
      </c>
      <c r="AH154" s="373">
        <v>0</v>
      </c>
      <c r="AI154" s="373">
        <v>0</v>
      </c>
    </row>
    <row r="155" spans="2:35" x14ac:dyDescent="0.25">
      <c r="B155" s="46" t="s">
        <v>124</v>
      </c>
      <c r="C155" s="46" t="s">
        <v>470</v>
      </c>
      <c r="D155" s="46" t="s">
        <v>0</v>
      </c>
      <c r="E155" s="46" t="s">
        <v>109</v>
      </c>
      <c r="F155" s="46" t="s">
        <v>174</v>
      </c>
      <c r="G155" s="46"/>
      <c r="H155" s="337">
        <f t="shared" ref="H155:AI155" si="171">H154*H$54</f>
        <v>0</v>
      </c>
      <c r="I155" s="337">
        <f t="shared" si="171"/>
        <v>0</v>
      </c>
      <c r="J155" s="337">
        <f t="shared" si="171"/>
        <v>0</v>
      </c>
      <c r="K155" s="337">
        <f t="shared" si="171"/>
        <v>0</v>
      </c>
      <c r="L155" s="337">
        <f t="shared" si="171"/>
        <v>0</v>
      </c>
      <c r="M155" s="337">
        <f t="shared" si="171"/>
        <v>0</v>
      </c>
      <c r="N155" s="337">
        <f t="shared" si="171"/>
        <v>0</v>
      </c>
      <c r="O155" s="337">
        <f t="shared" si="171"/>
        <v>0</v>
      </c>
      <c r="P155" s="337">
        <f t="shared" si="171"/>
        <v>0</v>
      </c>
      <c r="Q155" s="337">
        <f t="shared" si="171"/>
        <v>0</v>
      </c>
      <c r="R155" s="337">
        <f t="shared" si="171"/>
        <v>0</v>
      </c>
      <c r="S155" s="337">
        <f t="shared" si="171"/>
        <v>0</v>
      </c>
      <c r="T155" s="337">
        <f t="shared" si="171"/>
        <v>0</v>
      </c>
      <c r="U155" s="337">
        <f t="shared" si="171"/>
        <v>0</v>
      </c>
      <c r="V155" s="337">
        <f t="shared" si="171"/>
        <v>0</v>
      </c>
      <c r="W155" s="337">
        <f t="shared" si="171"/>
        <v>0</v>
      </c>
      <c r="X155" s="337">
        <f t="shared" si="171"/>
        <v>0</v>
      </c>
      <c r="Y155" s="337">
        <f t="shared" si="171"/>
        <v>0</v>
      </c>
      <c r="Z155" s="337">
        <f t="shared" si="171"/>
        <v>0</v>
      </c>
      <c r="AA155" s="337">
        <f t="shared" si="171"/>
        <v>0</v>
      </c>
      <c r="AB155" s="337">
        <f t="shared" si="171"/>
        <v>0</v>
      </c>
      <c r="AC155" s="337">
        <f t="shared" si="171"/>
        <v>0</v>
      </c>
      <c r="AD155" s="337">
        <f t="shared" si="171"/>
        <v>0</v>
      </c>
      <c r="AE155" s="337">
        <f t="shared" si="171"/>
        <v>0</v>
      </c>
      <c r="AF155" s="337">
        <f t="shared" si="171"/>
        <v>0</v>
      </c>
      <c r="AG155" s="337">
        <f t="shared" si="171"/>
        <v>0</v>
      </c>
      <c r="AH155" s="337">
        <f t="shared" si="171"/>
        <v>0</v>
      </c>
      <c r="AI155" s="337">
        <f t="shared" si="171"/>
        <v>0</v>
      </c>
    </row>
    <row r="156" spans="2:35" x14ac:dyDescent="0.25">
      <c r="B156" s="46" t="s">
        <v>124</v>
      </c>
      <c r="C156" s="46" t="s">
        <v>471</v>
      </c>
      <c r="D156" s="46" t="s">
        <v>0</v>
      </c>
      <c r="E156" s="46" t="s">
        <v>109</v>
      </c>
      <c r="F156" s="46" t="s">
        <v>174</v>
      </c>
      <c r="G156" s="46"/>
      <c r="H156" s="336">
        <f>H154-H155</f>
        <v>0</v>
      </c>
      <c r="I156" s="336">
        <f t="shared" ref="I156:AI156" si="172">I154-I155</f>
        <v>0</v>
      </c>
      <c r="J156" s="336">
        <f t="shared" si="172"/>
        <v>0</v>
      </c>
      <c r="K156" s="336">
        <f t="shared" si="172"/>
        <v>0</v>
      </c>
      <c r="L156" s="336">
        <f t="shared" si="172"/>
        <v>0</v>
      </c>
      <c r="M156" s="336">
        <f t="shared" si="172"/>
        <v>0</v>
      </c>
      <c r="N156" s="336">
        <f t="shared" si="172"/>
        <v>0</v>
      </c>
      <c r="O156" s="336">
        <f t="shared" si="172"/>
        <v>0</v>
      </c>
      <c r="P156" s="336">
        <f t="shared" si="172"/>
        <v>0</v>
      </c>
      <c r="Q156" s="336">
        <f t="shared" si="172"/>
        <v>0</v>
      </c>
      <c r="R156" s="336">
        <f t="shared" si="172"/>
        <v>0</v>
      </c>
      <c r="S156" s="336">
        <f t="shared" si="172"/>
        <v>0</v>
      </c>
      <c r="T156" s="336">
        <f t="shared" si="172"/>
        <v>0</v>
      </c>
      <c r="U156" s="336">
        <f t="shared" si="172"/>
        <v>0</v>
      </c>
      <c r="V156" s="336">
        <f t="shared" si="172"/>
        <v>0</v>
      </c>
      <c r="W156" s="336">
        <f t="shared" si="172"/>
        <v>0</v>
      </c>
      <c r="X156" s="336">
        <f t="shared" si="172"/>
        <v>0</v>
      </c>
      <c r="Y156" s="336">
        <f t="shared" si="172"/>
        <v>0</v>
      </c>
      <c r="Z156" s="336">
        <f t="shared" si="172"/>
        <v>0</v>
      </c>
      <c r="AA156" s="336">
        <f t="shared" si="172"/>
        <v>0</v>
      </c>
      <c r="AB156" s="336">
        <f t="shared" si="172"/>
        <v>0</v>
      </c>
      <c r="AC156" s="336">
        <f t="shared" si="172"/>
        <v>0</v>
      </c>
      <c r="AD156" s="336">
        <f t="shared" si="172"/>
        <v>0</v>
      </c>
      <c r="AE156" s="336">
        <f t="shared" si="172"/>
        <v>0</v>
      </c>
      <c r="AF156" s="336">
        <f t="shared" si="172"/>
        <v>0</v>
      </c>
      <c r="AG156" s="336">
        <f t="shared" si="172"/>
        <v>0</v>
      </c>
      <c r="AH156" s="336">
        <f t="shared" si="172"/>
        <v>0</v>
      </c>
      <c r="AI156" s="336">
        <f t="shared" si="172"/>
        <v>0</v>
      </c>
    </row>
    <row r="157" spans="2:35" x14ac:dyDescent="0.25">
      <c r="B157" s="46" t="s">
        <v>119</v>
      </c>
      <c r="C157" s="46" t="s">
        <v>118</v>
      </c>
      <c r="D157" s="46" t="s">
        <v>0</v>
      </c>
      <c r="E157" s="46" t="s">
        <v>109</v>
      </c>
      <c r="F157" s="46" t="s">
        <v>174</v>
      </c>
      <c r="G157" s="46"/>
      <c r="H157" s="371">
        <f t="shared" si="162"/>
        <v>0.81687637270595248</v>
      </c>
      <c r="I157" s="372">
        <v>0.81687637270595248</v>
      </c>
      <c r="J157" s="371">
        <f t="shared" si="137"/>
        <v>0.81687637270595248</v>
      </c>
      <c r="K157" s="371">
        <f t="shared" si="138"/>
        <v>0.81687637270595248</v>
      </c>
      <c r="L157" s="372">
        <v>0.23568303001626614</v>
      </c>
      <c r="M157" s="372">
        <v>0.98354430379746838</v>
      </c>
      <c r="N157" s="371">
        <f t="shared" si="141"/>
        <v>0.98354430379746838</v>
      </c>
      <c r="O157" s="371">
        <f t="shared" si="142"/>
        <v>0.98354430379746838</v>
      </c>
      <c r="P157" s="372">
        <v>0.89999926862626056</v>
      </c>
      <c r="Q157" s="372">
        <v>0</v>
      </c>
      <c r="R157" s="372">
        <v>0.10753280895541374</v>
      </c>
      <c r="S157" s="372">
        <v>0.65551789875562128</v>
      </c>
      <c r="T157" s="372">
        <v>0.74058097151391122</v>
      </c>
      <c r="U157" s="372">
        <v>0</v>
      </c>
      <c r="V157" s="372">
        <v>0.6422836630358838</v>
      </c>
      <c r="W157" s="372">
        <v>0.10930709594921029</v>
      </c>
      <c r="X157" s="372">
        <v>7.0048697875273083E-4</v>
      </c>
      <c r="Y157" s="371">
        <f t="shared" si="150"/>
        <v>0.98354430379746838</v>
      </c>
      <c r="Z157" s="371">
        <f t="shared" si="151"/>
        <v>0.98354430379746838</v>
      </c>
      <c r="AA157" s="372">
        <v>0.1038465530191756</v>
      </c>
      <c r="AB157" s="372">
        <v>0.65903730060368604</v>
      </c>
      <c r="AC157" s="372">
        <v>0.530976357267951</v>
      </c>
      <c r="AD157" s="371">
        <f t="shared" si="154"/>
        <v>0.530976357267951</v>
      </c>
      <c r="AE157" s="374">
        <f t="shared" si="155"/>
        <v>1.8216623374962299E-2</v>
      </c>
      <c r="AF157" s="374">
        <f t="shared" si="156"/>
        <v>0.81687637270595248</v>
      </c>
      <c r="AG157" s="374">
        <f t="shared" si="157"/>
        <v>0.98354430379746838</v>
      </c>
      <c r="AH157" s="373">
        <v>0.19384458732222093</v>
      </c>
      <c r="AI157" s="373">
        <v>1.8216623374962299E-2</v>
      </c>
    </row>
    <row r="158" spans="2:35" x14ac:dyDescent="0.25">
      <c r="B158" s="46" t="s">
        <v>94</v>
      </c>
      <c r="C158" s="46" t="s">
        <v>125</v>
      </c>
      <c r="D158" s="46" t="s">
        <v>0</v>
      </c>
      <c r="E158" s="46" t="s">
        <v>109</v>
      </c>
      <c r="F158" s="46" t="s">
        <v>174</v>
      </c>
      <c r="G158" s="46"/>
      <c r="H158" s="371">
        <f t="shared" si="162"/>
        <v>0</v>
      </c>
      <c r="I158" s="372">
        <v>0</v>
      </c>
      <c r="J158" s="371">
        <f t="shared" si="137"/>
        <v>0</v>
      </c>
      <c r="K158" s="371">
        <f t="shared" si="138"/>
        <v>0</v>
      </c>
      <c r="L158" s="372">
        <v>0</v>
      </c>
      <c r="M158" s="372">
        <v>0</v>
      </c>
      <c r="N158" s="371">
        <f t="shared" si="141"/>
        <v>0</v>
      </c>
      <c r="O158" s="371">
        <f t="shared" si="142"/>
        <v>0</v>
      </c>
      <c r="P158" s="372">
        <v>0</v>
      </c>
      <c r="Q158" s="372">
        <v>0</v>
      </c>
      <c r="R158" s="372">
        <v>0</v>
      </c>
      <c r="S158" s="372">
        <v>0</v>
      </c>
      <c r="T158" s="372">
        <v>0</v>
      </c>
      <c r="U158" s="372">
        <v>0</v>
      </c>
      <c r="V158" s="372">
        <v>0</v>
      </c>
      <c r="W158" s="372">
        <v>0</v>
      </c>
      <c r="X158" s="372">
        <v>0</v>
      </c>
      <c r="Y158" s="371">
        <f t="shared" si="150"/>
        <v>0</v>
      </c>
      <c r="Z158" s="371">
        <f t="shared" si="151"/>
        <v>0</v>
      </c>
      <c r="AA158" s="376">
        <v>0</v>
      </c>
      <c r="AB158" s="376">
        <v>0</v>
      </c>
      <c r="AC158" s="376">
        <v>0</v>
      </c>
      <c r="AD158" s="371">
        <f t="shared" si="154"/>
        <v>0</v>
      </c>
      <c r="AE158" s="374">
        <f t="shared" si="155"/>
        <v>0</v>
      </c>
      <c r="AF158" s="374">
        <f t="shared" si="156"/>
        <v>0</v>
      </c>
      <c r="AG158" s="374">
        <f t="shared" si="157"/>
        <v>0</v>
      </c>
      <c r="AH158" s="373">
        <v>0</v>
      </c>
      <c r="AI158" s="373">
        <v>0</v>
      </c>
    </row>
    <row r="159" spans="2:35" x14ac:dyDescent="0.25">
      <c r="B159" s="46" t="s">
        <v>148</v>
      </c>
      <c r="C159" s="46" t="s">
        <v>173</v>
      </c>
      <c r="D159" s="46" t="s">
        <v>0</v>
      </c>
      <c r="E159" s="46" t="s">
        <v>109</v>
      </c>
      <c r="F159" s="46" t="s">
        <v>174</v>
      </c>
      <c r="G159" s="46"/>
      <c r="H159" s="371">
        <f t="shared" si="162"/>
        <v>0</v>
      </c>
      <c r="I159" s="372">
        <v>0</v>
      </c>
      <c r="J159" s="371">
        <f t="shared" si="137"/>
        <v>0</v>
      </c>
      <c r="K159" s="371">
        <f t="shared" si="138"/>
        <v>0</v>
      </c>
      <c r="L159" s="376">
        <v>0</v>
      </c>
      <c r="M159" s="376">
        <v>0</v>
      </c>
      <c r="N159" s="371">
        <f t="shared" si="141"/>
        <v>0</v>
      </c>
      <c r="O159" s="371">
        <f t="shared" si="142"/>
        <v>0</v>
      </c>
      <c r="P159" s="376">
        <v>0</v>
      </c>
      <c r="Q159" s="376">
        <v>0</v>
      </c>
      <c r="R159" s="376">
        <v>0</v>
      </c>
      <c r="S159" s="376">
        <v>0</v>
      </c>
      <c r="T159" s="376">
        <v>0</v>
      </c>
      <c r="U159" s="376">
        <v>0</v>
      </c>
      <c r="V159" s="376">
        <v>0</v>
      </c>
      <c r="W159" s="376">
        <v>0</v>
      </c>
      <c r="X159" s="376">
        <v>0</v>
      </c>
      <c r="Y159" s="371">
        <f t="shared" si="150"/>
        <v>0</v>
      </c>
      <c r="Z159" s="371">
        <f t="shared" si="151"/>
        <v>0</v>
      </c>
      <c r="AA159" s="376">
        <v>0</v>
      </c>
      <c r="AB159" s="376">
        <v>0</v>
      </c>
      <c r="AC159" s="376">
        <v>0</v>
      </c>
      <c r="AD159" s="371">
        <f t="shared" si="154"/>
        <v>0</v>
      </c>
      <c r="AE159" s="374">
        <f t="shared" si="155"/>
        <v>0</v>
      </c>
      <c r="AF159" s="374">
        <f t="shared" si="156"/>
        <v>0</v>
      </c>
      <c r="AG159" s="374">
        <f t="shared" si="157"/>
        <v>0</v>
      </c>
      <c r="AH159" s="369">
        <v>0</v>
      </c>
      <c r="AI159" s="369">
        <v>0</v>
      </c>
    </row>
    <row r="160" spans="2:35" x14ac:dyDescent="0.25">
      <c r="B160" s="46" t="s">
        <v>169</v>
      </c>
      <c r="C160" s="46" t="s">
        <v>120</v>
      </c>
      <c r="D160" s="46" t="s">
        <v>0</v>
      </c>
      <c r="E160" s="46" t="s">
        <v>109</v>
      </c>
      <c r="F160" s="46" t="s">
        <v>174</v>
      </c>
      <c r="G160" s="46"/>
      <c r="H160" s="371">
        <f t="shared" si="162"/>
        <v>0</v>
      </c>
      <c r="I160" s="376">
        <v>0</v>
      </c>
      <c r="J160" s="371">
        <f t="shared" si="137"/>
        <v>0</v>
      </c>
      <c r="K160" s="371">
        <f t="shared" si="138"/>
        <v>0</v>
      </c>
      <c r="L160" s="376">
        <v>0</v>
      </c>
      <c r="M160" s="376">
        <v>0</v>
      </c>
      <c r="N160" s="371">
        <f t="shared" si="141"/>
        <v>0</v>
      </c>
      <c r="O160" s="371">
        <f t="shared" si="142"/>
        <v>0</v>
      </c>
      <c r="P160" s="376">
        <v>0</v>
      </c>
      <c r="Q160" s="376">
        <v>0</v>
      </c>
      <c r="R160" s="376">
        <v>0.12983653825768016</v>
      </c>
      <c r="S160" s="376">
        <v>0</v>
      </c>
      <c r="T160" s="376">
        <v>2.8785925711066754E-2</v>
      </c>
      <c r="U160" s="376">
        <v>0</v>
      </c>
      <c r="V160" s="376">
        <v>3.0037338974536433E-3</v>
      </c>
      <c r="W160" s="376">
        <v>8.9010626706220817E-3</v>
      </c>
      <c r="X160" s="376">
        <v>0.11255337715257699</v>
      </c>
      <c r="Y160" s="371">
        <f t="shared" si="150"/>
        <v>0</v>
      </c>
      <c r="Z160" s="371">
        <f t="shared" si="151"/>
        <v>0</v>
      </c>
      <c r="AA160" s="376">
        <v>0</v>
      </c>
      <c r="AB160" s="376">
        <v>0</v>
      </c>
      <c r="AC160" s="376">
        <v>0.12357705779334502</v>
      </c>
      <c r="AD160" s="371">
        <f t="shared" si="154"/>
        <v>0.12357705779334502</v>
      </c>
      <c r="AE160" s="374">
        <f t="shared" si="155"/>
        <v>7.981057525562002E-2</v>
      </c>
      <c r="AF160" s="374">
        <f t="shared" si="156"/>
        <v>0</v>
      </c>
      <c r="AG160" s="374">
        <f t="shared" si="157"/>
        <v>0</v>
      </c>
      <c r="AH160" s="369">
        <v>0</v>
      </c>
      <c r="AI160" s="369">
        <v>7.981057525562002E-2</v>
      </c>
    </row>
    <row r="161" spans="2:35" x14ac:dyDescent="0.25">
      <c r="B161" s="339"/>
      <c r="C161" s="340" t="s">
        <v>176</v>
      </c>
      <c r="D161" s="339"/>
      <c r="E161" s="339"/>
      <c r="F161" s="340"/>
      <c r="G161" s="340"/>
      <c r="H161" s="486">
        <f t="shared" ref="H161:AI161" si="173">SUM(H151,H154,H157,H158,H160,H159)</f>
        <v>1</v>
      </c>
      <c r="I161" s="338">
        <f t="shared" si="173"/>
        <v>1</v>
      </c>
      <c r="J161" s="338">
        <f t="shared" si="173"/>
        <v>1</v>
      </c>
      <c r="K161" s="338">
        <f t="shared" si="173"/>
        <v>1</v>
      </c>
      <c r="L161" s="338">
        <f t="shared" si="173"/>
        <v>1</v>
      </c>
      <c r="M161" s="338">
        <f t="shared" si="173"/>
        <v>1</v>
      </c>
      <c r="N161" s="338">
        <f t="shared" si="173"/>
        <v>1</v>
      </c>
      <c r="O161" s="338">
        <f t="shared" si="173"/>
        <v>1</v>
      </c>
      <c r="P161" s="338">
        <f t="shared" si="173"/>
        <v>1</v>
      </c>
      <c r="Q161" s="338">
        <f t="shared" si="173"/>
        <v>1</v>
      </c>
      <c r="R161" s="338">
        <f t="shared" si="173"/>
        <v>1</v>
      </c>
      <c r="S161" s="338">
        <f t="shared" si="173"/>
        <v>1</v>
      </c>
      <c r="T161" s="338">
        <f t="shared" si="173"/>
        <v>1</v>
      </c>
      <c r="U161" s="338">
        <f t="shared" si="173"/>
        <v>1</v>
      </c>
      <c r="V161" s="338">
        <f t="shared" si="173"/>
        <v>1</v>
      </c>
      <c r="W161" s="338">
        <f t="shared" si="173"/>
        <v>1</v>
      </c>
      <c r="X161" s="338">
        <f t="shared" si="173"/>
        <v>0.99999999999999989</v>
      </c>
      <c r="Y161" s="338">
        <f t="shared" si="173"/>
        <v>1</v>
      </c>
      <c r="Z161" s="338">
        <f t="shared" si="173"/>
        <v>1</v>
      </c>
      <c r="AA161" s="338">
        <f t="shared" si="173"/>
        <v>1</v>
      </c>
      <c r="AB161" s="338">
        <f t="shared" si="173"/>
        <v>1</v>
      </c>
      <c r="AC161" s="338">
        <f t="shared" si="173"/>
        <v>1</v>
      </c>
      <c r="AD161" s="338">
        <f t="shared" si="173"/>
        <v>1</v>
      </c>
      <c r="AE161" s="338">
        <f t="shared" si="173"/>
        <v>1</v>
      </c>
      <c r="AF161" s="338">
        <f t="shared" si="173"/>
        <v>1</v>
      </c>
      <c r="AG161" s="338">
        <f t="shared" si="173"/>
        <v>1</v>
      </c>
      <c r="AH161" s="338">
        <f t="shared" si="173"/>
        <v>1</v>
      </c>
      <c r="AI161" s="338">
        <f t="shared" si="173"/>
        <v>1</v>
      </c>
    </row>
    <row r="162" spans="2:35" x14ac:dyDescent="0.25">
      <c r="B162" s="361" t="s">
        <v>122</v>
      </c>
      <c r="C162" s="361" t="s">
        <v>121</v>
      </c>
      <c r="D162" s="361" t="s">
        <v>367</v>
      </c>
      <c r="E162" s="361" t="s">
        <v>110</v>
      </c>
      <c r="F162" s="361" t="s">
        <v>174</v>
      </c>
      <c r="G162" s="361"/>
      <c r="H162" s="366">
        <f t="shared" si="162"/>
        <v>0.18312362729404752</v>
      </c>
      <c r="I162" s="373">
        <v>0.18312362729404752</v>
      </c>
      <c r="J162" s="366">
        <f t="shared" si="137"/>
        <v>0.18312362729404752</v>
      </c>
      <c r="K162" s="366">
        <f t="shared" si="138"/>
        <v>0.18312362729404752</v>
      </c>
      <c r="L162" s="373">
        <v>0.76431696998373388</v>
      </c>
      <c r="M162" s="373">
        <v>1.6455696202531622E-2</v>
      </c>
      <c r="N162" s="366">
        <f t="shared" si="141"/>
        <v>1.6455696202531622E-2</v>
      </c>
      <c r="O162" s="366">
        <f t="shared" si="142"/>
        <v>1.6455696202531622E-2</v>
      </c>
      <c r="P162" s="367">
        <v>0.10000073137373929</v>
      </c>
      <c r="Q162" s="373">
        <v>1</v>
      </c>
      <c r="R162" s="373">
        <v>0.76263065278690612</v>
      </c>
      <c r="S162" s="373">
        <v>0.34448210124437872</v>
      </c>
      <c r="T162" s="373">
        <v>0.23063310277502203</v>
      </c>
      <c r="U162" s="373">
        <v>1</v>
      </c>
      <c r="V162" s="373">
        <v>0.35471260306666252</v>
      </c>
      <c r="W162" s="373">
        <v>0.88179184138016764</v>
      </c>
      <c r="X162" s="373">
        <v>0.88674613586867024</v>
      </c>
      <c r="Y162" s="366">
        <f t="shared" si="150"/>
        <v>1.6455696202531622E-2</v>
      </c>
      <c r="Z162" s="366">
        <f t="shared" si="151"/>
        <v>1.6455696202531622E-2</v>
      </c>
      <c r="AA162" s="373">
        <v>0.89615344698082444</v>
      </c>
      <c r="AB162" s="373">
        <v>0.34096269939631396</v>
      </c>
      <c r="AC162" s="373">
        <v>0.34544658493870395</v>
      </c>
      <c r="AD162" s="366">
        <f t="shared" si="154"/>
        <v>0.34544658493870395</v>
      </c>
      <c r="AE162" s="370">
        <f t="shared" si="155"/>
        <v>0.90197280136941771</v>
      </c>
      <c r="AF162" s="370">
        <f t="shared" si="156"/>
        <v>0.18312362729404752</v>
      </c>
      <c r="AG162" s="370">
        <f t="shared" si="157"/>
        <v>1.6455696202531622E-2</v>
      </c>
      <c r="AH162" s="373">
        <v>0.80615541267777902</v>
      </c>
      <c r="AI162" s="373">
        <v>0.90197280136941771</v>
      </c>
    </row>
    <row r="163" spans="2:35" x14ac:dyDescent="0.25">
      <c r="B163" s="46" t="s">
        <v>122</v>
      </c>
      <c r="C163" s="46" t="s">
        <v>468</v>
      </c>
      <c r="D163" s="46" t="s">
        <v>367</v>
      </c>
      <c r="E163" s="46" t="s">
        <v>110</v>
      </c>
      <c r="F163" s="46" t="s">
        <v>174</v>
      </c>
      <c r="G163" s="46"/>
      <c r="H163" s="336">
        <f t="shared" ref="H163:AI163" si="174">H$53*H162</f>
        <v>0.18179086160438376</v>
      </c>
      <c r="I163" s="336">
        <f t="shared" si="174"/>
        <v>0.18312362729404752</v>
      </c>
      <c r="J163" s="336">
        <f t="shared" si="174"/>
        <v>0.17709660443426342</v>
      </c>
      <c r="K163" s="336">
        <f t="shared" si="174"/>
        <v>0.18312362729404752</v>
      </c>
      <c r="L163" s="336">
        <f t="shared" si="174"/>
        <v>0.76374233773153921</v>
      </c>
      <c r="M163" s="336">
        <f t="shared" si="174"/>
        <v>1.6455696202531622E-2</v>
      </c>
      <c r="N163" s="336">
        <f t="shared" si="174"/>
        <v>1.6136539466650442E-2</v>
      </c>
      <c r="O163" s="336">
        <f t="shared" si="174"/>
        <v>1.6455696202531622E-2</v>
      </c>
      <c r="P163" s="336">
        <f t="shared" si="174"/>
        <v>9.9573764321332525E-2</v>
      </c>
      <c r="Q163" s="336">
        <f t="shared" si="174"/>
        <v>0.89911459244443404</v>
      </c>
      <c r="R163" s="336">
        <f t="shared" si="174"/>
        <v>0.76263065278690612</v>
      </c>
      <c r="S163" s="336">
        <f t="shared" si="174"/>
        <v>0.31431810170265612</v>
      </c>
      <c r="T163" s="336">
        <f t="shared" si="174"/>
        <v>0.23018345012176109</v>
      </c>
      <c r="U163" s="336">
        <f t="shared" si="174"/>
        <v>0.85892756664096503</v>
      </c>
      <c r="V163" s="336">
        <f t="shared" si="174"/>
        <v>0.35331823439987475</v>
      </c>
      <c r="W163" s="336">
        <f t="shared" si="174"/>
        <v>0.8289459801797282</v>
      </c>
      <c r="X163" s="336">
        <f t="shared" si="174"/>
        <v>0.87428806834801076</v>
      </c>
      <c r="Y163" s="336">
        <f t="shared" si="174"/>
        <v>1.6455696202531622E-2</v>
      </c>
      <c r="Z163" s="336">
        <f t="shared" si="174"/>
        <v>1.6455696202531622E-2</v>
      </c>
      <c r="AA163" s="336">
        <f t="shared" si="174"/>
        <v>0.86833079881305142</v>
      </c>
      <c r="AB163" s="336">
        <f t="shared" si="174"/>
        <v>0.33646630137270733</v>
      </c>
      <c r="AC163" s="336">
        <f t="shared" si="174"/>
        <v>0.33418355391918303</v>
      </c>
      <c r="AD163" s="336">
        <f t="shared" si="174"/>
        <v>0.34528377377443548</v>
      </c>
      <c r="AE163" s="336">
        <f t="shared" si="174"/>
        <v>0.8831522750068973</v>
      </c>
      <c r="AF163" s="336">
        <f t="shared" si="174"/>
        <v>0.1770255801899413</v>
      </c>
      <c r="AG163" s="336">
        <f t="shared" si="174"/>
        <v>1.4966165586718585E-2</v>
      </c>
      <c r="AH163" s="336">
        <f t="shared" si="174"/>
        <v>0.61597657082836677</v>
      </c>
      <c r="AI163" s="336">
        <f t="shared" si="174"/>
        <v>0.67675012874210916</v>
      </c>
    </row>
    <row r="164" spans="2:35" x14ac:dyDescent="0.25">
      <c r="B164" s="46" t="s">
        <v>122</v>
      </c>
      <c r="C164" s="46" t="s">
        <v>469</v>
      </c>
      <c r="D164" s="46" t="s">
        <v>367</v>
      </c>
      <c r="E164" s="46" t="s">
        <v>110</v>
      </c>
      <c r="F164" s="46" t="s">
        <v>174</v>
      </c>
      <c r="G164" s="46"/>
      <c r="H164" s="336">
        <f>H162-H163</f>
        <v>1.3327656896637563E-3</v>
      </c>
      <c r="I164" s="336">
        <f t="shared" ref="I164" si="175">I162-I163</f>
        <v>0</v>
      </c>
      <c r="J164" s="336">
        <f>J162-J163</f>
        <v>6.027022859784098E-3</v>
      </c>
      <c r="K164" s="336">
        <f>K162-K163</f>
        <v>0</v>
      </c>
      <c r="L164" s="336">
        <f t="shared" ref="L164:M164" si="176">L162-L163</f>
        <v>5.746322521946734E-4</v>
      </c>
      <c r="M164" s="336">
        <f t="shared" si="176"/>
        <v>0</v>
      </c>
      <c r="N164" s="336">
        <f>N162-N163</f>
        <v>3.191567358811799E-4</v>
      </c>
      <c r="O164" s="336">
        <f>O162-O163</f>
        <v>0</v>
      </c>
      <c r="P164" s="336">
        <f t="shared" ref="P164:R164" si="177">P162-P163</f>
        <v>4.2696705240675981E-4</v>
      </c>
      <c r="Q164" s="336">
        <f t="shared" si="177"/>
        <v>0.10088540755556596</v>
      </c>
      <c r="R164" s="336">
        <f t="shared" si="177"/>
        <v>0</v>
      </c>
      <c r="S164" s="336">
        <f>S162-S163</f>
        <v>3.0163999541722608E-2</v>
      </c>
      <c r="T164" s="336">
        <f t="shared" ref="T164:X164" si="178">T162-T163</f>
        <v>4.4965265326094017E-4</v>
      </c>
      <c r="U164" s="336">
        <f t="shared" si="178"/>
        <v>0.14107243335903497</v>
      </c>
      <c r="V164" s="336">
        <f t="shared" si="178"/>
        <v>1.3943686667877708E-3</v>
      </c>
      <c r="W164" s="336">
        <f t="shared" si="178"/>
        <v>5.2845861200439437E-2</v>
      </c>
      <c r="X164" s="336">
        <f t="shared" si="178"/>
        <v>1.2458067520659477E-2</v>
      </c>
      <c r="Y164" s="336">
        <f>Y162-Y163</f>
        <v>0</v>
      </c>
      <c r="Z164" s="336">
        <f>Z162-Z163</f>
        <v>0</v>
      </c>
      <c r="AA164" s="336">
        <f t="shared" ref="AA164:AC164" si="179">AA162-AA163</f>
        <v>2.7822648167773023E-2</v>
      </c>
      <c r="AB164" s="336">
        <f t="shared" si="179"/>
        <v>4.4963980236066292E-3</v>
      </c>
      <c r="AC164" s="336">
        <f t="shared" si="179"/>
        <v>1.1263031019520919E-2</v>
      </c>
      <c r="AD164" s="336">
        <f>AD162-AD163</f>
        <v>1.6281116426847264E-4</v>
      </c>
      <c r="AE164" s="336">
        <f>AE162-AE163</f>
        <v>1.8820526362520407E-2</v>
      </c>
      <c r="AF164" s="336">
        <f>AF162-AF163</f>
        <v>6.098047104106219E-3</v>
      </c>
      <c r="AG164" s="336">
        <f>AG162-AG163</f>
        <v>1.489530615813037E-3</v>
      </c>
      <c r="AH164" s="336">
        <f>AH162-AH163</f>
        <v>0.19017884184941225</v>
      </c>
      <c r="AI164" s="336">
        <f t="shared" ref="AI164" si="180">AI162-AI163</f>
        <v>0.22522267262730855</v>
      </c>
    </row>
    <row r="165" spans="2:35" x14ac:dyDescent="0.25">
      <c r="B165" s="360" t="s">
        <v>124</v>
      </c>
      <c r="C165" s="360" t="s">
        <v>123</v>
      </c>
      <c r="D165" s="360" t="s">
        <v>367</v>
      </c>
      <c r="E165" s="360" t="s">
        <v>110</v>
      </c>
      <c r="F165" s="360" t="s">
        <v>174</v>
      </c>
      <c r="G165" s="360"/>
      <c r="H165" s="371">
        <f t="shared" si="162"/>
        <v>0</v>
      </c>
      <c r="I165" s="372">
        <v>0</v>
      </c>
      <c r="J165" s="371">
        <f t="shared" si="137"/>
        <v>0</v>
      </c>
      <c r="K165" s="371">
        <f t="shared" si="138"/>
        <v>0</v>
      </c>
      <c r="L165" s="372">
        <v>0</v>
      </c>
      <c r="M165" s="372">
        <v>0</v>
      </c>
      <c r="N165" s="371">
        <f t="shared" si="141"/>
        <v>0</v>
      </c>
      <c r="O165" s="371">
        <f t="shared" si="142"/>
        <v>0</v>
      </c>
      <c r="P165" s="372">
        <v>0</v>
      </c>
      <c r="Q165" s="372">
        <v>0</v>
      </c>
      <c r="R165" s="372">
        <v>0</v>
      </c>
      <c r="S165" s="372">
        <v>0</v>
      </c>
      <c r="T165" s="372">
        <v>0</v>
      </c>
      <c r="U165" s="372">
        <v>0</v>
      </c>
      <c r="V165" s="372">
        <v>0</v>
      </c>
      <c r="W165" s="372">
        <v>0</v>
      </c>
      <c r="X165" s="372">
        <v>0</v>
      </c>
      <c r="Y165" s="371">
        <f t="shared" si="150"/>
        <v>0</v>
      </c>
      <c r="Z165" s="371">
        <f t="shared" si="151"/>
        <v>0</v>
      </c>
      <c r="AA165" s="372">
        <v>0</v>
      </c>
      <c r="AB165" s="372">
        <v>0</v>
      </c>
      <c r="AC165" s="372">
        <v>0</v>
      </c>
      <c r="AD165" s="371">
        <f t="shared" si="154"/>
        <v>0</v>
      </c>
      <c r="AE165" s="374">
        <f t="shared" si="155"/>
        <v>0</v>
      </c>
      <c r="AF165" s="374">
        <f t="shared" si="156"/>
        <v>0</v>
      </c>
      <c r="AG165" s="374">
        <f t="shared" si="157"/>
        <v>0</v>
      </c>
      <c r="AH165" s="373">
        <v>0</v>
      </c>
      <c r="AI165" s="373">
        <v>0</v>
      </c>
    </row>
    <row r="166" spans="2:35" x14ac:dyDescent="0.25">
      <c r="B166" s="46" t="s">
        <v>124</v>
      </c>
      <c r="C166" s="46" t="s">
        <v>470</v>
      </c>
      <c r="D166" s="46" t="s">
        <v>367</v>
      </c>
      <c r="E166" s="46" t="s">
        <v>110</v>
      </c>
      <c r="F166" s="46" t="s">
        <v>174</v>
      </c>
      <c r="G166" s="46"/>
      <c r="H166" s="337">
        <f t="shared" ref="H166:AI166" si="181">H165*H$54</f>
        <v>0</v>
      </c>
      <c r="I166" s="337">
        <f t="shared" si="181"/>
        <v>0</v>
      </c>
      <c r="J166" s="337">
        <f t="shared" si="181"/>
        <v>0</v>
      </c>
      <c r="K166" s="337">
        <f t="shared" si="181"/>
        <v>0</v>
      </c>
      <c r="L166" s="337">
        <f t="shared" si="181"/>
        <v>0</v>
      </c>
      <c r="M166" s="337">
        <f t="shared" si="181"/>
        <v>0</v>
      </c>
      <c r="N166" s="337">
        <f t="shared" si="181"/>
        <v>0</v>
      </c>
      <c r="O166" s="337">
        <f t="shared" si="181"/>
        <v>0</v>
      </c>
      <c r="P166" s="337">
        <f t="shared" si="181"/>
        <v>0</v>
      </c>
      <c r="Q166" s="337">
        <f t="shared" si="181"/>
        <v>0</v>
      </c>
      <c r="R166" s="337">
        <f t="shared" si="181"/>
        <v>0</v>
      </c>
      <c r="S166" s="337">
        <f t="shared" si="181"/>
        <v>0</v>
      </c>
      <c r="T166" s="337">
        <f t="shared" si="181"/>
        <v>0</v>
      </c>
      <c r="U166" s="337">
        <f t="shared" si="181"/>
        <v>0</v>
      </c>
      <c r="V166" s="337">
        <f t="shared" si="181"/>
        <v>0</v>
      </c>
      <c r="W166" s="337">
        <f t="shared" si="181"/>
        <v>0</v>
      </c>
      <c r="X166" s="337">
        <f t="shared" si="181"/>
        <v>0</v>
      </c>
      <c r="Y166" s="337">
        <f t="shared" si="181"/>
        <v>0</v>
      </c>
      <c r="Z166" s="337">
        <f t="shared" si="181"/>
        <v>0</v>
      </c>
      <c r="AA166" s="337">
        <f t="shared" si="181"/>
        <v>0</v>
      </c>
      <c r="AB166" s="337">
        <f t="shared" si="181"/>
        <v>0</v>
      </c>
      <c r="AC166" s="337">
        <f t="shared" si="181"/>
        <v>0</v>
      </c>
      <c r="AD166" s="337">
        <f t="shared" si="181"/>
        <v>0</v>
      </c>
      <c r="AE166" s="337">
        <f t="shared" si="181"/>
        <v>0</v>
      </c>
      <c r="AF166" s="337">
        <f t="shared" si="181"/>
        <v>0</v>
      </c>
      <c r="AG166" s="337">
        <f t="shared" si="181"/>
        <v>0</v>
      </c>
      <c r="AH166" s="337">
        <f t="shared" si="181"/>
        <v>0</v>
      </c>
      <c r="AI166" s="337">
        <f t="shared" si="181"/>
        <v>0</v>
      </c>
    </row>
    <row r="167" spans="2:35" x14ac:dyDescent="0.25">
      <c r="B167" s="46" t="s">
        <v>124</v>
      </c>
      <c r="C167" s="46" t="s">
        <v>471</v>
      </c>
      <c r="D167" s="46" t="s">
        <v>367</v>
      </c>
      <c r="E167" s="46" t="s">
        <v>110</v>
      </c>
      <c r="F167" s="46" t="s">
        <v>174</v>
      </c>
      <c r="G167" s="46"/>
      <c r="H167" s="336">
        <f>H165-H166</f>
        <v>0</v>
      </c>
      <c r="I167" s="336">
        <f t="shared" ref="I167:AI167" si="182">I165-I166</f>
        <v>0</v>
      </c>
      <c r="J167" s="336">
        <f t="shared" si="182"/>
        <v>0</v>
      </c>
      <c r="K167" s="336">
        <f t="shared" si="182"/>
        <v>0</v>
      </c>
      <c r="L167" s="336">
        <f t="shared" si="182"/>
        <v>0</v>
      </c>
      <c r="M167" s="336">
        <f t="shared" si="182"/>
        <v>0</v>
      </c>
      <c r="N167" s="336">
        <f t="shared" si="182"/>
        <v>0</v>
      </c>
      <c r="O167" s="336">
        <f t="shared" si="182"/>
        <v>0</v>
      </c>
      <c r="P167" s="336">
        <f t="shared" si="182"/>
        <v>0</v>
      </c>
      <c r="Q167" s="336">
        <f t="shared" si="182"/>
        <v>0</v>
      </c>
      <c r="R167" s="336">
        <f t="shared" si="182"/>
        <v>0</v>
      </c>
      <c r="S167" s="336">
        <f t="shared" si="182"/>
        <v>0</v>
      </c>
      <c r="T167" s="336">
        <f t="shared" si="182"/>
        <v>0</v>
      </c>
      <c r="U167" s="336">
        <f t="shared" si="182"/>
        <v>0</v>
      </c>
      <c r="V167" s="336">
        <f t="shared" si="182"/>
        <v>0</v>
      </c>
      <c r="W167" s="336">
        <f t="shared" si="182"/>
        <v>0</v>
      </c>
      <c r="X167" s="336">
        <f t="shared" si="182"/>
        <v>0</v>
      </c>
      <c r="Y167" s="336">
        <f t="shared" si="182"/>
        <v>0</v>
      </c>
      <c r="Z167" s="336">
        <f t="shared" si="182"/>
        <v>0</v>
      </c>
      <c r="AA167" s="336">
        <f t="shared" si="182"/>
        <v>0</v>
      </c>
      <c r="AB167" s="336">
        <f t="shared" si="182"/>
        <v>0</v>
      </c>
      <c r="AC167" s="336">
        <f t="shared" si="182"/>
        <v>0</v>
      </c>
      <c r="AD167" s="336">
        <f t="shared" si="182"/>
        <v>0</v>
      </c>
      <c r="AE167" s="336">
        <f t="shared" si="182"/>
        <v>0</v>
      </c>
      <c r="AF167" s="336">
        <f t="shared" si="182"/>
        <v>0</v>
      </c>
      <c r="AG167" s="336">
        <f t="shared" si="182"/>
        <v>0</v>
      </c>
      <c r="AH167" s="336">
        <f t="shared" si="182"/>
        <v>0</v>
      </c>
      <c r="AI167" s="336">
        <f t="shared" si="182"/>
        <v>0</v>
      </c>
    </row>
    <row r="168" spans="2:35" x14ac:dyDescent="0.25">
      <c r="B168" s="46" t="s">
        <v>119</v>
      </c>
      <c r="C168" s="46" t="s">
        <v>118</v>
      </c>
      <c r="D168" s="46" t="s">
        <v>367</v>
      </c>
      <c r="E168" s="46" t="s">
        <v>110</v>
      </c>
      <c r="F168" s="46" t="s">
        <v>174</v>
      </c>
      <c r="G168" s="46"/>
      <c r="H168" s="371">
        <f t="shared" si="162"/>
        <v>0.81687637270595248</v>
      </c>
      <c r="I168" s="372">
        <v>0.81687637270595248</v>
      </c>
      <c r="J168" s="371">
        <f t="shared" si="137"/>
        <v>0.81687637270595248</v>
      </c>
      <c r="K168" s="371">
        <f t="shared" si="138"/>
        <v>0.81687637270595248</v>
      </c>
      <c r="L168" s="372">
        <v>0.23568303001626614</v>
      </c>
      <c r="M168" s="372">
        <v>0.98354430379746838</v>
      </c>
      <c r="N168" s="371">
        <f t="shared" si="141"/>
        <v>0.98354430379746838</v>
      </c>
      <c r="O168" s="371">
        <f t="shared" si="142"/>
        <v>0.98354430379746838</v>
      </c>
      <c r="P168" s="372">
        <v>0.89999926862626056</v>
      </c>
      <c r="Q168" s="372">
        <v>0</v>
      </c>
      <c r="R168" s="372">
        <v>0.10753280895541374</v>
      </c>
      <c r="S168" s="372">
        <v>0.65551789875562128</v>
      </c>
      <c r="T168" s="372">
        <v>0.74058097151391122</v>
      </c>
      <c r="U168" s="372">
        <v>0</v>
      </c>
      <c r="V168" s="372">
        <v>0.6422836630358838</v>
      </c>
      <c r="W168" s="372">
        <v>0.10930709594921029</v>
      </c>
      <c r="X168" s="372">
        <v>7.0048697875273083E-4</v>
      </c>
      <c r="Y168" s="371">
        <f t="shared" si="150"/>
        <v>0.98354430379746838</v>
      </c>
      <c r="Z168" s="371">
        <f t="shared" si="151"/>
        <v>0.98354430379746838</v>
      </c>
      <c r="AA168" s="372">
        <v>0.1038465530191756</v>
      </c>
      <c r="AB168" s="372">
        <v>0.65903730060368604</v>
      </c>
      <c r="AC168" s="372">
        <v>0.530976357267951</v>
      </c>
      <c r="AD168" s="371">
        <f t="shared" si="154"/>
        <v>0.530976357267951</v>
      </c>
      <c r="AE168" s="374">
        <f t="shared" si="155"/>
        <v>1.8216623374962299E-2</v>
      </c>
      <c r="AF168" s="374">
        <f t="shared" si="156"/>
        <v>0.81687637270595248</v>
      </c>
      <c r="AG168" s="374">
        <f t="shared" si="157"/>
        <v>0.98354430379746838</v>
      </c>
      <c r="AH168" s="373">
        <v>0.19384458732222093</v>
      </c>
      <c r="AI168" s="373">
        <v>1.8216623374962299E-2</v>
      </c>
    </row>
    <row r="169" spans="2:35" x14ac:dyDescent="0.25">
      <c r="B169" s="46" t="s">
        <v>94</v>
      </c>
      <c r="C169" s="46" t="s">
        <v>125</v>
      </c>
      <c r="D169" s="46" t="s">
        <v>367</v>
      </c>
      <c r="E169" s="46" t="s">
        <v>110</v>
      </c>
      <c r="F169" s="46" t="s">
        <v>174</v>
      </c>
      <c r="G169" s="46"/>
      <c r="H169" s="371">
        <f t="shared" si="162"/>
        <v>0</v>
      </c>
      <c r="I169" s="372">
        <v>0</v>
      </c>
      <c r="J169" s="371">
        <f t="shared" si="137"/>
        <v>0</v>
      </c>
      <c r="K169" s="371">
        <f t="shared" si="138"/>
        <v>0</v>
      </c>
      <c r="L169" s="372">
        <v>0</v>
      </c>
      <c r="M169" s="372">
        <v>0</v>
      </c>
      <c r="N169" s="371">
        <f t="shared" si="141"/>
        <v>0</v>
      </c>
      <c r="O169" s="371">
        <f t="shared" si="142"/>
        <v>0</v>
      </c>
      <c r="P169" s="372">
        <v>0</v>
      </c>
      <c r="Q169" s="372">
        <v>0</v>
      </c>
      <c r="R169" s="372">
        <v>0</v>
      </c>
      <c r="S169" s="372">
        <v>0</v>
      </c>
      <c r="T169" s="372">
        <v>0</v>
      </c>
      <c r="U169" s="372">
        <v>0</v>
      </c>
      <c r="V169" s="372">
        <v>0</v>
      </c>
      <c r="W169" s="372">
        <v>0</v>
      </c>
      <c r="X169" s="372">
        <v>0</v>
      </c>
      <c r="Y169" s="371">
        <f t="shared" si="150"/>
        <v>0</v>
      </c>
      <c r="Z169" s="371">
        <f t="shared" si="151"/>
        <v>0</v>
      </c>
      <c r="AA169" s="372">
        <v>0</v>
      </c>
      <c r="AB169" s="372">
        <v>0</v>
      </c>
      <c r="AC169" s="372">
        <v>0</v>
      </c>
      <c r="AD169" s="371">
        <f t="shared" si="154"/>
        <v>0</v>
      </c>
      <c r="AE169" s="374">
        <f t="shared" si="155"/>
        <v>0</v>
      </c>
      <c r="AF169" s="374">
        <f t="shared" si="156"/>
        <v>0</v>
      </c>
      <c r="AG169" s="374">
        <f t="shared" si="157"/>
        <v>0</v>
      </c>
      <c r="AH169" s="373">
        <v>0</v>
      </c>
      <c r="AI169" s="373">
        <v>0</v>
      </c>
    </row>
    <row r="170" spans="2:35" x14ac:dyDescent="0.25">
      <c r="B170" s="46" t="s">
        <v>148</v>
      </c>
      <c r="C170" s="46" t="s">
        <v>173</v>
      </c>
      <c r="D170" s="46" t="s">
        <v>367</v>
      </c>
      <c r="E170" s="46" t="s">
        <v>110</v>
      </c>
      <c r="F170" s="46" t="s">
        <v>174</v>
      </c>
      <c r="G170" s="46"/>
      <c r="H170" s="371">
        <f t="shared" si="162"/>
        <v>0</v>
      </c>
      <c r="I170" s="372">
        <v>0</v>
      </c>
      <c r="J170" s="371">
        <f t="shared" si="137"/>
        <v>0</v>
      </c>
      <c r="K170" s="371">
        <f t="shared" si="138"/>
        <v>0</v>
      </c>
      <c r="L170" s="372">
        <v>0</v>
      </c>
      <c r="M170" s="372">
        <v>0</v>
      </c>
      <c r="N170" s="371">
        <f t="shared" si="141"/>
        <v>0</v>
      </c>
      <c r="O170" s="371">
        <f t="shared" si="142"/>
        <v>0</v>
      </c>
      <c r="P170" s="372">
        <v>0</v>
      </c>
      <c r="Q170" s="372">
        <v>0</v>
      </c>
      <c r="R170" s="372">
        <v>0</v>
      </c>
      <c r="S170" s="376">
        <v>0</v>
      </c>
      <c r="T170" s="372">
        <v>0</v>
      </c>
      <c r="U170" s="372">
        <v>0</v>
      </c>
      <c r="V170" s="372">
        <v>0</v>
      </c>
      <c r="W170" s="372">
        <v>0</v>
      </c>
      <c r="X170" s="372">
        <v>0</v>
      </c>
      <c r="Y170" s="371">
        <f t="shared" si="150"/>
        <v>0</v>
      </c>
      <c r="Z170" s="371">
        <f t="shared" si="151"/>
        <v>0</v>
      </c>
      <c r="AA170" s="372">
        <v>0</v>
      </c>
      <c r="AB170" s="372">
        <v>0</v>
      </c>
      <c r="AC170" s="372">
        <v>0</v>
      </c>
      <c r="AD170" s="371">
        <f t="shared" si="154"/>
        <v>0</v>
      </c>
      <c r="AE170" s="374">
        <f t="shared" si="155"/>
        <v>0</v>
      </c>
      <c r="AF170" s="374">
        <f t="shared" si="156"/>
        <v>0</v>
      </c>
      <c r="AG170" s="374">
        <f t="shared" si="157"/>
        <v>0</v>
      </c>
      <c r="AH170" s="373">
        <v>0</v>
      </c>
      <c r="AI170" s="373">
        <v>0</v>
      </c>
    </row>
    <row r="171" spans="2:35" x14ac:dyDescent="0.25">
      <c r="B171" s="46" t="s">
        <v>169</v>
      </c>
      <c r="C171" s="46" t="s">
        <v>120</v>
      </c>
      <c r="D171" s="46" t="s">
        <v>367</v>
      </c>
      <c r="E171" s="46" t="s">
        <v>110</v>
      </c>
      <c r="F171" s="46" t="s">
        <v>174</v>
      </c>
      <c r="G171" s="46"/>
      <c r="H171" s="371">
        <f t="shared" si="162"/>
        <v>0</v>
      </c>
      <c r="I171" s="376">
        <v>0</v>
      </c>
      <c r="J171" s="371">
        <f t="shared" si="137"/>
        <v>0</v>
      </c>
      <c r="K171" s="371">
        <f t="shared" si="138"/>
        <v>0</v>
      </c>
      <c r="L171" s="372">
        <v>0</v>
      </c>
      <c r="M171" s="372">
        <v>0</v>
      </c>
      <c r="N171" s="371">
        <f t="shared" si="141"/>
        <v>0</v>
      </c>
      <c r="O171" s="371">
        <f t="shared" si="142"/>
        <v>0</v>
      </c>
      <c r="P171" s="376">
        <v>0</v>
      </c>
      <c r="Q171" s="376">
        <v>0</v>
      </c>
      <c r="R171" s="376">
        <v>0.12983653825768016</v>
      </c>
      <c r="S171" s="376">
        <v>0</v>
      </c>
      <c r="T171" s="376">
        <v>2.8785925711066754E-2</v>
      </c>
      <c r="U171" s="376">
        <v>0</v>
      </c>
      <c r="V171" s="376">
        <v>3.0037338974536433E-3</v>
      </c>
      <c r="W171" s="376">
        <v>8.9010626706220817E-3</v>
      </c>
      <c r="X171" s="376">
        <v>0.11255337715257699</v>
      </c>
      <c r="Y171" s="371">
        <f t="shared" si="150"/>
        <v>0</v>
      </c>
      <c r="Z171" s="371">
        <f t="shared" si="151"/>
        <v>0</v>
      </c>
      <c r="AA171" s="376">
        <v>0</v>
      </c>
      <c r="AB171" s="376">
        <v>0</v>
      </c>
      <c r="AC171" s="376">
        <v>0.12357705779334502</v>
      </c>
      <c r="AD171" s="371">
        <f t="shared" si="154"/>
        <v>0.12357705779334502</v>
      </c>
      <c r="AE171" s="374">
        <f t="shared" si="155"/>
        <v>7.981057525562002E-2</v>
      </c>
      <c r="AF171" s="374">
        <f t="shared" si="156"/>
        <v>0</v>
      </c>
      <c r="AG171" s="374">
        <f t="shared" si="157"/>
        <v>0</v>
      </c>
      <c r="AH171" s="369">
        <v>0</v>
      </c>
      <c r="AI171" s="369">
        <v>7.981057525562002E-2</v>
      </c>
    </row>
    <row r="172" spans="2:35" x14ac:dyDescent="0.25">
      <c r="B172" s="339"/>
      <c r="C172" s="340" t="s">
        <v>176</v>
      </c>
      <c r="D172" s="339"/>
      <c r="E172" s="339"/>
      <c r="F172" s="340"/>
      <c r="G172" s="340"/>
      <c r="H172" s="338">
        <f t="shared" ref="H172:AI172" si="183">SUM(H162,H165,H168,H169,H171,H170)</f>
        <v>1</v>
      </c>
      <c r="I172" s="338">
        <f t="shared" si="183"/>
        <v>1</v>
      </c>
      <c r="J172" s="338">
        <f t="shared" si="183"/>
        <v>1</v>
      </c>
      <c r="K172" s="338">
        <f t="shared" si="183"/>
        <v>1</v>
      </c>
      <c r="L172" s="338">
        <f t="shared" si="183"/>
        <v>1</v>
      </c>
      <c r="M172" s="338">
        <f t="shared" si="183"/>
        <v>1</v>
      </c>
      <c r="N172" s="338">
        <f t="shared" si="183"/>
        <v>1</v>
      </c>
      <c r="O172" s="338">
        <f t="shared" si="183"/>
        <v>1</v>
      </c>
      <c r="P172" s="338">
        <f t="shared" si="183"/>
        <v>0.99999999999999989</v>
      </c>
      <c r="Q172" s="338">
        <f t="shared" si="183"/>
        <v>1</v>
      </c>
      <c r="R172" s="338">
        <f t="shared" si="183"/>
        <v>1</v>
      </c>
      <c r="S172" s="338">
        <f t="shared" si="183"/>
        <v>1</v>
      </c>
      <c r="T172" s="338">
        <f t="shared" si="183"/>
        <v>1</v>
      </c>
      <c r="U172" s="338">
        <f t="shared" si="183"/>
        <v>1</v>
      </c>
      <c r="V172" s="338">
        <f t="shared" si="183"/>
        <v>1</v>
      </c>
      <c r="W172" s="338">
        <f t="shared" si="183"/>
        <v>1</v>
      </c>
      <c r="X172" s="338">
        <f t="shared" si="183"/>
        <v>0.99999999999999989</v>
      </c>
      <c r="Y172" s="338">
        <f t="shared" si="183"/>
        <v>1</v>
      </c>
      <c r="Z172" s="338">
        <f t="shared" si="183"/>
        <v>1</v>
      </c>
      <c r="AA172" s="338">
        <f t="shared" si="183"/>
        <v>1</v>
      </c>
      <c r="AB172" s="338">
        <f t="shared" si="183"/>
        <v>1</v>
      </c>
      <c r="AC172" s="338">
        <f t="shared" si="183"/>
        <v>1</v>
      </c>
      <c r="AD172" s="338">
        <f t="shared" si="183"/>
        <v>1</v>
      </c>
      <c r="AE172" s="338">
        <f t="shared" si="183"/>
        <v>1</v>
      </c>
      <c r="AF172" s="338">
        <f t="shared" si="183"/>
        <v>1</v>
      </c>
      <c r="AG172" s="338">
        <f t="shared" si="183"/>
        <v>1</v>
      </c>
      <c r="AH172" s="338">
        <f t="shared" si="183"/>
        <v>1</v>
      </c>
      <c r="AI172" s="338">
        <f t="shared" si="183"/>
        <v>1</v>
      </c>
    </row>
    <row r="173" spans="2:35" x14ac:dyDescent="0.25">
      <c r="B173" s="360" t="s">
        <v>122</v>
      </c>
      <c r="C173" s="360" t="s">
        <v>121</v>
      </c>
      <c r="D173" s="360" t="s">
        <v>21</v>
      </c>
      <c r="E173" s="360" t="s">
        <v>107</v>
      </c>
      <c r="F173" s="360" t="s">
        <v>174</v>
      </c>
      <c r="G173" s="360"/>
      <c r="H173" s="366">
        <f t="shared" si="162"/>
        <v>1</v>
      </c>
      <c r="I173" s="366">
        <f>AVERAGE(U173,V173,AA173)</f>
        <v>1</v>
      </c>
      <c r="J173" s="366">
        <f t="shared" si="137"/>
        <v>1</v>
      </c>
      <c r="K173" s="366">
        <f t="shared" si="138"/>
        <v>1</v>
      </c>
      <c r="L173" s="366">
        <f>AVERAGE(U173,V173,AA173)</f>
        <v>1</v>
      </c>
      <c r="M173" s="366">
        <f>AVERAGE(U173,V173,AA173)</f>
        <v>1</v>
      </c>
      <c r="N173" s="366">
        <f t="shared" si="141"/>
        <v>1</v>
      </c>
      <c r="O173" s="366">
        <f t="shared" si="142"/>
        <v>1</v>
      </c>
      <c r="P173" s="366">
        <f>AVERAGE(U173,V173,AA173)</f>
        <v>1</v>
      </c>
      <c r="Q173" s="366">
        <f>AVERAGE(U173,V173,AA173)</f>
        <v>1</v>
      </c>
      <c r="R173" s="366">
        <f>AVERAGE(U173,V173,AA173)</f>
        <v>1</v>
      </c>
      <c r="S173" s="366">
        <f>AVERAGE(U173,V173,AA173)</f>
        <v>1</v>
      </c>
      <c r="T173" s="366">
        <f>AVERAGE(U173,V173,AA173)</f>
        <v>1</v>
      </c>
      <c r="U173" s="368">
        <v>1</v>
      </c>
      <c r="V173" s="368">
        <v>1</v>
      </c>
      <c r="W173" s="366">
        <f>AVERAGE(U173,V173,AA173)</f>
        <v>1</v>
      </c>
      <c r="X173" s="366">
        <f>AVERAGE(U173,V173,AA173)</f>
        <v>1</v>
      </c>
      <c r="Y173" s="366">
        <f t="shared" si="150"/>
        <v>1</v>
      </c>
      <c r="Z173" s="366">
        <f t="shared" si="151"/>
        <v>1</v>
      </c>
      <c r="AA173" s="368">
        <v>1</v>
      </c>
      <c r="AB173" s="366">
        <f>AVERAGE(U173,V173,AA173)</f>
        <v>1</v>
      </c>
      <c r="AC173" s="366">
        <f>AVERAGE(U173,V173,AA173)</f>
        <v>1</v>
      </c>
      <c r="AD173" s="366">
        <f t="shared" si="154"/>
        <v>1</v>
      </c>
      <c r="AE173" s="370">
        <f t="shared" si="155"/>
        <v>1</v>
      </c>
      <c r="AF173" s="370">
        <f t="shared" si="156"/>
        <v>1</v>
      </c>
      <c r="AG173" s="370">
        <f t="shared" si="157"/>
        <v>1</v>
      </c>
      <c r="AH173" s="375">
        <f>AA173</f>
        <v>1</v>
      </c>
      <c r="AI173" s="375">
        <f>AVERAGE(U173,V173,AA173)</f>
        <v>1</v>
      </c>
    </row>
    <row r="174" spans="2:35" x14ac:dyDescent="0.25">
      <c r="B174" s="46" t="s">
        <v>122</v>
      </c>
      <c r="C174" s="46" t="s">
        <v>468</v>
      </c>
      <c r="D174" s="46" t="s">
        <v>21</v>
      </c>
      <c r="E174" s="46" t="s">
        <v>107</v>
      </c>
      <c r="F174" s="46" t="s">
        <v>174</v>
      </c>
      <c r="G174" s="46"/>
      <c r="H174" s="336">
        <f t="shared" ref="H174:AI174" si="184">H$53*H173</f>
        <v>0.99272204406740105</v>
      </c>
      <c r="I174" s="336">
        <f t="shared" si="184"/>
        <v>1</v>
      </c>
      <c r="J174" s="336">
        <f t="shared" si="184"/>
        <v>0.96708768306502402</v>
      </c>
      <c r="K174" s="336">
        <f t="shared" si="184"/>
        <v>1</v>
      </c>
      <c r="L174" s="336">
        <f t="shared" si="184"/>
        <v>0.99924817546284905</v>
      </c>
      <c r="M174" s="336">
        <f t="shared" si="184"/>
        <v>1</v>
      </c>
      <c r="N174" s="336">
        <f t="shared" si="184"/>
        <v>0.98060509066568202</v>
      </c>
      <c r="O174" s="336">
        <f t="shared" si="184"/>
        <v>1</v>
      </c>
      <c r="P174" s="336">
        <f t="shared" si="184"/>
        <v>0.99573036070295295</v>
      </c>
      <c r="Q174" s="336">
        <f t="shared" si="184"/>
        <v>0.89911459244443404</v>
      </c>
      <c r="R174" s="336">
        <f t="shared" si="184"/>
        <v>1</v>
      </c>
      <c r="S174" s="336">
        <f t="shared" si="184"/>
        <v>0.91243667107010595</v>
      </c>
      <c r="T174" s="336">
        <f t="shared" si="184"/>
        <v>0.99805035509711904</v>
      </c>
      <c r="U174" s="336">
        <f t="shared" si="184"/>
        <v>0.85892756664096503</v>
      </c>
      <c r="V174" s="336">
        <f t="shared" si="184"/>
        <v>0.99606901853857799</v>
      </c>
      <c r="W174" s="336">
        <f t="shared" si="184"/>
        <v>0.94006991364569004</v>
      </c>
      <c r="X174" s="336">
        <f t="shared" si="184"/>
        <v>0.98595080709491301</v>
      </c>
      <c r="Y174" s="336">
        <f t="shared" si="184"/>
        <v>1</v>
      </c>
      <c r="Z174" s="336">
        <f t="shared" si="184"/>
        <v>1</v>
      </c>
      <c r="AA174" s="336">
        <f t="shared" si="184"/>
        <v>0.96895325430984103</v>
      </c>
      <c r="AB174" s="336">
        <f t="shared" si="184"/>
        <v>0.98681263953045995</v>
      </c>
      <c r="AC174" s="336">
        <f t="shared" si="184"/>
        <v>0.96739573783449195</v>
      </c>
      <c r="AD174" s="336">
        <f t="shared" si="184"/>
        <v>0.99952869366389197</v>
      </c>
      <c r="AE174" s="336">
        <f t="shared" si="184"/>
        <v>0.97913404225277501</v>
      </c>
      <c r="AF174" s="336">
        <f t="shared" si="184"/>
        <v>0.96669983445492602</v>
      </c>
      <c r="AG174" s="336">
        <f t="shared" si="184"/>
        <v>0.90948237026982304</v>
      </c>
      <c r="AH174" s="336">
        <f t="shared" si="184"/>
        <v>0.76409158971258195</v>
      </c>
      <c r="AI174" s="336">
        <f t="shared" si="184"/>
        <v>0.75029992890543395</v>
      </c>
    </row>
    <row r="175" spans="2:35" x14ac:dyDescent="0.25">
      <c r="B175" s="46" t="s">
        <v>122</v>
      </c>
      <c r="C175" s="46" t="s">
        <v>469</v>
      </c>
      <c r="D175" s="46" t="s">
        <v>21</v>
      </c>
      <c r="E175" s="46" t="s">
        <v>107</v>
      </c>
      <c r="F175" s="46" t="s">
        <v>174</v>
      </c>
      <c r="G175" s="46"/>
      <c r="H175" s="336">
        <f>H173-H174</f>
        <v>7.2779559325989451E-3</v>
      </c>
      <c r="I175" s="336">
        <f t="shared" ref="I175" si="185">I173-I174</f>
        <v>0</v>
      </c>
      <c r="J175" s="336">
        <f>J173-J174</f>
        <v>3.2912316934975983E-2</v>
      </c>
      <c r="K175" s="336">
        <f>K173-K174</f>
        <v>0</v>
      </c>
      <c r="L175" s="336">
        <f t="shared" ref="L175:M175" si="186">L173-L174</f>
        <v>7.5182453715094688E-4</v>
      </c>
      <c r="M175" s="336">
        <f t="shared" si="186"/>
        <v>0</v>
      </c>
      <c r="N175" s="336">
        <f>N173-N174</f>
        <v>1.9394909334317978E-2</v>
      </c>
      <c r="O175" s="336">
        <f>O173-O174</f>
        <v>0</v>
      </c>
      <c r="P175" s="336">
        <f t="shared" ref="P175:R175" si="187">P173-P174</f>
        <v>4.2696392970470454E-3</v>
      </c>
      <c r="Q175" s="336">
        <f t="shared" si="187"/>
        <v>0.10088540755556596</v>
      </c>
      <c r="R175" s="336">
        <f t="shared" si="187"/>
        <v>0</v>
      </c>
      <c r="S175" s="336">
        <f>S173-S174</f>
        <v>8.7563328929894046E-2</v>
      </c>
      <c r="T175" s="336">
        <f t="shared" ref="T175:X175" si="188">T173-T174</f>
        <v>1.9496449028809648E-3</v>
      </c>
      <c r="U175" s="336">
        <f t="shared" si="188"/>
        <v>0.14107243335903497</v>
      </c>
      <c r="V175" s="336">
        <f t="shared" si="188"/>
        <v>3.9309814614220118E-3</v>
      </c>
      <c r="W175" s="336">
        <f t="shared" si="188"/>
        <v>5.9930086354309964E-2</v>
      </c>
      <c r="X175" s="336">
        <f t="shared" si="188"/>
        <v>1.4049192905086993E-2</v>
      </c>
      <c r="Y175" s="336">
        <f>Y173-Y174</f>
        <v>0</v>
      </c>
      <c r="Z175" s="336">
        <f>Z173-Z174</f>
        <v>0</v>
      </c>
      <c r="AA175" s="336">
        <f t="shared" ref="AA175:AC175" si="189">AA173-AA174</f>
        <v>3.1046745690158972E-2</v>
      </c>
      <c r="AB175" s="336">
        <f t="shared" si="189"/>
        <v>1.3187360469540055E-2</v>
      </c>
      <c r="AC175" s="336">
        <f t="shared" si="189"/>
        <v>3.2604262165508047E-2</v>
      </c>
      <c r="AD175" s="336">
        <f>AD173-AD174</f>
        <v>4.7130633610803496E-4</v>
      </c>
      <c r="AE175" s="336">
        <f>AE173-AE174</f>
        <v>2.0865957747224995E-2</v>
      </c>
      <c r="AF175" s="336">
        <f>AF173-AF174</f>
        <v>3.3300165545073979E-2</v>
      </c>
      <c r="AG175" s="336">
        <f>AG173-AG174</f>
        <v>9.0517629730176963E-2</v>
      </c>
      <c r="AH175" s="336">
        <f>AH173-AH174</f>
        <v>0.23590841028741805</v>
      </c>
      <c r="AI175" s="336">
        <f t="shared" ref="AI175" si="190">AI173-AI174</f>
        <v>0.24970007109456605</v>
      </c>
    </row>
    <row r="176" spans="2:35" x14ac:dyDescent="0.25">
      <c r="B176" s="360" t="s">
        <v>124</v>
      </c>
      <c r="C176" s="360" t="s">
        <v>123</v>
      </c>
      <c r="D176" s="360" t="s">
        <v>21</v>
      </c>
      <c r="E176" s="360" t="s">
        <v>107</v>
      </c>
      <c r="F176" s="360" t="s">
        <v>174</v>
      </c>
      <c r="G176" s="360"/>
      <c r="H176" s="371">
        <f t="shared" si="162"/>
        <v>0</v>
      </c>
      <c r="I176" s="371">
        <f t="shared" ref="I176:I193" si="191">AVERAGE(U176,V176,AA176)</f>
        <v>0</v>
      </c>
      <c r="J176" s="371">
        <f t="shared" si="137"/>
        <v>0</v>
      </c>
      <c r="K176" s="371">
        <f t="shared" si="138"/>
        <v>0</v>
      </c>
      <c r="L176" s="371">
        <f t="shared" ref="L176:L193" si="192">AVERAGE(U176,V176,AA176)</f>
        <v>0</v>
      </c>
      <c r="M176" s="371">
        <f t="shared" ref="M176:M193" si="193">AVERAGE(U176,V176,AA176)</f>
        <v>0</v>
      </c>
      <c r="N176" s="371">
        <f t="shared" si="141"/>
        <v>0</v>
      </c>
      <c r="O176" s="371">
        <f t="shared" si="142"/>
        <v>0</v>
      </c>
      <c r="P176" s="371">
        <f>AVERAGE(U176,V176,AA176)</f>
        <v>0</v>
      </c>
      <c r="Q176" s="371">
        <f t="shared" ref="Q176:Q193" si="194">AVERAGE(U176,V176,AA176)</f>
        <v>0</v>
      </c>
      <c r="R176" s="371">
        <f t="shared" ref="R176:R193" si="195">AVERAGE(U176,V176,AA176)</f>
        <v>0</v>
      </c>
      <c r="S176" s="371">
        <f t="shared" ref="S176:S193" si="196">AVERAGE(U176,V176,AA176)</f>
        <v>0</v>
      </c>
      <c r="T176" s="371">
        <f t="shared" ref="T176:T193" si="197">AVERAGE(U176,V176,AA176)</f>
        <v>0</v>
      </c>
      <c r="U176" s="372">
        <v>0</v>
      </c>
      <c r="V176" s="372">
        <v>0</v>
      </c>
      <c r="W176" s="371">
        <f t="shared" ref="W176:W193" si="198">AVERAGE(U176,V176,AA176)</f>
        <v>0</v>
      </c>
      <c r="X176" s="371">
        <f t="shared" ref="X176:X193" si="199">AVERAGE(U176,V176,AA176)</f>
        <v>0</v>
      </c>
      <c r="Y176" s="371">
        <f t="shared" si="150"/>
        <v>0</v>
      </c>
      <c r="Z176" s="371">
        <f t="shared" si="151"/>
        <v>0</v>
      </c>
      <c r="AA176" s="372">
        <v>0</v>
      </c>
      <c r="AB176" s="371">
        <f t="shared" ref="AB176:AB193" si="200">AVERAGE(U176,V176,AA176)</f>
        <v>0</v>
      </c>
      <c r="AC176" s="371">
        <f t="shared" ref="AC176:AC193" si="201">AVERAGE(U176,V176,AA176)</f>
        <v>0</v>
      </c>
      <c r="AD176" s="371">
        <f t="shared" si="154"/>
        <v>0</v>
      </c>
      <c r="AE176" s="374">
        <f t="shared" si="155"/>
        <v>0</v>
      </c>
      <c r="AF176" s="374">
        <f t="shared" si="156"/>
        <v>0</v>
      </c>
      <c r="AG176" s="374">
        <f t="shared" si="157"/>
        <v>0</v>
      </c>
      <c r="AH176" s="375">
        <f t="shared" ref="AH176:AH193" si="202">AA176</f>
        <v>0</v>
      </c>
      <c r="AI176" s="375">
        <f>AVERAGE(U176,V176,AA176)</f>
        <v>0</v>
      </c>
    </row>
    <row r="177" spans="2:35" x14ac:dyDescent="0.25">
      <c r="B177" s="46" t="s">
        <v>124</v>
      </c>
      <c r="C177" s="46" t="s">
        <v>470</v>
      </c>
      <c r="D177" s="46" t="s">
        <v>21</v>
      </c>
      <c r="E177" s="46" t="s">
        <v>107</v>
      </c>
      <c r="F177" s="46" t="s">
        <v>174</v>
      </c>
      <c r="G177" s="46"/>
      <c r="H177" s="337">
        <f t="shared" ref="H177:AI177" si="203">H176*H$54</f>
        <v>0</v>
      </c>
      <c r="I177" s="337">
        <f t="shared" si="203"/>
        <v>0</v>
      </c>
      <c r="J177" s="337">
        <f t="shared" si="203"/>
        <v>0</v>
      </c>
      <c r="K177" s="337">
        <f t="shared" si="203"/>
        <v>0</v>
      </c>
      <c r="L177" s="337">
        <f t="shared" si="203"/>
        <v>0</v>
      </c>
      <c r="M177" s="337">
        <f t="shared" si="203"/>
        <v>0</v>
      </c>
      <c r="N177" s="337">
        <f t="shared" si="203"/>
        <v>0</v>
      </c>
      <c r="O177" s="337">
        <f t="shared" si="203"/>
        <v>0</v>
      </c>
      <c r="P177" s="337">
        <f t="shared" si="203"/>
        <v>0</v>
      </c>
      <c r="Q177" s="337">
        <f t="shared" si="203"/>
        <v>0</v>
      </c>
      <c r="R177" s="337">
        <f t="shared" si="203"/>
        <v>0</v>
      </c>
      <c r="S177" s="337">
        <f t="shared" si="203"/>
        <v>0</v>
      </c>
      <c r="T177" s="337">
        <f t="shared" si="203"/>
        <v>0</v>
      </c>
      <c r="U177" s="337">
        <f t="shared" si="203"/>
        <v>0</v>
      </c>
      <c r="V177" s="337">
        <f t="shared" si="203"/>
        <v>0</v>
      </c>
      <c r="W177" s="337">
        <f t="shared" si="203"/>
        <v>0</v>
      </c>
      <c r="X177" s="337">
        <f t="shared" si="203"/>
        <v>0</v>
      </c>
      <c r="Y177" s="337">
        <f t="shared" si="203"/>
        <v>0</v>
      </c>
      <c r="Z177" s="337">
        <f t="shared" si="203"/>
        <v>0</v>
      </c>
      <c r="AA177" s="337">
        <f t="shared" si="203"/>
        <v>0</v>
      </c>
      <c r="AB177" s="337">
        <f t="shared" si="203"/>
        <v>0</v>
      </c>
      <c r="AC177" s="337">
        <f t="shared" si="203"/>
        <v>0</v>
      </c>
      <c r="AD177" s="337">
        <f t="shared" si="203"/>
        <v>0</v>
      </c>
      <c r="AE177" s="337">
        <f t="shared" si="203"/>
        <v>0</v>
      </c>
      <c r="AF177" s="337">
        <f t="shared" si="203"/>
        <v>0</v>
      </c>
      <c r="AG177" s="337">
        <f t="shared" si="203"/>
        <v>0</v>
      </c>
      <c r="AH177" s="337">
        <f t="shared" si="203"/>
        <v>0</v>
      </c>
      <c r="AI177" s="337">
        <f t="shared" si="203"/>
        <v>0</v>
      </c>
    </row>
    <row r="178" spans="2:35" x14ac:dyDescent="0.25">
      <c r="B178" s="46" t="s">
        <v>124</v>
      </c>
      <c r="C178" s="46" t="s">
        <v>471</v>
      </c>
      <c r="D178" s="46" t="s">
        <v>21</v>
      </c>
      <c r="E178" s="46" t="s">
        <v>107</v>
      </c>
      <c r="F178" s="46" t="s">
        <v>174</v>
      </c>
      <c r="G178" s="46"/>
      <c r="H178" s="336">
        <f>H176-H177</f>
        <v>0</v>
      </c>
      <c r="I178" s="336">
        <f t="shared" ref="I178:AI178" si="204">I176-I177</f>
        <v>0</v>
      </c>
      <c r="J178" s="336">
        <f t="shared" si="204"/>
        <v>0</v>
      </c>
      <c r="K178" s="336">
        <f t="shared" si="204"/>
        <v>0</v>
      </c>
      <c r="L178" s="336">
        <f t="shared" si="204"/>
        <v>0</v>
      </c>
      <c r="M178" s="336">
        <f t="shared" si="204"/>
        <v>0</v>
      </c>
      <c r="N178" s="336">
        <f t="shared" si="204"/>
        <v>0</v>
      </c>
      <c r="O178" s="336">
        <f t="shared" si="204"/>
        <v>0</v>
      </c>
      <c r="P178" s="336">
        <f t="shared" si="204"/>
        <v>0</v>
      </c>
      <c r="Q178" s="336">
        <f t="shared" si="204"/>
        <v>0</v>
      </c>
      <c r="R178" s="336">
        <f t="shared" si="204"/>
        <v>0</v>
      </c>
      <c r="S178" s="336">
        <f t="shared" si="204"/>
        <v>0</v>
      </c>
      <c r="T178" s="336">
        <f t="shared" si="204"/>
        <v>0</v>
      </c>
      <c r="U178" s="336">
        <f t="shared" si="204"/>
        <v>0</v>
      </c>
      <c r="V178" s="336">
        <f t="shared" si="204"/>
        <v>0</v>
      </c>
      <c r="W178" s="336">
        <f t="shared" si="204"/>
        <v>0</v>
      </c>
      <c r="X178" s="336">
        <f t="shared" si="204"/>
        <v>0</v>
      </c>
      <c r="Y178" s="336">
        <f t="shared" si="204"/>
        <v>0</v>
      </c>
      <c r="Z178" s="336">
        <f t="shared" si="204"/>
        <v>0</v>
      </c>
      <c r="AA178" s="336">
        <f t="shared" si="204"/>
        <v>0</v>
      </c>
      <c r="AB178" s="336">
        <f t="shared" si="204"/>
        <v>0</v>
      </c>
      <c r="AC178" s="336">
        <f t="shared" si="204"/>
        <v>0</v>
      </c>
      <c r="AD178" s="336">
        <f t="shared" si="204"/>
        <v>0</v>
      </c>
      <c r="AE178" s="336">
        <f t="shared" si="204"/>
        <v>0</v>
      </c>
      <c r="AF178" s="336">
        <f t="shared" si="204"/>
        <v>0</v>
      </c>
      <c r="AG178" s="336">
        <f t="shared" si="204"/>
        <v>0</v>
      </c>
      <c r="AH178" s="336">
        <f t="shared" si="204"/>
        <v>0</v>
      </c>
      <c r="AI178" s="336">
        <f t="shared" si="204"/>
        <v>0</v>
      </c>
    </row>
    <row r="179" spans="2:35" x14ac:dyDescent="0.25">
      <c r="B179" s="46" t="s">
        <v>119</v>
      </c>
      <c r="C179" s="46" t="s">
        <v>118</v>
      </c>
      <c r="D179" s="46" t="s">
        <v>21</v>
      </c>
      <c r="E179" s="46" t="s">
        <v>107</v>
      </c>
      <c r="F179" s="46" t="s">
        <v>174</v>
      </c>
      <c r="G179" s="46"/>
      <c r="H179" s="371">
        <f t="shared" si="162"/>
        <v>0</v>
      </c>
      <c r="I179" s="371">
        <f t="shared" si="191"/>
        <v>0</v>
      </c>
      <c r="J179" s="371">
        <f t="shared" si="137"/>
        <v>0</v>
      </c>
      <c r="K179" s="371">
        <f t="shared" si="138"/>
        <v>0</v>
      </c>
      <c r="L179" s="371">
        <f t="shared" si="192"/>
        <v>0</v>
      </c>
      <c r="M179" s="371">
        <f t="shared" si="193"/>
        <v>0</v>
      </c>
      <c r="N179" s="371">
        <f t="shared" si="141"/>
        <v>0</v>
      </c>
      <c r="O179" s="371">
        <f t="shared" si="142"/>
        <v>0</v>
      </c>
      <c r="P179" s="371">
        <f t="shared" ref="P179:P193" si="205">AVERAGE(U179,V179,AA179)</f>
        <v>0</v>
      </c>
      <c r="Q179" s="371">
        <f t="shared" si="194"/>
        <v>0</v>
      </c>
      <c r="R179" s="371">
        <f t="shared" si="195"/>
        <v>0</v>
      </c>
      <c r="S179" s="371">
        <f t="shared" si="196"/>
        <v>0</v>
      </c>
      <c r="T179" s="371">
        <f t="shared" si="197"/>
        <v>0</v>
      </c>
      <c r="U179" s="372">
        <v>0</v>
      </c>
      <c r="V179" s="372">
        <v>0</v>
      </c>
      <c r="W179" s="371">
        <f t="shared" si="198"/>
        <v>0</v>
      </c>
      <c r="X179" s="371">
        <f t="shared" si="199"/>
        <v>0</v>
      </c>
      <c r="Y179" s="371">
        <f t="shared" si="150"/>
        <v>0</v>
      </c>
      <c r="Z179" s="371">
        <f t="shared" si="151"/>
        <v>0</v>
      </c>
      <c r="AA179" s="372">
        <v>0</v>
      </c>
      <c r="AB179" s="371">
        <f t="shared" si="200"/>
        <v>0</v>
      </c>
      <c r="AC179" s="371">
        <f t="shared" si="201"/>
        <v>0</v>
      </c>
      <c r="AD179" s="371">
        <f t="shared" si="154"/>
        <v>0</v>
      </c>
      <c r="AE179" s="374">
        <f t="shared" si="155"/>
        <v>0</v>
      </c>
      <c r="AF179" s="374">
        <f t="shared" si="156"/>
        <v>0</v>
      </c>
      <c r="AG179" s="374">
        <f t="shared" si="157"/>
        <v>0</v>
      </c>
      <c r="AH179" s="375">
        <f t="shared" si="202"/>
        <v>0</v>
      </c>
      <c r="AI179" s="375">
        <f t="shared" ref="AI179:AI193" si="206">AVERAGE(U179,V179,AA179)</f>
        <v>0</v>
      </c>
    </row>
    <row r="180" spans="2:35" x14ac:dyDescent="0.25">
      <c r="B180" s="46" t="s">
        <v>94</v>
      </c>
      <c r="C180" s="46" t="s">
        <v>125</v>
      </c>
      <c r="D180" s="46" t="s">
        <v>21</v>
      </c>
      <c r="E180" s="46" t="s">
        <v>107</v>
      </c>
      <c r="F180" s="46" t="s">
        <v>174</v>
      </c>
      <c r="G180" s="46"/>
      <c r="H180" s="371">
        <f t="shared" si="162"/>
        <v>0</v>
      </c>
      <c r="I180" s="371">
        <f t="shared" si="191"/>
        <v>0</v>
      </c>
      <c r="J180" s="371">
        <f t="shared" si="137"/>
        <v>0</v>
      </c>
      <c r="K180" s="371">
        <f t="shared" si="138"/>
        <v>0</v>
      </c>
      <c r="L180" s="371">
        <f t="shared" si="192"/>
        <v>0</v>
      </c>
      <c r="M180" s="371">
        <f t="shared" si="193"/>
        <v>0</v>
      </c>
      <c r="N180" s="371">
        <f t="shared" si="141"/>
        <v>0</v>
      </c>
      <c r="O180" s="371">
        <f t="shared" si="142"/>
        <v>0</v>
      </c>
      <c r="P180" s="371">
        <f t="shared" si="205"/>
        <v>0</v>
      </c>
      <c r="Q180" s="371">
        <f t="shared" si="194"/>
        <v>0</v>
      </c>
      <c r="R180" s="371">
        <f t="shared" si="195"/>
        <v>0</v>
      </c>
      <c r="S180" s="371">
        <f t="shared" si="196"/>
        <v>0</v>
      </c>
      <c r="T180" s="371">
        <f t="shared" si="197"/>
        <v>0</v>
      </c>
      <c r="U180" s="372">
        <v>0</v>
      </c>
      <c r="V180" s="372">
        <v>0</v>
      </c>
      <c r="W180" s="371">
        <f t="shared" si="198"/>
        <v>0</v>
      </c>
      <c r="X180" s="371">
        <f t="shared" si="199"/>
        <v>0</v>
      </c>
      <c r="Y180" s="371">
        <f t="shared" si="150"/>
        <v>0</v>
      </c>
      <c r="Z180" s="371">
        <f t="shared" si="151"/>
        <v>0</v>
      </c>
      <c r="AA180" s="372">
        <v>0</v>
      </c>
      <c r="AB180" s="371">
        <f t="shared" si="200"/>
        <v>0</v>
      </c>
      <c r="AC180" s="371">
        <f t="shared" si="201"/>
        <v>0</v>
      </c>
      <c r="AD180" s="371">
        <f t="shared" si="154"/>
        <v>0</v>
      </c>
      <c r="AE180" s="374">
        <f t="shared" si="155"/>
        <v>0</v>
      </c>
      <c r="AF180" s="374">
        <f t="shared" si="156"/>
        <v>0</v>
      </c>
      <c r="AG180" s="374">
        <f t="shared" si="157"/>
        <v>0</v>
      </c>
      <c r="AH180" s="375">
        <f t="shared" si="202"/>
        <v>0</v>
      </c>
      <c r="AI180" s="375">
        <f t="shared" si="206"/>
        <v>0</v>
      </c>
    </row>
    <row r="181" spans="2:35" x14ac:dyDescent="0.25">
      <c r="B181" s="46" t="s">
        <v>148</v>
      </c>
      <c r="C181" s="46" t="s">
        <v>173</v>
      </c>
      <c r="D181" s="46" t="s">
        <v>21</v>
      </c>
      <c r="E181" s="46" t="s">
        <v>107</v>
      </c>
      <c r="F181" s="46" t="s">
        <v>174</v>
      </c>
      <c r="G181" s="46"/>
      <c r="H181" s="371">
        <f t="shared" si="162"/>
        <v>0</v>
      </c>
      <c r="I181" s="371">
        <f t="shared" si="191"/>
        <v>0</v>
      </c>
      <c r="J181" s="371">
        <f t="shared" si="137"/>
        <v>0</v>
      </c>
      <c r="K181" s="371">
        <f t="shared" si="138"/>
        <v>0</v>
      </c>
      <c r="L181" s="371">
        <f t="shared" si="192"/>
        <v>0</v>
      </c>
      <c r="M181" s="371">
        <f t="shared" si="193"/>
        <v>0</v>
      </c>
      <c r="N181" s="371">
        <f t="shared" si="141"/>
        <v>0</v>
      </c>
      <c r="O181" s="371">
        <f t="shared" si="142"/>
        <v>0</v>
      </c>
      <c r="P181" s="371">
        <f t="shared" si="205"/>
        <v>0</v>
      </c>
      <c r="Q181" s="371">
        <f t="shared" si="194"/>
        <v>0</v>
      </c>
      <c r="R181" s="371">
        <f t="shared" si="195"/>
        <v>0</v>
      </c>
      <c r="S181" s="371">
        <f t="shared" si="196"/>
        <v>0</v>
      </c>
      <c r="T181" s="371">
        <f t="shared" si="197"/>
        <v>0</v>
      </c>
      <c r="U181" s="372">
        <v>0</v>
      </c>
      <c r="V181" s="372">
        <v>0</v>
      </c>
      <c r="W181" s="371">
        <f t="shared" si="198"/>
        <v>0</v>
      </c>
      <c r="X181" s="371">
        <f t="shared" si="199"/>
        <v>0</v>
      </c>
      <c r="Y181" s="371">
        <f t="shared" si="150"/>
        <v>0</v>
      </c>
      <c r="Z181" s="371">
        <f t="shared" si="151"/>
        <v>0</v>
      </c>
      <c r="AA181" s="372">
        <v>0</v>
      </c>
      <c r="AB181" s="371">
        <f t="shared" si="200"/>
        <v>0</v>
      </c>
      <c r="AC181" s="371">
        <f t="shared" si="201"/>
        <v>0</v>
      </c>
      <c r="AD181" s="371">
        <f t="shared" si="154"/>
        <v>0</v>
      </c>
      <c r="AE181" s="374">
        <f t="shared" si="155"/>
        <v>0</v>
      </c>
      <c r="AF181" s="374">
        <f t="shared" si="156"/>
        <v>0</v>
      </c>
      <c r="AG181" s="374">
        <f t="shared" si="157"/>
        <v>0</v>
      </c>
      <c r="AH181" s="375">
        <f t="shared" si="202"/>
        <v>0</v>
      </c>
      <c r="AI181" s="375">
        <f t="shared" si="206"/>
        <v>0</v>
      </c>
    </row>
    <row r="182" spans="2:35" x14ac:dyDescent="0.25">
      <c r="B182" s="46" t="s">
        <v>169</v>
      </c>
      <c r="C182" s="46" t="s">
        <v>120</v>
      </c>
      <c r="D182" s="46" t="s">
        <v>21</v>
      </c>
      <c r="E182" s="46" t="s">
        <v>107</v>
      </c>
      <c r="F182" s="46" t="s">
        <v>174</v>
      </c>
      <c r="G182" s="46"/>
      <c r="H182" s="371">
        <f t="shared" si="162"/>
        <v>0</v>
      </c>
      <c r="I182" s="371">
        <f t="shared" si="191"/>
        <v>0</v>
      </c>
      <c r="J182" s="371">
        <f t="shared" si="137"/>
        <v>0</v>
      </c>
      <c r="K182" s="371">
        <f t="shared" si="138"/>
        <v>0</v>
      </c>
      <c r="L182" s="371">
        <f t="shared" si="192"/>
        <v>0</v>
      </c>
      <c r="M182" s="371">
        <f t="shared" si="193"/>
        <v>0</v>
      </c>
      <c r="N182" s="371">
        <f t="shared" si="141"/>
        <v>0</v>
      </c>
      <c r="O182" s="371">
        <f t="shared" si="142"/>
        <v>0</v>
      </c>
      <c r="P182" s="371">
        <f t="shared" si="205"/>
        <v>0</v>
      </c>
      <c r="Q182" s="371">
        <f t="shared" si="194"/>
        <v>0</v>
      </c>
      <c r="R182" s="371">
        <f t="shared" si="195"/>
        <v>0</v>
      </c>
      <c r="S182" s="371">
        <f t="shared" si="196"/>
        <v>0</v>
      </c>
      <c r="T182" s="371">
        <f t="shared" si="197"/>
        <v>0</v>
      </c>
      <c r="U182" s="376">
        <v>0</v>
      </c>
      <c r="V182" s="376">
        <v>0</v>
      </c>
      <c r="W182" s="371">
        <f t="shared" si="198"/>
        <v>0</v>
      </c>
      <c r="X182" s="371">
        <f t="shared" si="199"/>
        <v>0</v>
      </c>
      <c r="Y182" s="371">
        <f t="shared" si="150"/>
        <v>0</v>
      </c>
      <c r="Z182" s="371">
        <f t="shared" si="151"/>
        <v>0</v>
      </c>
      <c r="AA182" s="376">
        <v>0</v>
      </c>
      <c r="AB182" s="371">
        <f t="shared" si="200"/>
        <v>0</v>
      </c>
      <c r="AC182" s="371">
        <f t="shared" si="201"/>
        <v>0</v>
      </c>
      <c r="AD182" s="371">
        <f t="shared" si="154"/>
        <v>0</v>
      </c>
      <c r="AE182" s="374">
        <f t="shared" si="155"/>
        <v>0</v>
      </c>
      <c r="AF182" s="374">
        <f t="shared" si="156"/>
        <v>0</v>
      </c>
      <c r="AG182" s="374">
        <f t="shared" si="157"/>
        <v>0</v>
      </c>
      <c r="AH182" s="375">
        <f t="shared" si="202"/>
        <v>0</v>
      </c>
      <c r="AI182" s="375">
        <f t="shared" si="206"/>
        <v>0</v>
      </c>
    </row>
    <row r="183" spans="2:35" x14ac:dyDescent="0.25">
      <c r="B183" s="339"/>
      <c r="C183" s="340" t="s">
        <v>176</v>
      </c>
      <c r="D183" s="339"/>
      <c r="E183" s="339"/>
      <c r="F183" s="340"/>
      <c r="G183" s="340"/>
      <c r="H183" s="338">
        <f t="shared" ref="H183:AI183" si="207">SUM(H173,H176,H179,H180,H182,H181)</f>
        <v>1</v>
      </c>
      <c r="I183" s="338">
        <f t="shared" si="207"/>
        <v>1</v>
      </c>
      <c r="J183" s="338">
        <f t="shared" si="207"/>
        <v>1</v>
      </c>
      <c r="K183" s="338">
        <f t="shared" si="207"/>
        <v>1</v>
      </c>
      <c r="L183" s="338">
        <f t="shared" si="207"/>
        <v>1</v>
      </c>
      <c r="M183" s="338">
        <f t="shared" si="207"/>
        <v>1</v>
      </c>
      <c r="N183" s="338">
        <f t="shared" si="207"/>
        <v>1</v>
      </c>
      <c r="O183" s="338">
        <f t="shared" si="207"/>
        <v>1</v>
      </c>
      <c r="P183" s="338">
        <f t="shared" si="207"/>
        <v>1</v>
      </c>
      <c r="Q183" s="338">
        <f t="shared" si="207"/>
        <v>1</v>
      </c>
      <c r="R183" s="338">
        <f t="shared" si="207"/>
        <v>1</v>
      </c>
      <c r="S183" s="338">
        <f t="shared" si="207"/>
        <v>1</v>
      </c>
      <c r="T183" s="338">
        <f t="shared" si="207"/>
        <v>1</v>
      </c>
      <c r="U183" s="338">
        <f t="shared" si="207"/>
        <v>1</v>
      </c>
      <c r="V183" s="338">
        <f t="shared" si="207"/>
        <v>1</v>
      </c>
      <c r="W183" s="338">
        <f t="shared" si="207"/>
        <v>1</v>
      </c>
      <c r="X183" s="338">
        <f t="shared" si="207"/>
        <v>1</v>
      </c>
      <c r="Y183" s="338">
        <f t="shared" si="207"/>
        <v>1</v>
      </c>
      <c r="Z183" s="338">
        <f t="shared" si="207"/>
        <v>1</v>
      </c>
      <c r="AA183" s="338">
        <f t="shared" si="207"/>
        <v>1</v>
      </c>
      <c r="AB183" s="338">
        <f t="shared" si="207"/>
        <v>1</v>
      </c>
      <c r="AC183" s="338">
        <f t="shared" si="207"/>
        <v>1</v>
      </c>
      <c r="AD183" s="338">
        <f t="shared" si="207"/>
        <v>1</v>
      </c>
      <c r="AE183" s="338">
        <f t="shared" si="207"/>
        <v>1</v>
      </c>
      <c r="AF183" s="338">
        <f t="shared" si="207"/>
        <v>1</v>
      </c>
      <c r="AG183" s="338">
        <f t="shared" si="207"/>
        <v>1</v>
      </c>
      <c r="AH183" s="338">
        <f t="shared" si="207"/>
        <v>1</v>
      </c>
      <c r="AI183" s="338">
        <f t="shared" si="207"/>
        <v>1</v>
      </c>
    </row>
    <row r="184" spans="2:35" x14ac:dyDescent="0.25">
      <c r="B184" s="360" t="s">
        <v>122</v>
      </c>
      <c r="C184" s="360" t="s">
        <v>121</v>
      </c>
      <c r="D184" s="360" t="s">
        <v>22</v>
      </c>
      <c r="E184" s="360" t="s">
        <v>111</v>
      </c>
      <c r="F184" s="360" t="s">
        <v>174</v>
      </c>
      <c r="G184" s="360"/>
      <c r="H184" s="366">
        <f t="shared" si="162"/>
        <v>1</v>
      </c>
      <c r="I184" s="366">
        <f t="shared" si="191"/>
        <v>1</v>
      </c>
      <c r="J184" s="366">
        <f t="shared" si="137"/>
        <v>1</v>
      </c>
      <c r="K184" s="366">
        <f t="shared" si="138"/>
        <v>1</v>
      </c>
      <c r="L184" s="366">
        <f t="shared" si="192"/>
        <v>1</v>
      </c>
      <c r="M184" s="366">
        <f t="shared" si="193"/>
        <v>1</v>
      </c>
      <c r="N184" s="366">
        <f t="shared" si="141"/>
        <v>1</v>
      </c>
      <c r="O184" s="366">
        <f t="shared" si="142"/>
        <v>1</v>
      </c>
      <c r="P184" s="366">
        <f t="shared" si="205"/>
        <v>1</v>
      </c>
      <c r="Q184" s="366">
        <f t="shared" si="194"/>
        <v>1</v>
      </c>
      <c r="R184" s="366">
        <f t="shared" si="195"/>
        <v>1</v>
      </c>
      <c r="S184" s="366">
        <f t="shared" si="196"/>
        <v>1</v>
      </c>
      <c r="T184" s="366">
        <f t="shared" si="197"/>
        <v>1</v>
      </c>
      <c r="U184" s="367">
        <v>1</v>
      </c>
      <c r="V184" s="367">
        <v>1</v>
      </c>
      <c r="W184" s="366">
        <f t="shared" si="198"/>
        <v>1</v>
      </c>
      <c r="X184" s="366">
        <f t="shared" si="199"/>
        <v>1</v>
      </c>
      <c r="Y184" s="366">
        <f t="shared" si="150"/>
        <v>1</v>
      </c>
      <c r="Z184" s="366">
        <f t="shared" si="151"/>
        <v>1</v>
      </c>
      <c r="AA184" s="367">
        <v>1</v>
      </c>
      <c r="AB184" s="366">
        <f t="shared" si="200"/>
        <v>1</v>
      </c>
      <c r="AC184" s="366">
        <f t="shared" si="201"/>
        <v>1</v>
      </c>
      <c r="AD184" s="366">
        <f t="shared" si="154"/>
        <v>1</v>
      </c>
      <c r="AE184" s="370">
        <f t="shared" si="155"/>
        <v>1</v>
      </c>
      <c r="AF184" s="370">
        <f t="shared" si="156"/>
        <v>1</v>
      </c>
      <c r="AG184" s="370">
        <f t="shared" si="157"/>
        <v>1</v>
      </c>
      <c r="AH184" s="375">
        <f t="shared" si="202"/>
        <v>1</v>
      </c>
      <c r="AI184" s="375">
        <f t="shared" si="206"/>
        <v>1</v>
      </c>
    </row>
    <row r="185" spans="2:35" x14ac:dyDescent="0.25">
      <c r="B185" s="46" t="s">
        <v>122</v>
      </c>
      <c r="C185" s="46" t="s">
        <v>468</v>
      </c>
      <c r="D185" s="46" t="s">
        <v>22</v>
      </c>
      <c r="E185" s="46" t="s">
        <v>111</v>
      </c>
      <c r="F185" s="46" t="s">
        <v>174</v>
      </c>
      <c r="G185" s="46"/>
      <c r="H185" s="336">
        <f t="shared" ref="H185:AI185" si="208">H$53*H184</f>
        <v>0.99272204406740105</v>
      </c>
      <c r="I185" s="336">
        <f t="shared" si="208"/>
        <v>1</v>
      </c>
      <c r="J185" s="336">
        <f t="shared" si="208"/>
        <v>0.96708768306502402</v>
      </c>
      <c r="K185" s="336">
        <f t="shared" si="208"/>
        <v>1</v>
      </c>
      <c r="L185" s="336">
        <f t="shared" si="208"/>
        <v>0.99924817546284905</v>
      </c>
      <c r="M185" s="336">
        <f t="shared" si="208"/>
        <v>1</v>
      </c>
      <c r="N185" s="336">
        <f t="shared" si="208"/>
        <v>0.98060509066568202</v>
      </c>
      <c r="O185" s="336">
        <f t="shared" si="208"/>
        <v>1</v>
      </c>
      <c r="P185" s="336">
        <f t="shared" si="208"/>
        <v>0.99573036070295295</v>
      </c>
      <c r="Q185" s="336">
        <f t="shared" si="208"/>
        <v>0.89911459244443404</v>
      </c>
      <c r="R185" s="336">
        <f t="shared" si="208"/>
        <v>1</v>
      </c>
      <c r="S185" s="336">
        <f t="shared" si="208"/>
        <v>0.91243667107010595</v>
      </c>
      <c r="T185" s="336">
        <f t="shared" si="208"/>
        <v>0.99805035509711904</v>
      </c>
      <c r="U185" s="336">
        <f t="shared" si="208"/>
        <v>0.85892756664096503</v>
      </c>
      <c r="V185" s="336">
        <f t="shared" si="208"/>
        <v>0.99606901853857799</v>
      </c>
      <c r="W185" s="336">
        <f t="shared" si="208"/>
        <v>0.94006991364569004</v>
      </c>
      <c r="X185" s="336">
        <f t="shared" si="208"/>
        <v>0.98595080709491301</v>
      </c>
      <c r="Y185" s="336">
        <f t="shared" si="208"/>
        <v>1</v>
      </c>
      <c r="Z185" s="336">
        <f t="shared" si="208"/>
        <v>1</v>
      </c>
      <c r="AA185" s="336">
        <f t="shared" si="208"/>
        <v>0.96895325430984103</v>
      </c>
      <c r="AB185" s="336">
        <f t="shared" si="208"/>
        <v>0.98681263953045995</v>
      </c>
      <c r="AC185" s="336">
        <f t="shared" si="208"/>
        <v>0.96739573783449195</v>
      </c>
      <c r="AD185" s="336">
        <f t="shared" si="208"/>
        <v>0.99952869366389197</v>
      </c>
      <c r="AE185" s="336">
        <f t="shared" si="208"/>
        <v>0.97913404225277501</v>
      </c>
      <c r="AF185" s="336">
        <f t="shared" si="208"/>
        <v>0.96669983445492602</v>
      </c>
      <c r="AG185" s="336">
        <f t="shared" si="208"/>
        <v>0.90948237026982304</v>
      </c>
      <c r="AH185" s="336">
        <f t="shared" si="208"/>
        <v>0.76409158971258195</v>
      </c>
      <c r="AI185" s="336">
        <f t="shared" si="208"/>
        <v>0.75029992890543395</v>
      </c>
    </row>
    <row r="186" spans="2:35" x14ac:dyDescent="0.25">
      <c r="B186" s="46" t="s">
        <v>122</v>
      </c>
      <c r="C186" s="46" t="s">
        <v>469</v>
      </c>
      <c r="D186" s="46" t="s">
        <v>22</v>
      </c>
      <c r="E186" s="46" t="s">
        <v>111</v>
      </c>
      <c r="F186" s="46" t="s">
        <v>174</v>
      </c>
      <c r="G186" s="46"/>
      <c r="H186" s="336">
        <f>H184-H185</f>
        <v>7.2779559325989451E-3</v>
      </c>
      <c r="I186" s="336">
        <f t="shared" ref="I186" si="209">I184-I185</f>
        <v>0</v>
      </c>
      <c r="J186" s="336">
        <f>J184-J185</f>
        <v>3.2912316934975983E-2</v>
      </c>
      <c r="K186" s="336">
        <f>K184-K185</f>
        <v>0</v>
      </c>
      <c r="L186" s="336">
        <f t="shared" ref="L186:M186" si="210">L184-L185</f>
        <v>7.5182453715094688E-4</v>
      </c>
      <c r="M186" s="336">
        <f t="shared" si="210"/>
        <v>0</v>
      </c>
      <c r="N186" s="336">
        <f>N184-N185</f>
        <v>1.9394909334317978E-2</v>
      </c>
      <c r="O186" s="336">
        <f>O184-O185</f>
        <v>0</v>
      </c>
      <c r="P186" s="336">
        <f t="shared" ref="P186:R186" si="211">P184-P185</f>
        <v>4.2696392970470454E-3</v>
      </c>
      <c r="Q186" s="336">
        <f t="shared" si="211"/>
        <v>0.10088540755556596</v>
      </c>
      <c r="R186" s="336">
        <f t="shared" si="211"/>
        <v>0</v>
      </c>
      <c r="S186" s="336">
        <f>S184-S185</f>
        <v>8.7563328929894046E-2</v>
      </c>
      <c r="T186" s="336">
        <f t="shared" ref="T186:X186" si="212">T184-T185</f>
        <v>1.9496449028809648E-3</v>
      </c>
      <c r="U186" s="336">
        <f t="shared" si="212"/>
        <v>0.14107243335903497</v>
      </c>
      <c r="V186" s="336">
        <f t="shared" si="212"/>
        <v>3.9309814614220118E-3</v>
      </c>
      <c r="W186" s="336">
        <f t="shared" si="212"/>
        <v>5.9930086354309964E-2</v>
      </c>
      <c r="X186" s="336">
        <f t="shared" si="212"/>
        <v>1.4049192905086993E-2</v>
      </c>
      <c r="Y186" s="336">
        <f>Y184-Y185</f>
        <v>0</v>
      </c>
      <c r="Z186" s="336">
        <f>Z184-Z185</f>
        <v>0</v>
      </c>
      <c r="AA186" s="336">
        <f t="shared" ref="AA186:AC186" si="213">AA184-AA185</f>
        <v>3.1046745690158972E-2</v>
      </c>
      <c r="AB186" s="336">
        <f t="shared" si="213"/>
        <v>1.3187360469540055E-2</v>
      </c>
      <c r="AC186" s="336">
        <f t="shared" si="213"/>
        <v>3.2604262165508047E-2</v>
      </c>
      <c r="AD186" s="336">
        <f>AD184-AD185</f>
        <v>4.7130633610803496E-4</v>
      </c>
      <c r="AE186" s="336">
        <f>AE184-AE185</f>
        <v>2.0865957747224995E-2</v>
      </c>
      <c r="AF186" s="336">
        <f>AF184-AF185</f>
        <v>3.3300165545073979E-2</v>
      </c>
      <c r="AG186" s="336">
        <f>AG184-AG185</f>
        <v>9.0517629730176963E-2</v>
      </c>
      <c r="AH186" s="336">
        <f>AH184-AH185</f>
        <v>0.23590841028741805</v>
      </c>
      <c r="AI186" s="336">
        <f t="shared" ref="AI186" si="214">AI184-AI185</f>
        <v>0.24970007109456605</v>
      </c>
    </row>
    <row r="187" spans="2:35" x14ac:dyDescent="0.25">
      <c r="B187" s="360" t="s">
        <v>124</v>
      </c>
      <c r="C187" s="360" t="s">
        <v>123</v>
      </c>
      <c r="D187" s="360" t="s">
        <v>22</v>
      </c>
      <c r="E187" s="360" t="s">
        <v>111</v>
      </c>
      <c r="F187" s="360" t="s">
        <v>174</v>
      </c>
      <c r="G187" s="360"/>
      <c r="H187" s="371">
        <f t="shared" si="162"/>
        <v>0</v>
      </c>
      <c r="I187" s="371">
        <f t="shared" si="191"/>
        <v>0</v>
      </c>
      <c r="J187" s="371">
        <f t="shared" si="137"/>
        <v>0</v>
      </c>
      <c r="K187" s="371">
        <f t="shared" si="138"/>
        <v>0</v>
      </c>
      <c r="L187" s="371">
        <f t="shared" si="192"/>
        <v>0</v>
      </c>
      <c r="M187" s="371">
        <f t="shared" si="193"/>
        <v>0</v>
      </c>
      <c r="N187" s="371">
        <f t="shared" si="141"/>
        <v>0</v>
      </c>
      <c r="O187" s="371">
        <f t="shared" si="142"/>
        <v>0</v>
      </c>
      <c r="P187" s="371">
        <f t="shared" si="205"/>
        <v>0</v>
      </c>
      <c r="Q187" s="371">
        <f t="shared" si="194"/>
        <v>0</v>
      </c>
      <c r="R187" s="371">
        <f t="shared" si="195"/>
        <v>0</v>
      </c>
      <c r="S187" s="371">
        <f t="shared" si="196"/>
        <v>0</v>
      </c>
      <c r="T187" s="371">
        <f t="shared" si="197"/>
        <v>0</v>
      </c>
      <c r="U187" s="372">
        <v>0</v>
      </c>
      <c r="V187" s="372">
        <v>0</v>
      </c>
      <c r="W187" s="371">
        <f t="shared" si="198"/>
        <v>0</v>
      </c>
      <c r="X187" s="371">
        <f t="shared" si="199"/>
        <v>0</v>
      </c>
      <c r="Y187" s="371">
        <f t="shared" si="150"/>
        <v>0</v>
      </c>
      <c r="Z187" s="371">
        <f t="shared" si="151"/>
        <v>0</v>
      </c>
      <c r="AA187" s="372">
        <v>0</v>
      </c>
      <c r="AB187" s="371">
        <f t="shared" si="200"/>
        <v>0</v>
      </c>
      <c r="AC187" s="371">
        <f t="shared" si="201"/>
        <v>0</v>
      </c>
      <c r="AD187" s="371">
        <f t="shared" si="154"/>
        <v>0</v>
      </c>
      <c r="AE187" s="374">
        <f t="shared" si="155"/>
        <v>0</v>
      </c>
      <c r="AF187" s="374">
        <f t="shared" si="156"/>
        <v>0</v>
      </c>
      <c r="AG187" s="374">
        <f t="shared" si="157"/>
        <v>0</v>
      </c>
      <c r="AH187" s="375">
        <f t="shared" si="202"/>
        <v>0</v>
      </c>
      <c r="AI187" s="375">
        <f t="shared" si="206"/>
        <v>0</v>
      </c>
    </row>
    <row r="188" spans="2:35" x14ac:dyDescent="0.25">
      <c r="B188" s="46" t="s">
        <v>124</v>
      </c>
      <c r="C188" s="46" t="s">
        <v>470</v>
      </c>
      <c r="D188" s="46" t="s">
        <v>22</v>
      </c>
      <c r="E188" s="46" t="s">
        <v>111</v>
      </c>
      <c r="F188" s="46" t="s">
        <v>174</v>
      </c>
      <c r="G188" s="46"/>
      <c r="H188" s="337">
        <f t="shared" ref="H188:AI188" si="215">H187*H$54</f>
        <v>0</v>
      </c>
      <c r="I188" s="337">
        <f t="shared" si="215"/>
        <v>0</v>
      </c>
      <c r="J188" s="337">
        <f t="shared" si="215"/>
        <v>0</v>
      </c>
      <c r="K188" s="337">
        <f t="shared" si="215"/>
        <v>0</v>
      </c>
      <c r="L188" s="337">
        <f t="shared" si="215"/>
        <v>0</v>
      </c>
      <c r="M188" s="337">
        <f t="shared" si="215"/>
        <v>0</v>
      </c>
      <c r="N188" s="337">
        <f t="shared" si="215"/>
        <v>0</v>
      </c>
      <c r="O188" s="337">
        <f t="shared" si="215"/>
        <v>0</v>
      </c>
      <c r="P188" s="337">
        <f t="shared" si="215"/>
        <v>0</v>
      </c>
      <c r="Q188" s="337">
        <f t="shared" si="215"/>
        <v>0</v>
      </c>
      <c r="R188" s="337">
        <f t="shared" si="215"/>
        <v>0</v>
      </c>
      <c r="S188" s="337">
        <f t="shared" si="215"/>
        <v>0</v>
      </c>
      <c r="T188" s="337">
        <f t="shared" si="215"/>
        <v>0</v>
      </c>
      <c r="U188" s="337">
        <f t="shared" si="215"/>
        <v>0</v>
      </c>
      <c r="V188" s="337">
        <f t="shared" si="215"/>
        <v>0</v>
      </c>
      <c r="W188" s="337">
        <f t="shared" si="215"/>
        <v>0</v>
      </c>
      <c r="X188" s="337">
        <f t="shared" si="215"/>
        <v>0</v>
      </c>
      <c r="Y188" s="337">
        <f t="shared" si="215"/>
        <v>0</v>
      </c>
      <c r="Z188" s="337">
        <f t="shared" si="215"/>
        <v>0</v>
      </c>
      <c r="AA188" s="337">
        <f t="shared" si="215"/>
        <v>0</v>
      </c>
      <c r="AB188" s="337">
        <f t="shared" si="215"/>
        <v>0</v>
      </c>
      <c r="AC188" s="337">
        <f t="shared" si="215"/>
        <v>0</v>
      </c>
      <c r="AD188" s="337">
        <f t="shared" si="215"/>
        <v>0</v>
      </c>
      <c r="AE188" s="337">
        <f t="shared" si="215"/>
        <v>0</v>
      </c>
      <c r="AF188" s="337">
        <f t="shared" si="215"/>
        <v>0</v>
      </c>
      <c r="AG188" s="337">
        <f t="shared" si="215"/>
        <v>0</v>
      </c>
      <c r="AH188" s="337">
        <f t="shared" si="215"/>
        <v>0</v>
      </c>
      <c r="AI188" s="337">
        <f t="shared" si="215"/>
        <v>0</v>
      </c>
    </row>
    <row r="189" spans="2:35" x14ac:dyDescent="0.25">
      <c r="B189" s="46" t="s">
        <v>124</v>
      </c>
      <c r="C189" s="46" t="s">
        <v>471</v>
      </c>
      <c r="D189" s="46" t="s">
        <v>22</v>
      </c>
      <c r="E189" s="46" t="s">
        <v>111</v>
      </c>
      <c r="F189" s="46" t="s">
        <v>174</v>
      </c>
      <c r="G189" s="46"/>
      <c r="H189" s="336">
        <f>H187-H188</f>
        <v>0</v>
      </c>
      <c r="I189" s="336">
        <f t="shared" ref="I189:AI189" si="216">I187-I188</f>
        <v>0</v>
      </c>
      <c r="J189" s="336">
        <f t="shared" si="216"/>
        <v>0</v>
      </c>
      <c r="K189" s="336">
        <f t="shared" si="216"/>
        <v>0</v>
      </c>
      <c r="L189" s="336">
        <f t="shared" si="216"/>
        <v>0</v>
      </c>
      <c r="M189" s="336">
        <f t="shared" si="216"/>
        <v>0</v>
      </c>
      <c r="N189" s="336">
        <f t="shared" si="216"/>
        <v>0</v>
      </c>
      <c r="O189" s="336">
        <f t="shared" si="216"/>
        <v>0</v>
      </c>
      <c r="P189" s="336">
        <f t="shared" si="216"/>
        <v>0</v>
      </c>
      <c r="Q189" s="336">
        <f t="shared" si="216"/>
        <v>0</v>
      </c>
      <c r="R189" s="336">
        <f t="shared" si="216"/>
        <v>0</v>
      </c>
      <c r="S189" s="336">
        <f t="shared" si="216"/>
        <v>0</v>
      </c>
      <c r="T189" s="336">
        <f t="shared" si="216"/>
        <v>0</v>
      </c>
      <c r="U189" s="336">
        <f t="shared" si="216"/>
        <v>0</v>
      </c>
      <c r="V189" s="336">
        <f t="shared" si="216"/>
        <v>0</v>
      </c>
      <c r="W189" s="336">
        <f t="shared" si="216"/>
        <v>0</v>
      </c>
      <c r="X189" s="336">
        <f t="shared" si="216"/>
        <v>0</v>
      </c>
      <c r="Y189" s="336">
        <f t="shared" si="216"/>
        <v>0</v>
      </c>
      <c r="Z189" s="336">
        <f t="shared" si="216"/>
        <v>0</v>
      </c>
      <c r="AA189" s="336">
        <f t="shared" si="216"/>
        <v>0</v>
      </c>
      <c r="AB189" s="336">
        <f t="shared" si="216"/>
        <v>0</v>
      </c>
      <c r="AC189" s="336">
        <f t="shared" si="216"/>
        <v>0</v>
      </c>
      <c r="AD189" s="336">
        <f t="shared" si="216"/>
        <v>0</v>
      </c>
      <c r="AE189" s="336">
        <f t="shared" si="216"/>
        <v>0</v>
      </c>
      <c r="AF189" s="336">
        <f t="shared" si="216"/>
        <v>0</v>
      </c>
      <c r="AG189" s="336">
        <f t="shared" si="216"/>
        <v>0</v>
      </c>
      <c r="AH189" s="336">
        <f t="shared" si="216"/>
        <v>0</v>
      </c>
      <c r="AI189" s="336">
        <f t="shared" si="216"/>
        <v>0</v>
      </c>
    </row>
    <row r="190" spans="2:35" x14ac:dyDescent="0.25">
      <c r="B190" s="46" t="s">
        <v>119</v>
      </c>
      <c r="C190" s="46" t="s">
        <v>118</v>
      </c>
      <c r="D190" s="46" t="s">
        <v>22</v>
      </c>
      <c r="E190" s="46" t="s">
        <v>111</v>
      </c>
      <c r="F190" s="46" t="s">
        <v>174</v>
      </c>
      <c r="G190" s="46"/>
      <c r="H190" s="371">
        <f t="shared" si="162"/>
        <v>0</v>
      </c>
      <c r="I190" s="371">
        <f t="shared" si="191"/>
        <v>0</v>
      </c>
      <c r="J190" s="371">
        <f t="shared" si="137"/>
        <v>0</v>
      </c>
      <c r="K190" s="371">
        <f t="shared" si="138"/>
        <v>0</v>
      </c>
      <c r="L190" s="371">
        <f t="shared" si="192"/>
        <v>0</v>
      </c>
      <c r="M190" s="371">
        <f t="shared" si="193"/>
        <v>0</v>
      </c>
      <c r="N190" s="371">
        <f t="shared" si="141"/>
        <v>0</v>
      </c>
      <c r="O190" s="371">
        <f t="shared" si="142"/>
        <v>0</v>
      </c>
      <c r="P190" s="371">
        <f t="shared" si="205"/>
        <v>0</v>
      </c>
      <c r="Q190" s="371">
        <f t="shared" si="194"/>
        <v>0</v>
      </c>
      <c r="R190" s="371">
        <f t="shared" si="195"/>
        <v>0</v>
      </c>
      <c r="S190" s="371">
        <f t="shared" si="196"/>
        <v>0</v>
      </c>
      <c r="T190" s="371">
        <f t="shared" si="197"/>
        <v>0</v>
      </c>
      <c r="U190" s="372">
        <v>0</v>
      </c>
      <c r="V190" s="372">
        <v>0</v>
      </c>
      <c r="W190" s="371">
        <f t="shared" si="198"/>
        <v>0</v>
      </c>
      <c r="X190" s="371">
        <f t="shared" si="199"/>
        <v>0</v>
      </c>
      <c r="Y190" s="371">
        <f t="shared" si="150"/>
        <v>0</v>
      </c>
      <c r="Z190" s="371">
        <f t="shared" si="151"/>
        <v>0</v>
      </c>
      <c r="AA190" s="372">
        <v>0</v>
      </c>
      <c r="AB190" s="371">
        <f t="shared" si="200"/>
        <v>0</v>
      </c>
      <c r="AC190" s="371">
        <f t="shared" si="201"/>
        <v>0</v>
      </c>
      <c r="AD190" s="371">
        <f t="shared" si="154"/>
        <v>0</v>
      </c>
      <c r="AE190" s="374">
        <f t="shared" si="155"/>
        <v>0</v>
      </c>
      <c r="AF190" s="374">
        <f t="shared" si="156"/>
        <v>0</v>
      </c>
      <c r="AG190" s="374">
        <f t="shared" si="157"/>
        <v>0</v>
      </c>
      <c r="AH190" s="375">
        <f t="shared" si="202"/>
        <v>0</v>
      </c>
      <c r="AI190" s="375">
        <f t="shared" si="206"/>
        <v>0</v>
      </c>
    </row>
    <row r="191" spans="2:35" x14ac:dyDescent="0.25">
      <c r="B191" s="46" t="s">
        <v>94</v>
      </c>
      <c r="C191" s="46" t="s">
        <v>125</v>
      </c>
      <c r="D191" s="46" t="s">
        <v>22</v>
      </c>
      <c r="E191" s="46" t="s">
        <v>111</v>
      </c>
      <c r="F191" s="46" t="s">
        <v>174</v>
      </c>
      <c r="G191" s="46"/>
      <c r="H191" s="371">
        <f t="shared" si="162"/>
        <v>0</v>
      </c>
      <c r="I191" s="371">
        <f t="shared" si="191"/>
        <v>0</v>
      </c>
      <c r="J191" s="371">
        <f t="shared" si="137"/>
        <v>0</v>
      </c>
      <c r="K191" s="371">
        <f t="shared" si="138"/>
        <v>0</v>
      </c>
      <c r="L191" s="371">
        <f t="shared" si="192"/>
        <v>0</v>
      </c>
      <c r="M191" s="371">
        <f t="shared" si="193"/>
        <v>0</v>
      </c>
      <c r="N191" s="371">
        <f t="shared" si="141"/>
        <v>0</v>
      </c>
      <c r="O191" s="371">
        <f t="shared" si="142"/>
        <v>0</v>
      </c>
      <c r="P191" s="371">
        <f t="shared" si="205"/>
        <v>0</v>
      </c>
      <c r="Q191" s="371">
        <f t="shared" si="194"/>
        <v>0</v>
      </c>
      <c r="R191" s="371">
        <f t="shared" si="195"/>
        <v>0</v>
      </c>
      <c r="S191" s="371">
        <f t="shared" si="196"/>
        <v>0</v>
      </c>
      <c r="T191" s="371">
        <f t="shared" si="197"/>
        <v>0</v>
      </c>
      <c r="U191" s="372">
        <v>0</v>
      </c>
      <c r="V191" s="372">
        <v>0</v>
      </c>
      <c r="W191" s="371">
        <f t="shared" si="198"/>
        <v>0</v>
      </c>
      <c r="X191" s="371">
        <f t="shared" si="199"/>
        <v>0</v>
      </c>
      <c r="Y191" s="371">
        <f t="shared" si="150"/>
        <v>0</v>
      </c>
      <c r="Z191" s="371">
        <f t="shared" si="151"/>
        <v>0</v>
      </c>
      <c r="AA191" s="372">
        <v>0</v>
      </c>
      <c r="AB191" s="371">
        <f t="shared" si="200"/>
        <v>0</v>
      </c>
      <c r="AC191" s="371">
        <f t="shared" si="201"/>
        <v>0</v>
      </c>
      <c r="AD191" s="371">
        <f t="shared" si="154"/>
        <v>0</v>
      </c>
      <c r="AE191" s="374">
        <f t="shared" si="155"/>
        <v>0</v>
      </c>
      <c r="AF191" s="374">
        <f t="shared" si="156"/>
        <v>0</v>
      </c>
      <c r="AG191" s="374">
        <f t="shared" si="157"/>
        <v>0</v>
      </c>
      <c r="AH191" s="375">
        <f t="shared" si="202"/>
        <v>0</v>
      </c>
      <c r="AI191" s="375">
        <f t="shared" si="206"/>
        <v>0</v>
      </c>
    </row>
    <row r="192" spans="2:35" x14ac:dyDescent="0.25">
      <c r="B192" s="46" t="s">
        <v>148</v>
      </c>
      <c r="C192" s="46" t="s">
        <v>173</v>
      </c>
      <c r="D192" s="46" t="s">
        <v>22</v>
      </c>
      <c r="E192" s="46" t="s">
        <v>111</v>
      </c>
      <c r="F192" s="46" t="s">
        <v>174</v>
      </c>
      <c r="G192" s="46"/>
      <c r="H192" s="371">
        <f t="shared" si="162"/>
        <v>0</v>
      </c>
      <c r="I192" s="371">
        <f t="shared" si="191"/>
        <v>0</v>
      </c>
      <c r="J192" s="371">
        <f t="shared" si="137"/>
        <v>0</v>
      </c>
      <c r="K192" s="371">
        <f t="shared" si="138"/>
        <v>0</v>
      </c>
      <c r="L192" s="371">
        <f t="shared" si="192"/>
        <v>0</v>
      </c>
      <c r="M192" s="371">
        <f t="shared" si="193"/>
        <v>0</v>
      </c>
      <c r="N192" s="371">
        <f t="shared" si="141"/>
        <v>0</v>
      </c>
      <c r="O192" s="371">
        <f t="shared" si="142"/>
        <v>0</v>
      </c>
      <c r="P192" s="371">
        <f t="shared" si="205"/>
        <v>0</v>
      </c>
      <c r="Q192" s="371">
        <f t="shared" si="194"/>
        <v>0</v>
      </c>
      <c r="R192" s="371">
        <f t="shared" si="195"/>
        <v>0</v>
      </c>
      <c r="S192" s="371">
        <f t="shared" si="196"/>
        <v>0</v>
      </c>
      <c r="T192" s="371">
        <f t="shared" si="197"/>
        <v>0</v>
      </c>
      <c r="U192" s="376">
        <v>0</v>
      </c>
      <c r="V192" s="376">
        <v>0</v>
      </c>
      <c r="W192" s="371">
        <f t="shared" si="198"/>
        <v>0</v>
      </c>
      <c r="X192" s="371">
        <f t="shared" si="199"/>
        <v>0</v>
      </c>
      <c r="Y192" s="371">
        <f t="shared" si="150"/>
        <v>0</v>
      </c>
      <c r="Z192" s="371">
        <f t="shared" si="151"/>
        <v>0</v>
      </c>
      <c r="AA192" s="372">
        <v>0</v>
      </c>
      <c r="AB192" s="371">
        <f t="shared" si="200"/>
        <v>0</v>
      </c>
      <c r="AC192" s="371">
        <f t="shared" si="201"/>
        <v>0</v>
      </c>
      <c r="AD192" s="371">
        <f t="shared" si="154"/>
        <v>0</v>
      </c>
      <c r="AE192" s="374">
        <f t="shared" si="155"/>
        <v>0</v>
      </c>
      <c r="AF192" s="374">
        <f t="shared" si="156"/>
        <v>0</v>
      </c>
      <c r="AG192" s="374">
        <f t="shared" si="157"/>
        <v>0</v>
      </c>
      <c r="AH192" s="375">
        <f t="shared" si="202"/>
        <v>0</v>
      </c>
      <c r="AI192" s="375">
        <f t="shared" si="206"/>
        <v>0</v>
      </c>
    </row>
    <row r="193" spans="2:35" x14ac:dyDescent="0.25">
      <c r="B193" s="46" t="s">
        <v>169</v>
      </c>
      <c r="C193" s="46" t="s">
        <v>120</v>
      </c>
      <c r="D193" s="46" t="s">
        <v>22</v>
      </c>
      <c r="E193" s="46" t="s">
        <v>111</v>
      </c>
      <c r="F193" s="46" t="s">
        <v>174</v>
      </c>
      <c r="G193" s="46"/>
      <c r="H193" s="371">
        <f t="shared" si="162"/>
        <v>0</v>
      </c>
      <c r="I193" s="371">
        <f t="shared" si="191"/>
        <v>0</v>
      </c>
      <c r="J193" s="371">
        <f t="shared" si="137"/>
        <v>0</v>
      </c>
      <c r="K193" s="371">
        <f t="shared" si="138"/>
        <v>0</v>
      </c>
      <c r="L193" s="371">
        <f t="shared" si="192"/>
        <v>0</v>
      </c>
      <c r="M193" s="371">
        <f t="shared" si="193"/>
        <v>0</v>
      </c>
      <c r="N193" s="371">
        <f t="shared" si="141"/>
        <v>0</v>
      </c>
      <c r="O193" s="371">
        <f t="shared" si="142"/>
        <v>0</v>
      </c>
      <c r="P193" s="371">
        <f t="shared" si="205"/>
        <v>0</v>
      </c>
      <c r="Q193" s="371">
        <f t="shared" si="194"/>
        <v>0</v>
      </c>
      <c r="R193" s="371">
        <f t="shared" si="195"/>
        <v>0</v>
      </c>
      <c r="S193" s="371">
        <f t="shared" si="196"/>
        <v>0</v>
      </c>
      <c r="T193" s="371">
        <f t="shared" si="197"/>
        <v>0</v>
      </c>
      <c r="U193" s="376">
        <v>0</v>
      </c>
      <c r="V193" s="376">
        <v>0</v>
      </c>
      <c r="W193" s="371">
        <f t="shared" si="198"/>
        <v>0</v>
      </c>
      <c r="X193" s="371">
        <f t="shared" si="199"/>
        <v>0</v>
      </c>
      <c r="Y193" s="371">
        <f t="shared" si="150"/>
        <v>0</v>
      </c>
      <c r="Z193" s="371">
        <f t="shared" si="151"/>
        <v>0</v>
      </c>
      <c r="AA193" s="372">
        <v>0</v>
      </c>
      <c r="AB193" s="371">
        <f t="shared" si="200"/>
        <v>0</v>
      </c>
      <c r="AC193" s="371">
        <f t="shared" si="201"/>
        <v>0</v>
      </c>
      <c r="AD193" s="371">
        <f t="shared" si="154"/>
        <v>0</v>
      </c>
      <c r="AE193" s="374">
        <f t="shared" si="155"/>
        <v>0</v>
      </c>
      <c r="AF193" s="374">
        <f t="shared" si="156"/>
        <v>0</v>
      </c>
      <c r="AG193" s="374">
        <f t="shared" si="157"/>
        <v>0</v>
      </c>
      <c r="AH193" s="375">
        <f t="shared" si="202"/>
        <v>0</v>
      </c>
      <c r="AI193" s="375">
        <f t="shared" si="206"/>
        <v>0</v>
      </c>
    </row>
    <row r="194" spans="2:35" x14ac:dyDescent="0.25">
      <c r="B194" s="339"/>
      <c r="C194" s="340" t="s">
        <v>176</v>
      </c>
      <c r="D194" s="339"/>
      <c r="E194" s="339"/>
      <c r="F194" s="340"/>
      <c r="G194" s="340"/>
      <c r="H194" s="338">
        <f t="shared" ref="H194:AI194" si="217">SUM(H184,H187,H190,H191,H193,H192)</f>
        <v>1</v>
      </c>
      <c r="I194" s="338">
        <f t="shared" si="217"/>
        <v>1</v>
      </c>
      <c r="J194" s="338">
        <f t="shared" si="217"/>
        <v>1</v>
      </c>
      <c r="K194" s="338">
        <f t="shared" si="217"/>
        <v>1</v>
      </c>
      <c r="L194" s="338">
        <f t="shared" si="217"/>
        <v>1</v>
      </c>
      <c r="M194" s="338">
        <f t="shared" si="217"/>
        <v>1</v>
      </c>
      <c r="N194" s="338">
        <f t="shared" si="217"/>
        <v>1</v>
      </c>
      <c r="O194" s="338">
        <f t="shared" si="217"/>
        <v>1</v>
      </c>
      <c r="P194" s="338">
        <f t="shared" si="217"/>
        <v>1</v>
      </c>
      <c r="Q194" s="338">
        <f t="shared" si="217"/>
        <v>1</v>
      </c>
      <c r="R194" s="338">
        <f t="shared" si="217"/>
        <v>1</v>
      </c>
      <c r="S194" s="338">
        <f t="shared" si="217"/>
        <v>1</v>
      </c>
      <c r="T194" s="338">
        <f t="shared" si="217"/>
        <v>1</v>
      </c>
      <c r="U194" s="338">
        <f t="shared" si="217"/>
        <v>1</v>
      </c>
      <c r="V194" s="338">
        <f t="shared" si="217"/>
        <v>1</v>
      </c>
      <c r="W194" s="338">
        <f t="shared" si="217"/>
        <v>1</v>
      </c>
      <c r="X194" s="338">
        <f t="shared" si="217"/>
        <v>1</v>
      </c>
      <c r="Y194" s="338">
        <f t="shared" si="217"/>
        <v>1</v>
      </c>
      <c r="Z194" s="338">
        <f t="shared" si="217"/>
        <v>1</v>
      </c>
      <c r="AA194" s="338">
        <f t="shared" si="217"/>
        <v>1</v>
      </c>
      <c r="AB194" s="338">
        <f t="shared" si="217"/>
        <v>1</v>
      </c>
      <c r="AC194" s="338">
        <f t="shared" si="217"/>
        <v>1</v>
      </c>
      <c r="AD194" s="338">
        <f t="shared" si="217"/>
        <v>1</v>
      </c>
      <c r="AE194" s="338">
        <f t="shared" si="217"/>
        <v>1</v>
      </c>
      <c r="AF194" s="338">
        <f t="shared" si="217"/>
        <v>1</v>
      </c>
      <c r="AG194" s="338">
        <f t="shared" si="217"/>
        <v>1</v>
      </c>
      <c r="AH194" s="338">
        <f t="shared" si="217"/>
        <v>1</v>
      </c>
      <c r="AI194" s="338">
        <f t="shared" si="217"/>
        <v>1</v>
      </c>
    </row>
    <row r="195" spans="2:35" x14ac:dyDescent="0.25">
      <c r="B195" s="46"/>
      <c r="H195" s="343"/>
      <c r="I195" s="343"/>
      <c r="J195" s="343"/>
      <c r="K195" s="343"/>
      <c r="L195" s="343"/>
      <c r="M195" s="343"/>
      <c r="N195" s="343"/>
      <c r="O195" s="343"/>
      <c r="P195" s="343"/>
      <c r="Q195" s="343"/>
      <c r="R195" s="343"/>
      <c r="S195" s="343"/>
      <c r="T195" s="343"/>
      <c r="U195" s="343"/>
      <c r="V195" s="343"/>
      <c r="W195" s="343"/>
      <c r="X195" s="343"/>
      <c r="Y195" s="343"/>
      <c r="Z195" s="343"/>
      <c r="AA195" s="343"/>
      <c r="AB195" s="343"/>
      <c r="AC195" s="343"/>
      <c r="AD195" s="343"/>
      <c r="AE195" s="343"/>
      <c r="AF195" s="343"/>
      <c r="AG195" s="343"/>
      <c r="AH195" s="343"/>
      <c r="AI195" s="343"/>
    </row>
    <row r="196" spans="2:35" x14ac:dyDescent="0.25">
      <c r="B196" s="341"/>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row>
    <row r="197" spans="2:35" ht="18.75" x14ac:dyDescent="0.25">
      <c r="B197" s="55" t="s">
        <v>100</v>
      </c>
      <c r="C197" s="55" t="s">
        <v>175</v>
      </c>
      <c r="D197" s="46"/>
      <c r="E197" s="55"/>
      <c r="F197" s="55"/>
      <c r="G197" s="55"/>
      <c r="H197" s="55"/>
      <c r="I197" s="55"/>
      <c r="J197" s="55"/>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row>
    <row r="198" spans="2:35" x14ac:dyDescent="0.25">
      <c r="B198" s="56" t="s">
        <v>95</v>
      </c>
      <c r="C198" s="56"/>
      <c r="D198" s="57" t="s">
        <v>96</v>
      </c>
      <c r="E198" s="57"/>
      <c r="F198" s="56" t="s">
        <v>46</v>
      </c>
      <c r="G198" s="56" t="s">
        <v>86</v>
      </c>
      <c r="H198" s="334" t="s">
        <v>314</v>
      </c>
      <c r="I198" s="334" t="s">
        <v>315</v>
      </c>
      <c r="J198" s="334" t="s">
        <v>317</v>
      </c>
      <c r="K198" s="334" t="s">
        <v>316</v>
      </c>
      <c r="L198" s="334" t="s">
        <v>318</v>
      </c>
      <c r="M198" s="334" t="s">
        <v>319</v>
      </c>
      <c r="N198" s="334" t="s">
        <v>320</v>
      </c>
      <c r="O198" s="334" t="s">
        <v>321</v>
      </c>
      <c r="P198" s="334" t="s">
        <v>1</v>
      </c>
      <c r="Q198" s="334" t="s">
        <v>2</v>
      </c>
      <c r="R198" s="334" t="s">
        <v>416</v>
      </c>
      <c r="S198" s="334" t="s">
        <v>3</v>
      </c>
      <c r="T198" s="334" t="s">
        <v>322</v>
      </c>
      <c r="U198" s="334" t="s">
        <v>323</v>
      </c>
      <c r="V198" s="334" t="s">
        <v>324</v>
      </c>
      <c r="W198" s="334" t="s">
        <v>417</v>
      </c>
      <c r="X198" s="334" t="s">
        <v>325</v>
      </c>
      <c r="Y198" s="334" t="s">
        <v>4</v>
      </c>
      <c r="Z198" s="334" t="s">
        <v>5</v>
      </c>
      <c r="AA198" s="334" t="s">
        <v>6</v>
      </c>
      <c r="AB198" s="334" t="s">
        <v>7</v>
      </c>
      <c r="AC198" s="334" t="s">
        <v>418</v>
      </c>
      <c r="AD198" s="334" t="s">
        <v>8</v>
      </c>
      <c r="AE198" s="334" t="s">
        <v>9</v>
      </c>
      <c r="AF198" s="334" t="s">
        <v>419</v>
      </c>
      <c r="AG198" s="334" t="s">
        <v>10</v>
      </c>
      <c r="AH198" s="334" t="s">
        <v>420</v>
      </c>
      <c r="AI198" s="334" t="s">
        <v>11</v>
      </c>
    </row>
    <row r="199" spans="2:35" ht="16.5" thickBot="1" x14ac:dyDescent="0.3">
      <c r="B199" s="58" t="s">
        <v>27</v>
      </c>
      <c r="C199" s="58" t="s">
        <v>32</v>
      </c>
      <c r="D199" s="58" t="s">
        <v>27</v>
      </c>
      <c r="E199" s="58" t="s">
        <v>32</v>
      </c>
      <c r="F199" s="58"/>
      <c r="G199" s="58"/>
      <c r="H199" s="334" t="s">
        <v>327</v>
      </c>
      <c r="I199" s="334" t="s">
        <v>328</v>
      </c>
      <c r="J199" s="334" t="s">
        <v>330</v>
      </c>
      <c r="K199" s="334" t="s">
        <v>329</v>
      </c>
      <c r="L199" s="334" t="s">
        <v>331</v>
      </c>
      <c r="M199" s="334" t="s">
        <v>332</v>
      </c>
      <c r="N199" s="334" t="s">
        <v>333</v>
      </c>
      <c r="O199" s="334" t="s">
        <v>334</v>
      </c>
      <c r="P199" s="334" t="s">
        <v>87</v>
      </c>
      <c r="Q199" s="334" t="s">
        <v>88</v>
      </c>
      <c r="R199" s="334" t="s">
        <v>425</v>
      </c>
      <c r="S199" s="334" t="s">
        <v>463</v>
      </c>
      <c r="T199" s="334" t="s">
        <v>335</v>
      </c>
      <c r="U199" s="334" t="s">
        <v>336</v>
      </c>
      <c r="V199" s="334" t="s">
        <v>337</v>
      </c>
      <c r="W199" s="334">
        <v>0</v>
      </c>
      <c r="X199" s="334" t="s">
        <v>338</v>
      </c>
      <c r="Y199" s="334" t="s">
        <v>464</v>
      </c>
      <c r="Z199" s="334" t="s">
        <v>89</v>
      </c>
      <c r="AA199" s="334" t="s">
        <v>90</v>
      </c>
      <c r="AB199" s="334" t="s">
        <v>91</v>
      </c>
      <c r="AC199" s="334" t="s">
        <v>429</v>
      </c>
      <c r="AD199" s="334" t="s">
        <v>465</v>
      </c>
      <c r="AE199" s="334" t="s">
        <v>92</v>
      </c>
      <c r="AF199" s="334" t="s">
        <v>431</v>
      </c>
      <c r="AG199" s="334" t="s">
        <v>466</v>
      </c>
      <c r="AH199" s="334" t="s">
        <v>587</v>
      </c>
      <c r="AI199" s="334" t="s">
        <v>339</v>
      </c>
    </row>
    <row r="200" spans="2:35" x14ac:dyDescent="0.25">
      <c r="B200" s="46" t="s">
        <v>122</v>
      </c>
      <c r="C200" s="46" t="s">
        <v>468</v>
      </c>
      <c r="D200" s="46" t="s">
        <v>78</v>
      </c>
      <c r="E200" s="46" t="s">
        <v>103</v>
      </c>
      <c r="F200" s="46" t="s">
        <v>12</v>
      </c>
      <c r="G200" s="46" t="s">
        <v>405</v>
      </c>
      <c r="H200" s="488">
        <f>SUMIFS(H$6:H$17,$E$6:$E$17,$E200)*SUMIFS(H$63:H$194,$E$63:$E$194,$E200,$C$63:$C$194,$C200)/1000</f>
        <v>0</v>
      </c>
      <c r="I200" s="488">
        <f t="shared" ref="I200:AI215" si="218">SUMIFS(I$6:I$17,$E$6:$E$17,$E200)*SUMIFS(I$63:I$194,$E$63:$E$194,$E200,$C$63:$C$194,$C200)/1000</f>
        <v>0</v>
      </c>
      <c r="J200" s="488">
        <f t="shared" si="218"/>
        <v>0</v>
      </c>
      <c r="K200" s="488">
        <f t="shared" si="218"/>
        <v>0</v>
      </c>
      <c r="L200" s="488">
        <f t="shared" si="218"/>
        <v>0</v>
      </c>
      <c r="M200" s="488">
        <f t="shared" si="218"/>
        <v>0</v>
      </c>
      <c r="N200" s="488">
        <f t="shared" si="218"/>
        <v>9.148021404420067E-4</v>
      </c>
      <c r="O200" s="488">
        <f t="shared" si="218"/>
        <v>6.7681573266168931</v>
      </c>
      <c r="P200" s="488">
        <f t="shared" si="218"/>
        <v>0</v>
      </c>
      <c r="Q200" s="488">
        <f t="shared" si="218"/>
        <v>0</v>
      </c>
      <c r="R200" s="488">
        <f t="shared" si="218"/>
        <v>1.0769161342422156E-2</v>
      </c>
      <c r="S200" s="488">
        <f t="shared" si="218"/>
        <v>0</v>
      </c>
      <c r="T200" s="488">
        <f t="shared" si="218"/>
        <v>0</v>
      </c>
      <c r="U200" s="488">
        <f t="shared" si="218"/>
        <v>0</v>
      </c>
      <c r="V200" s="488">
        <f t="shared" si="218"/>
        <v>0</v>
      </c>
      <c r="W200" s="488">
        <f t="shared" si="218"/>
        <v>0</v>
      </c>
      <c r="X200" s="488">
        <f>SUMIFS(X$6:X$17,$E$6:$E$17,$E200)*SUMIFS(X$63:X$194,$E$63:$E$194,$E200,$C$63:$C$194,$C200)/1000</f>
        <v>7.6103578406152872</v>
      </c>
      <c r="Y200" s="488">
        <f t="shared" si="218"/>
        <v>0.40580957092740844</v>
      </c>
      <c r="Z200" s="488">
        <f t="shared" si="218"/>
        <v>0</v>
      </c>
      <c r="AA200" s="488">
        <f t="shared" si="218"/>
        <v>0</v>
      </c>
      <c r="AB200" s="488">
        <f t="shared" si="218"/>
        <v>0</v>
      </c>
      <c r="AC200" s="488">
        <f t="shared" si="218"/>
        <v>0</v>
      </c>
      <c r="AD200" s="488">
        <f t="shared" si="218"/>
        <v>0</v>
      </c>
      <c r="AE200" s="488">
        <f t="shared" si="218"/>
        <v>0</v>
      </c>
      <c r="AF200" s="488">
        <f t="shared" si="218"/>
        <v>0</v>
      </c>
      <c r="AG200" s="488">
        <f t="shared" si="218"/>
        <v>0</v>
      </c>
      <c r="AH200" s="488">
        <f t="shared" si="218"/>
        <v>0</v>
      </c>
      <c r="AI200" s="488">
        <f t="shared" si="218"/>
        <v>0</v>
      </c>
    </row>
    <row r="201" spans="2:35" x14ac:dyDescent="0.25">
      <c r="B201" s="46" t="s">
        <v>122</v>
      </c>
      <c r="C201" s="46" t="s">
        <v>468</v>
      </c>
      <c r="D201" s="46" t="s">
        <v>115</v>
      </c>
      <c r="E201" s="46" t="s">
        <v>368</v>
      </c>
      <c r="F201" s="46" t="s">
        <v>12</v>
      </c>
      <c r="G201" s="46" t="s">
        <v>405</v>
      </c>
      <c r="H201" s="488">
        <f t="shared" ref="H201:X211" si="219">SUMIFS(H$6:H$17,$E$6:$E$17,$E201)*SUMIFS(H$63:H$194,$E$63:$E$194,$E201,$C$63:$C$194,$C201)/1000</f>
        <v>576.95619511033249</v>
      </c>
      <c r="I201" s="488">
        <f t="shared" si="219"/>
        <v>26.988447900907719</v>
      </c>
      <c r="J201" s="488">
        <f t="shared" si="219"/>
        <v>408.29056819755783</v>
      </c>
      <c r="K201" s="488">
        <f t="shared" si="219"/>
        <v>214.70989646369139</v>
      </c>
      <c r="L201" s="488">
        <f t="shared" si="219"/>
        <v>14.093690518346218</v>
      </c>
      <c r="M201" s="488">
        <f t="shared" si="219"/>
        <v>81.084483853557614</v>
      </c>
      <c r="N201" s="488">
        <f t="shared" si="219"/>
        <v>846.69878029466111</v>
      </c>
      <c r="O201" s="488">
        <f t="shared" si="219"/>
        <v>1457.9198605738959</v>
      </c>
      <c r="P201" s="488">
        <f t="shared" si="219"/>
        <v>0</v>
      </c>
      <c r="Q201" s="488">
        <f t="shared" si="219"/>
        <v>101.89935410550504</v>
      </c>
      <c r="R201" s="488">
        <f t="shared" si="219"/>
        <v>70.381853953399997</v>
      </c>
      <c r="S201" s="488">
        <f t="shared" si="219"/>
        <v>598.12862706189344</v>
      </c>
      <c r="T201" s="488">
        <f t="shared" si="219"/>
        <v>252.03246965683229</v>
      </c>
      <c r="U201" s="488">
        <f t="shared" si="219"/>
        <v>57.059212095333116</v>
      </c>
      <c r="V201" s="488">
        <f t="shared" si="219"/>
        <v>640.10736143544443</v>
      </c>
      <c r="W201" s="488">
        <f t="shared" si="219"/>
        <v>609.61435043566757</v>
      </c>
      <c r="X201" s="488">
        <f t="shared" si="219"/>
        <v>462.20671027561525</v>
      </c>
      <c r="Y201" s="488">
        <f t="shared" si="218"/>
        <v>1084.4117985967437</v>
      </c>
      <c r="Z201" s="488">
        <f t="shared" si="218"/>
        <v>3881.9734225960242</v>
      </c>
      <c r="AA201" s="488">
        <f t="shared" si="218"/>
        <v>0.26874514125936599</v>
      </c>
      <c r="AB201" s="488">
        <f t="shared" si="218"/>
        <v>0</v>
      </c>
      <c r="AC201" s="488">
        <f t="shared" si="218"/>
        <v>69.029490268917996</v>
      </c>
      <c r="AD201" s="488">
        <f t="shared" si="218"/>
        <v>84.873979493775721</v>
      </c>
      <c r="AE201" s="488">
        <f t="shared" si="218"/>
        <v>242.58829204046305</v>
      </c>
      <c r="AF201" s="488">
        <f t="shared" si="218"/>
        <v>824.81335242478758</v>
      </c>
      <c r="AG201" s="488">
        <f t="shared" si="218"/>
        <v>37.089233787501591</v>
      </c>
      <c r="AH201" s="488">
        <f t="shared" si="218"/>
        <v>3.3765972409419116</v>
      </c>
      <c r="AI201" s="488">
        <f t="shared" si="218"/>
        <v>386.97244043247991</v>
      </c>
    </row>
    <row r="202" spans="2:35" x14ac:dyDescent="0.25">
      <c r="B202" s="46" t="s">
        <v>122</v>
      </c>
      <c r="C202" s="46" t="s">
        <v>468</v>
      </c>
      <c r="D202" s="46" t="s">
        <v>326</v>
      </c>
      <c r="E202" s="46" t="s">
        <v>170</v>
      </c>
      <c r="F202" s="46" t="s">
        <v>12</v>
      </c>
      <c r="G202" s="46" t="s">
        <v>405</v>
      </c>
      <c r="H202" s="488">
        <f t="shared" si="219"/>
        <v>0</v>
      </c>
      <c r="I202" s="488">
        <f t="shared" si="219"/>
        <v>0</v>
      </c>
      <c r="J202" s="488">
        <f t="shared" si="219"/>
        <v>0</v>
      </c>
      <c r="K202" s="488">
        <f t="shared" si="219"/>
        <v>0</v>
      </c>
      <c r="L202" s="488">
        <f t="shared" si="219"/>
        <v>0</v>
      </c>
      <c r="M202" s="488">
        <f t="shared" si="219"/>
        <v>0</v>
      </c>
      <c r="N202" s="488">
        <f t="shared" si="219"/>
        <v>0</v>
      </c>
      <c r="O202" s="488">
        <f t="shared" si="219"/>
        <v>0</v>
      </c>
      <c r="P202" s="488">
        <f t="shared" si="219"/>
        <v>0</v>
      </c>
      <c r="Q202" s="488">
        <f t="shared" si="219"/>
        <v>0</v>
      </c>
      <c r="R202" s="488">
        <f t="shared" si="219"/>
        <v>0</v>
      </c>
      <c r="S202" s="488">
        <f t="shared" si="219"/>
        <v>38.134123959874913</v>
      </c>
      <c r="T202" s="488">
        <f t="shared" si="219"/>
        <v>0</v>
      </c>
      <c r="U202" s="488">
        <f t="shared" si="219"/>
        <v>0</v>
      </c>
      <c r="V202" s="488">
        <f t="shared" si="219"/>
        <v>0</v>
      </c>
      <c r="W202" s="488">
        <f t="shared" si="219"/>
        <v>0</v>
      </c>
      <c r="X202" s="488">
        <f t="shared" si="218"/>
        <v>0.64380197469556733</v>
      </c>
      <c r="Y202" s="488">
        <f t="shared" si="218"/>
        <v>0</v>
      </c>
      <c r="Z202" s="488">
        <f t="shared" si="218"/>
        <v>0</v>
      </c>
      <c r="AA202" s="488">
        <f t="shared" si="218"/>
        <v>0</v>
      </c>
      <c r="AB202" s="488">
        <f t="shared" si="218"/>
        <v>0</v>
      </c>
      <c r="AC202" s="488">
        <f t="shared" si="218"/>
        <v>0</v>
      </c>
      <c r="AD202" s="488">
        <f t="shared" si="218"/>
        <v>0</v>
      </c>
      <c r="AE202" s="488">
        <f t="shared" si="218"/>
        <v>0</v>
      </c>
      <c r="AF202" s="488">
        <f t="shared" si="218"/>
        <v>0</v>
      </c>
      <c r="AG202" s="488">
        <f t="shared" si="218"/>
        <v>0</v>
      </c>
      <c r="AH202" s="488">
        <f t="shared" si="218"/>
        <v>0</v>
      </c>
      <c r="AI202" s="488">
        <f t="shared" si="218"/>
        <v>6.4285697908617587</v>
      </c>
    </row>
    <row r="203" spans="2:35" x14ac:dyDescent="0.25">
      <c r="B203" s="46" t="s">
        <v>122</v>
      </c>
      <c r="C203" s="46" t="s">
        <v>468</v>
      </c>
      <c r="D203" s="46" t="s">
        <v>18</v>
      </c>
      <c r="E203" s="46" t="s">
        <v>104</v>
      </c>
      <c r="F203" s="46" t="s">
        <v>12</v>
      </c>
      <c r="G203" s="46" t="s">
        <v>405</v>
      </c>
      <c r="H203" s="488">
        <f t="shared" si="219"/>
        <v>0.17986238698650309</v>
      </c>
      <c r="I203" s="488">
        <f t="shared" si="219"/>
        <v>0.10399627733829687</v>
      </c>
      <c r="J203" s="488">
        <f t="shared" si="219"/>
        <v>0</v>
      </c>
      <c r="K203" s="488">
        <f t="shared" si="219"/>
        <v>160.33951046998604</v>
      </c>
      <c r="L203" s="488">
        <f t="shared" si="219"/>
        <v>0.22650896263653769</v>
      </c>
      <c r="M203" s="488">
        <f t="shared" si="219"/>
        <v>154.72214285714287</v>
      </c>
      <c r="N203" s="488">
        <f t="shared" si="219"/>
        <v>38.764720098429649</v>
      </c>
      <c r="O203" s="488">
        <f t="shared" si="219"/>
        <v>7.571428571428572E-2</v>
      </c>
      <c r="P203" s="488">
        <f t="shared" si="219"/>
        <v>0</v>
      </c>
      <c r="Q203" s="488">
        <f t="shared" si="219"/>
        <v>0</v>
      </c>
      <c r="R203" s="488">
        <f t="shared" si="219"/>
        <v>0</v>
      </c>
      <c r="S203" s="488">
        <f t="shared" si="219"/>
        <v>933.48528159073464</v>
      </c>
      <c r="T203" s="488">
        <f t="shared" si="219"/>
        <v>22.035851152158358</v>
      </c>
      <c r="U203" s="488">
        <f t="shared" si="219"/>
        <v>13.24177333990856</v>
      </c>
      <c r="V203" s="488">
        <f t="shared" si="219"/>
        <v>196.10969389424147</v>
      </c>
      <c r="W203" s="488">
        <f t="shared" si="219"/>
        <v>2.8611178740429288</v>
      </c>
      <c r="X203" s="488">
        <f t="shared" si="218"/>
        <v>24.118204768461524</v>
      </c>
      <c r="Y203" s="488">
        <f t="shared" si="218"/>
        <v>39.113571428571426</v>
      </c>
      <c r="Z203" s="488">
        <f t="shared" si="218"/>
        <v>6.7857142857142865</v>
      </c>
      <c r="AA203" s="488">
        <f t="shared" si="218"/>
        <v>0</v>
      </c>
      <c r="AB203" s="488">
        <f t="shared" si="218"/>
        <v>3.7722646611716897</v>
      </c>
      <c r="AC203" s="488">
        <f t="shared" si="218"/>
        <v>35.369922966704699</v>
      </c>
      <c r="AD203" s="488">
        <f t="shared" si="218"/>
        <v>0.38881666183525398</v>
      </c>
      <c r="AE203" s="488">
        <f t="shared" si="218"/>
        <v>0</v>
      </c>
      <c r="AF203" s="488">
        <f t="shared" si="218"/>
        <v>0</v>
      </c>
      <c r="AG203" s="488">
        <f t="shared" si="218"/>
        <v>49.547300271771007</v>
      </c>
      <c r="AH203" s="488">
        <f t="shared" si="218"/>
        <v>6.8939827680630064</v>
      </c>
      <c r="AI203" s="488">
        <f t="shared" si="218"/>
        <v>0</v>
      </c>
    </row>
    <row r="204" spans="2:35" x14ac:dyDescent="0.25">
      <c r="B204" s="46" t="s">
        <v>122</v>
      </c>
      <c r="C204" s="46" t="s">
        <v>468</v>
      </c>
      <c r="D204" s="46" t="s">
        <v>19</v>
      </c>
      <c r="E204" s="46" t="s">
        <v>105</v>
      </c>
      <c r="F204" s="46" t="s">
        <v>12</v>
      </c>
      <c r="G204" s="46" t="s">
        <v>405</v>
      </c>
      <c r="H204" s="488">
        <f t="shared" si="219"/>
        <v>1.2643837180021618</v>
      </c>
      <c r="I204" s="488">
        <f t="shared" si="219"/>
        <v>6.5193537131002008</v>
      </c>
      <c r="J204" s="488">
        <f t="shared" si="219"/>
        <v>1.2101954500467298</v>
      </c>
      <c r="K204" s="488">
        <f t="shared" si="219"/>
        <v>3.3975057364961101</v>
      </c>
      <c r="L204" s="488">
        <f t="shared" si="219"/>
        <v>78.664466327456637</v>
      </c>
      <c r="M204" s="488">
        <f t="shared" si="219"/>
        <v>29.587603668083212</v>
      </c>
      <c r="N204" s="488">
        <f t="shared" si="219"/>
        <v>50.129187579945075</v>
      </c>
      <c r="O204" s="488">
        <f t="shared" si="219"/>
        <v>47.061247595616209</v>
      </c>
      <c r="P204" s="488">
        <f t="shared" si="219"/>
        <v>73.211239561388183</v>
      </c>
      <c r="Q204" s="488">
        <f t="shared" si="219"/>
        <v>314.22228097759711</v>
      </c>
      <c r="R204" s="488">
        <f t="shared" si="219"/>
        <v>3.591051070670424</v>
      </c>
      <c r="S204" s="488">
        <f t="shared" si="219"/>
        <v>612.75046942032759</v>
      </c>
      <c r="T204" s="488">
        <f t="shared" si="219"/>
        <v>51.144624219615977</v>
      </c>
      <c r="U204" s="488">
        <f t="shared" si="219"/>
        <v>127.78807062589482</v>
      </c>
      <c r="V204" s="488">
        <f t="shared" si="219"/>
        <v>72.717571417519125</v>
      </c>
      <c r="W204" s="488">
        <f t="shared" si="219"/>
        <v>278.97710926518397</v>
      </c>
      <c r="X204" s="488">
        <f t="shared" si="218"/>
        <v>199.78244195610307</v>
      </c>
      <c r="Y204" s="488">
        <f t="shared" si="218"/>
        <v>97.484553791098222</v>
      </c>
      <c r="Z204" s="488">
        <f t="shared" si="218"/>
        <v>148.3397754417357</v>
      </c>
      <c r="AA204" s="488">
        <f t="shared" si="218"/>
        <v>209.51693464837805</v>
      </c>
      <c r="AB204" s="488">
        <f t="shared" si="218"/>
        <v>17.447986662436762</v>
      </c>
      <c r="AC204" s="488">
        <f t="shared" si="218"/>
        <v>65.648938645865869</v>
      </c>
      <c r="AD204" s="488">
        <f t="shared" si="218"/>
        <v>235.12786101584103</v>
      </c>
      <c r="AE204" s="488">
        <f t="shared" si="218"/>
        <v>60.860137803851636</v>
      </c>
      <c r="AF204" s="488">
        <f t="shared" si="218"/>
        <v>0.88259030395884186</v>
      </c>
      <c r="AG204" s="488">
        <f t="shared" si="218"/>
        <v>69.980109792415504</v>
      </c>
      <c r="AH204" s="488">
        <f t="shared" si="218"/>
        <v>25.955632915582946</v>
      </c>
      <c r="AI204" s="488">
        <f t="shared" si="218"/>
        <v>1038.914744129293</v>
      </c>
    </row>
    <row r="205" spans="2:35" x14ac:dyDescent="0.25">
      <c r="B205" s="46" t="s">
        <v>122</v>
      </c>
      <c r="C205" s="46" t="s">
        <v>468</v>
      </c>
      <c r="D205" s="46" t="s">
        <v>458</v>
      </c>
      <c r="E205" s="46" t="s">
        <v>457</v>
      </c>
      <c r="F205" s="46" t="s">
        <v>12</v>
      </c>
      <c r="G205" s="46" t="s">
        <v>405</v>
      </c>
      <c r="H205" s="488">
        <f t="shared" si="219"/>
        <v>0</v>
      </c>
      <c r="I205" s="488">
        <f t="shared" si="219"/>
        <v>0</v>
      </c>
      <c r="J205" s="488">
        <f t="shared" si="219"/>
        <v>0</v>
      </c>
      <c r="K205" s="488">
        <f t="shared" si="219"/>
        <v>0</v>
      </c>
      <c r="L205" s="488">
        <f t="shared" si="219"/>
        <v>0</v>
      </c>
      <c r="M205" s="488">
        <f t="shared" si="219"/>
        <v>0</v>
      </c>
      <c r="N205" s="488">
        <f t="shared" si="219"/>
        <v>0</v>
      </c>
      <c r="O205" s="488">
        <f t="shared" si="219"/>
        <v>0</v>
      </c>
      <c r="P205" s="488">
        <f t="shared" si="219"/>
        <v>0</v>
      </c>
      <c r="Q205" s="488">
        <f t="shared" si="219"/>
        <v>0</v>
      </c>
      <c r="R205" s="488">
        <f t="shared" si="219"/>
        <v>0</v>
      </c>
      <c r="S205" s="488">
        <f t="shared" si="219"/>
        <v>5.5070931631629465</v>
      </c>
      <c r="T205" s="488">
        <f t="shared" si="219"/>
        <v>0</v>
      </c>
      <c r="U205" s="488">
        <f t="shared" si="219"/>
        <v>0</v>
      </c>
      <c r="V205" s="488">
        <f t="shared" si="219"/>
        <v>0</v>
      </c>
      <c r="W205" s="488">
        <f t="shared" si="219"/>
        <v>0</v>
      </c>
      <c r="X205" s="488">
        <f t="shared" si="218"/>
        <v>0</v>
      </c>
      <c r="Y205" s="488">
        <f t="shared" si="218"/>
        <v>0</v>
      </c>
      <c r="Z205" s="488">
        <f t="shared" si="218"/>
        <v>0</v>
      </c>
      <c r="AA205" s="488">
        <f t="shared" si="218"/>
        <v>0</v>
      </c>
      <c r="AB205" s="488">
        <f t="shared" si="218"/>
        <v>0</v>
      </c>
      <c r="AC205" s="488">
        <f t="shared" si="218"/>
        <v>0</v>
      </c>
      <c r="AD205" s="488">
        <f t="shared" si="218"/>
        <v>0</v>
      </c>
      <c r="AE205" s="488">
        <f t="shared" si="218"/>
        <v>0</v>
      </c>
      <c r="AF205" s="488">
        <f t="shared" si="218"/>
        <v>0</v>
      </c>
      <c r="AG205" s="488">
        <f t="shared" si="218"/>
        <v>0</v>
      </c>
      <c r="AH205" s="488">
        <f t="shared" si="218"/>
        <v>0</v>
      </c>
      <c r="AI205" s="488">
        <f t="shared" si="218"/>
        <v>0</v>
      </c>
    </row>
    <row r="206" spans="2:35" x14ac:dyDescent="0.25">
      <c r="B206" s="46" t="s">
        <v>122</v>
      </c>
      <c r="C206" s="46" t="s">
        <v>468</v>
      </c>
      <c r="D206" s="46" t="s">
        <v>93</v>
      </c>
      <c r="E206" s="46" t="s">
        <v>106</v>
      </c>
      <c r="F206" s="46" t="s">
        <v>12</v>
      </c>
      <c r="G206" s="46" t="s">
        <v>405</v>
      </c>
      <c r="H206" s="488">
        <f t="shared" si="219"/>
        <v>0</v>
      </c>
      <c r="I206" s="488">
        <f t="shared" si="219"/>
        <v>403.36861737811154</v>
      </c>
      <c r="J206" s="488">
        <f t="shared" si="219"/>
        <v>0</v>
      </c>
      <c r="K206" s="488">
        <f t="shared" si="219"/>
        <v>0.16845372914462364</v>
      </c>
      <c r="L206" s="488">
        <f t="shared" si="219"/>
        <v>148.58954966875154</v>
      </c>
      <c r="M206" s="488">
        <f t="shared" si="219"/>
        <v>450.29752478519504</v>
      </c>
      <c r="N206" s="488">
        <f t="shared" si="219"/>
        <v>2.4184553818860142</v>
      </c>
      <c r="O206" s="488">
        <f t="shared" si="219"/>
        <v>348.22874091209519</v>
      </c>
      <c r="P206" s="488">
        <f t="shared" si="219"/>
        <v>6.4363825990736609</v>
      </c>
      <c r="Q206" s="488">
        <f t="shared" si="219"/>
        <v>552.40721354948926</v>
      </c>
      <c r="R206" s="488">
        <f t="shared" si="219"/>
        <v>17.275423658872079</v>
      </c>
      <c r="S206" s="488">
        <f t="shared" si="219"/>
        <v>750.57046247925723</v>
      </c>
      <c r="T206" s="488">
        <f t="shared" si="219"/>
        <v>302.86994432605815</v>
      </c>
      <c r="U206" s="488">
        <f t="shared" si="219"/>
        <v>844.35997467661264</v>
      </c>
      <c r="V206" s="488">
        <f t="shared" si="219"/>
        <v>455.77507874107744</v>
      </c>
      <c r="W206" s="488">
        <f t="shared" si="219"/>
        <v>1022.5078436231727</v>
      </c>
      <c r="X206" s="488">
        <f t="shared" si="218"/>
        <v>1413.0684724788555</v>
      </c>
      <c r="Y206" s="488">
        <f t="shared" si="218"/>
        <v>0.60290482485128882</v>
      </c>
      <c r="Z206" s="488">
        <f t="shared" si="218"/>
        <v>44.950674157303375</v>
      </c>
      <c r="AA206" s="488">
        <f t="shared" si="218"/>
        <v>297.10075989448035</v>
      </c>
      <c r="AB206" s="488">
        <f t="shared" si="218"/>
        <v>338.81379657716479</v>
      </c>
      <c r="AC206" s="488">
        <f t="shared" si="218"/>
        <v>432.3791333967755</v>
      </c>
      <c r="AD206" s="488">
        <f t="shared" si="218"/>
        <v>1553.1071943506172</v>
      </c>
      <c r="AE206" s="488">
        <f t="shared" si="218"/>
        <v>24.63246049095515</v>
      </c>
      <c r="AF206" s="488">
        <f t="shared" si="218"/>
        <v>0</v>
      </c>
      <c r="AG206" s="488">
        <f t="shared" si="218"/>
        <v>1905.6837973836421</v>
      </c>
      <c r="AH206" s="488">
        <f t="shared" si="218"/>
        <v>216.92945760589555</v>
      </c>
      <c r="AI206" s="488">
        <f t="shared" si="218"/>
        <v>3463.0831639824469</v>
      </c>
    </row>
    <row r="207" spans="2:35" x14ac:dyDescent="0.25">
      <c r="B207" s="46" t="s">
        <v>122</v>
      </c>
      <c r="C207" s="46" t="s">
        <v>468</v>
      </c>
      <c r="D207" s="46" t="s">
        <v>20</v>
      </c>
      <c r="E207" s="46" t="s">
        <v>108</v>
      </c>
      <c r="F207" s="46" t="s">
        <v>12</v>
      </c>
      <c r="G207" s="46" t="s">
        <v>405</v>
      </c>
      <c r="H207" s="488">
        <f t="shared" si="219"/>
        <v>0</v>
      </c>
      <c r="I207" s="488">
        <f t="shared" si="219"/>
        <v>0</v>
      </c>
      <c r="J207" s="488">
        <f t="shared" si="219"/>
        <v>0</v>
      </c>
      <c r="K207" s="488">
        <f t="shared" si="219"/>
        <v>0</v>
      </c>
      <c r="L207" s="488">
        <f t="shared" si="219"/>
        <v>0</v>
      </c>
      <c r="M207" s="488">
        <f t="shared" si="219"/>
        <v>124.96</v>
      </c>
      <c r="N207" s="488">
        <f t="shared" si="219"/>
        <v>0</v>
      </c>
      <c r="O207" s="488">
        <f t="shared" si="219"/>
        <v>0</v>
      </c>
      <c r="P207" s="488">
        <f t="shared" si="219"/>
        <v>0</v>
      </c>
      <c r="Q207" s="488">
        <f t="shared" si="219"/>
        <v>0</v>
      </c>
      <c r="R207" s="488">
        <f t="shared" si="219"/>
        <v>0</v>
      </c>
      <c r="S207" s="488">
        <f t="shared" si="219"/>
        <v>1175.51132450971</v>
      </c>
      <c r="T207" s="488">
        <f t="shared" si="219"/>
        <v>201.00833956691486</v>
      </c>
      <c r="U207" s="488">
        <f t="shared" si="219"/>
        <v>35.384380035341195</v>
      </c>
      <c r="V207" s="488">
        <f t="shared" si="219"/>
        <v>325.10696696080646</v>
      </c>
      <c r="W207" s="488">
        <f t="shared" si="219"/>
        <v>87.74894594942964</v>
      </c>
      <c r="X207" s="488">
        <f t="shared" si="218"/>
        <v>447.64730114207498</v>
      </c>
      <c r="Y207" s="488">
        <f t="shared" si="218"/>
        <v>0</v>
      </c>
      <c r="Z207" s="488">
        <f t="shared" si="218"/>
        <v>0</v>
      </c>
      <c r="AA207" s="488">
        <f t="shared" si="218"/>
        <v>1.0435626548916987</v>
      </c>
      <c r="AB207" s="488">
        <f t="shared" si="218"/>
        <v>0</v>
      </c>
      <c r="AC207" s="488">
        <f t="shared" si="218"/>
        <v>2.8663935712035995</v>
      </c>
      <c r="AD207" s="488">
        <f t="shared" si="218"/>
        <v>0</v>
      </c>
      <c r="AE207" s="488">
        <f t="shared" si="218"/>
        <v>0</v>
      </c>
      <c r="AF207" s="488">
        <f t="shared" si="218"/>
        <v>0</v>
      </c>
      <c r="AG207" s="488">
        <f t="shared" si="218"/>
        <v>1815.4741472025505</v>
      </c>
      <c r="AH207" s="488">
        <f t="shared" si="218"/>
        <v>63.789422275565194</v>
      </c>
      <c r="AI207" s="488">
        <f t="shared" si="218"/>
        <v>0</v>
      </c>
    </row>
    <row r="208" spans="2:35" x14ac:dyDescent="0.25">
      <c r="B208" s="46" t="s">
        <v>122</v>
      </c>
      <c r="C208" s="46" t="s">
        <v>468</v>
      </c>
      <c r="D208" s="46" t="s">
        <v>0</v>
      </c>
      <c r="E208" s="46" t="s">
        <v>109</v>
      </c>
      <c r="F208" s="46" t="s">
        <v>12</v>
      </c>
      <c r="G208" s="46" t="s">
        <v>405</v>
      </c>
      <c r="H208" s="488">
        <f t="shared" si="219"/>
        <v>6.1628919992502142</v>
      </c>
      <c r="I208" s="488">
        <f t="shared" si="219"/>
        <v>73.590610235267818</v>
      </c>
      <c r="J208" s="488">
        <f t="shared" si="219"/>
        <v>8.4453828722611544</v>
      </c>
      <c r="K208" s="488">
        <f t="shared" si="219"/>
        <v>5.0928511986747553</v>
      </c>
      <c r="L208" s="488">
        <f t="shared" si="219"/>
        <v>14.395015581564051</v>
      </c>
      <c r="M208" s="488">
        <f t="shared" si="219"/>
        <v>1.575912658227846</v>
      </c>
      <c r="N208" s="488">
        <f t="shared" si="219"/>
        <v>1.843050991722947</v>
      </c>
      <c r="O208" s="488">
        <f t="shared" si="219"/>
        <v>0.81794683544303681</v>
      </c>
      <c r="P208" s="488">
        <f t="shared" si="219"/>
        <v>27.02959704631872</v>
      </c>
      <c r="Q208" s="488">
        <f t="shared" si="219"/>
        <v>13.233168571597179</v>
      </c>
      <c r="R208" s="488">
        <f t="shared" si="219"/>
        <v>31.60341425148939</v>
      </c>
      <c r="S208" s="488">
        <f t="shared" si="219"/>
        <v>424.78488422795294</v>
      </c>
      <c r="T208" s="488">
        <f t="shared" si="219"/>
        <v>3.0556853003663784</v>
      </c>
      <c r="U208" s="488">
        <f t="shared" si="219"/>
        <v>8.6760273506403891</v>
      </c>
      <c r="V208" s="488">
        <f t="shared" si="219"/>
        <v>17.105902318469937</v>
      </c>
      <c r="W208" s="488">
        <f t="shared" si="219"/>
        <v>115.61972742350812</v>
      </c>
      <c r="X208" s="488">
        <f t="shared" si="218"/>
        <v>40.162170995702567</v>
      </c>
      <c r="Y208" s="488">
        <f t="shared" si="218"/>
        <v>6.7246860759493572</v>
      </c>
      <c r="Z208" s="488">
        <f t="shared" si="218"/>
        <v>17.931706329113897</v>
      </c>
      <c r="AA208" s="488">
        <f t="shared" si="218"/>
        <v>165.55508177089757</v>
      </c>
      <c r="AB208" s="488">
        <f t="shared" si="218"/>
        <v>95.597478478616353</v>
      </c>
      <c r="AC208" s="488">
        <f t="shared" si="218"/>
        <v>22.851805600547653</v>
      </c>
      <c r="AD208" s="488">
        <f t="shared" si="218"/>
        <v>100.58219915181438</v>
      </c>
      <c r="AE208" s="488">
        <f t="shared" si="218"/>
        <v>199.52882718775828</v>
      </c>
      <c r="AF208" s="488">
        <f t="shared" si="218"/>
        <v>2.9998754818987452</v>
      </c>
      <c r="AG208" s="488">
        <f t="shared" si="218"/>
        <v>7.7582806461678739</v>
      </c>
      <c r="AH208" s="488">
        <f t="shared" si="218"/>
        <v>18.669633885236969</v>
      </c>
      <c r="AI208" s="488">
        <f t="shared" si="218"/>
        <v>127.37317198093859</v>
      </c>
    </row>
    <row r="209" spans="2:35" x14ac:dyDescent="0.25">
      <c r="B209" s="46" t="s">
        <v>122</v>
      </c>
      <c r="C209" s="46" t="s">
        <v>468</v>
      </c>
      <c r="D209" s="46" t="s">
        <v>367</v>
      </c>
      <c r="E209" s="46" t="s">
        <v>110</v>
      </c>
      <c r="F209" s="46" t="s">
        <v>12</v>
      </c>
      <c r="G209" s="46" t="s">
        <v>405</v>
      </c>
      <c r="H209" s="488">
        <f t="shared" si="219"/>
        <v>1.9731580118539813</v>
      </c>
      <c r="I209" s="488">
        <f t="shared" si="219"/>
        <v>0.91488564196106137</v>
      </c>
      <c r="J209" s="488">
        <f t="shared" si="219"/>
        <v>2.610581045965477</v>
      </c>
      <c r="K209" s="488">
        <f t="shared" si="219"/>
        <v>4.695656051073966</v>
      </c>
      <c r="L209" s="488">
        <f t="shared" si="219"/>
        <v>9.623153455417395E-2</v>
      </c>
      <c r="M209" s="488">
        <f t="shared" si="219"/>
        <v>1.4879569620253144</v>
      </c>
      <c r="N209" s="488">
        <f t="shared" si="219"/>
        <v>0.41635499131851467</v>
      </c>
      <c r="O209" s="488">
        <f t="shared" si="219"/>
        <v>0.33546582278480963</v>
      </c>
      <c r="P209" s="488">
        <f t="shared" si="219"/>
        <v>8.8620650245985946E-3</v>
      </c>
      <c r="Q209" s="488">
        <f t="shared" si="219"/>
        <v>47.243976259992785</v>
      </c>
      <c r="R209" s="488">
        <f t="shared" si="219"/>
        <v>3.1633919477600867</v>
      </c>
      <c r="S209" s="488">
        <f t="shared" si="219"/>
        <v>626.12700199941992</v>
      </c>
      <c r="T209" s="488">
        <f t="shared" si="219"/>
        <v>0.14961924257914469</v>
      </c>
      <c r="U209" s="488">
        <f t="shared" si="219"/>
        <v>131.52328364189779</v>
      </c>
      <c r="V209" s="488">
        <f t="shared" si="219"/>
        <v>4.6263489612319599</v>
      </c>
      <c r="W209" s="488">
        <f t="shared" si="219"/>
        <v>250.07062067875916</v>
      </c>
      <c r="X209" s="488">
        <f t="shared" si="218"/>
        <v>595.01772782787907</v>
      </c>
      <c r="Y209" s="488">
        <f t="shared" si="218"/>
        <v>12.436688607594919</v>
      </c>
      <c r="Z209" s="488">
        <f t="shared" si="218"/>
        <v>1.5965316455696179</v>
      </c>
      <c r="AA209" s="488">
        <f t="shared" si="218"/>
        <v>251.690023689957</v>
      </c>
      <c r="AB209" s="488">
        <f t="shared" si="218"/>
        <v>5.2599776893595331</v>
      </c>
      <c r="AC209" s="488">
        <f t="shared" si="218"/>
        <v>14.282670910951964</v>
      </c>
      <c r="AD209" s="488">
        <f t="shared" si="218"/>
        <v>66.225773093710487</v>
      </c>
      <c r="AE209" s="488">
        <f t="shared" si="218"/>
        <v>0</v>
      </c>
      <c r="AF209" s="488">
        <f t="shared" si="218"/>
        <v>4.2638381244549262</v>
      </c>
      <c r="AG209" s="488">
        <f t="shared" si="218"/>
        <v>1.5677657098711186</v>
      </c>
      <c r="AH209" s="488">
        <f t="shared" si="218"/>
        <v>61.851439430017962</v>
      </c>
      <c r="AI209" s="488">
        <f t="shared" si="218"/>
        <v>297.63064612000716</v>
      </c>
    </row>
    <row r="210" spans="2:35" x14ac:dyDescent="0.25">
      <c r="B210" s="46" t="s">
        <v>122</v>
      </c>
      <c r="C210" s="46" t="s">
        <v>468</v>
      </c>
      <c r="D210" s="46" t="s">
        <v>21</v>
      </c>
      <c r="E210" s="46" t="s">
        <v>107</v>
      </c>
      <c r="F210" s="46" t="s">
        <v>12</v>
      </c>
      <c r="G210" s="46" t="s">
        <v>472</v>
      </c>
      <c r="H210" s="488">
        <f t="shared" si="219"/>
        <v>0</v>
      </c>
      <c r="I210" s="488">
        <f t="shared" si="219"/>
        <v>0</v>
      </c>
      <c r="J210" s="488">
        <f t="shared" si="219"/>
        <v>0</v>
      </c>
      <c r="K210" s="488">
        <f t="shared" si="219"/>
        <v>0</v>
      </c>
      <c r="L210" s="488">
        <f t="shared" si="219"/>
        <v>0.20784362049627259</v>
      </c>
      <c r="M210" s="488">
        <f t="shared" si="219"/>
        <v>0.26500000000000001</v>
      </c>
      <c r="N210" s="488">
        <f t="shared" si="219"/>
        <v>0</v>
      </c>
      <c r="O210" s="488">
        <f t="shared" si="219"/>
        <v>0</v>
      </c>
      <c r="P210" s="488">
        <f t="shared" si="219"/>
        <v>0</v>
      </c>
      <c r="Q210" s="488">
        <f t="shared" si="219"/>
        <v>0</v>
      </c>
      <c r="R210" s="488">
        <f t="shared" si="219"/>
        <v>0</v>
      </c>
      <c r="S210" s="488">
        <f t="shared" si="219"/>
        <v>0</v>
      </c>
      <c r="T210" s="488">
        <f t="shared" si="219"/>
        <v>0</v>
      </c>
      <c r="U210" s="488">
        <f t="shared" si="219"/>
        <v>0.43891198655353314</v>
      </c>
      <c r="V210" s="488">
        <f t="shared" si="219"/>
        <v>0.93331667037064758</v>
      </c>
      <c r="W210" s="488">
        <f t="shared" si="219"/>
        <v>4.1363076200410361E-2</v>
      </c>
      <c r="X210" s="488">
        <f t="shared" si="218"/>
        <v>1.0451078555206077</v>
      </c>
      <c r="Y210" s="488">
        <f t="shared" si="218"/>
        <v>0</v>
      </c>
      <c r="Z210" s="488">
        <f t="shared" si="218"/>
        <v>0</v>
      </c>
      <c r="AA210" s="488">
        <f t="shared" si="218"/>
        <v>2.390407678382378</v>
      </c>
      <c r="AB210" s="488">
        <f t="shared" si="218"/>
        <v>0</v>
      </c>
      <c r="AC210" s="488">
        <f t="shared" si="218"/>
        <v>53.747539798346537</v>
      </c>
      <c r="AD210" s="488">
        <f t="shared" si="218"/>
        <v>0</v>
      </c>
      <c r="AE210" s="488">
        <f t="shared" si="218"/>
        <v>0</v>
      </c>
      <c r="AF210" s="488">
        <f t="shared" si="218"/>
        <v>0</v>
      </c>
      <c r="AG210" s="488">
        <f t="shared" si="218"/>
        <v>0</v>
      </c>
      <c r="AH210" s="488">
        <f t="shared" si="218"/>
        <v>1.156834666824849</v>
      </c>
      <c r="AI210" s="488">
        <f>SUMIFS(AI$6:AI$17,$E$6:$E$17,$E210)*SUMIFS(AI$63:AI$194,$E$63:$E$194,$E210,$C$63:$C$194,$C210)/1000</f>
        <v>10.576227797850997</v>
      </c>
    </row>
    <row r="211" spans="2:35" x14ac:dyDescent="0.25">
      <c r="B211" s="46" t="s">
        <v>122</v>
      </c>
      <c r="C211" s="46" t="s">
        <v>468</v>
      </c>
      <c r="D211" s="46" t="s">
        <v>22</v>
      </c>
      <c r="E211" s="46" t="s">
        <v>111</v>
      </c>
      <c r="F211" s="46" t="s">
        <v>12</v>
      </c>
      <c r="G211" s="46" t="s">
        <v>405</v>
      </c>
      <c r="H211" s="488">
        <f t="shared" si="219"/>
        <v>0</v>
      </c>
      <c r="I211" s="488">
        <f t="shared" si="219"/>
        <v>2.4620000000000002</v>
      </c>
      <c r="J211" s="488">
        <f t="shared" si="219"/>
        <v>0</v>
      </c>
      <c r="K211" s="488">
        <f t="shared" si="219"/>
        <v>0</v>
      </c>
      <c r="L211" s="488">
        <f t="shared" si="219"/>
        <v>17.373928026772557</v>
      </c>
      <c r="M211" s="488">
        <f t="shared" si="219"/>
        <v>0.182</v>
      </c>
      <c r="N211" s="488">
        <f t="shared" si="219"/>
        <v>9.4138088703905484E-2</v>
      </c>
      <c r="O211" s="488">
        <f t="shared" si="219"/>
        <v>0</v>
      </c>
      <c r="P211" s="488">
        <f t="shared" si="219"/>
        <v>0</v>
      </c>
      <c r="Q211" s="488">
        <f t="shared" si="219"/>
        <v>0</v>
      </c>
      <c r="R211" s="488">
        <f t="shared" si="219"/>
        <v>0</v>
      </c>
      <c r="S211" s="488">
        <f t="shared" si="219"/>
        <v>0</v>
      </c>
      <c r="T211" s="488">
        <f t="shared" si="219"/>
        <v>0.33035466753714637</v>
      </c>
      <c r="U211" s="488">
        <f t="shared" si="219"/>
        <v>3.1608534452387511</v>
      </c>
      <c r="V211" s="488">
        <f t="shared" si="219"/>
        <v>5.531171259944724</v>
      </c>
      <c r="W211" s="488">
        <f t="shared" si="219"/>
        <v>39.050504212841965</v>
      </c>
      <c r="X211" s="488">
        <f t="shared" si="218"/>
        <v>37.090483412103531</v>
      </c>
      <c r="Y211" s="488">
        <f t="shared" si="218"/>
        <v>0</v>
      </c>
      <c r="Z211" s="488">
        <f t="shared" si="218"/>
        <v>0</v>
      </c>
      <c r="AA211" s="488">
        <f t="shared" si="218"/>
        <v>6.7536041825395925</v>
      </c>
      <c r="AB211" s="488">
        <f t="shared" si="218"/>
        <v>0.88615775029835298</v>
      </c>
      <c r="AC211" s="488">
        <f t="shared" si="218"/>
        <v>43.637286942238262</v>
      </c>
      <c r="AD211" s="488">
        <f t="shared" si="218"/>
        <v>0</v>
      </c>
      <c r="AE211" s="488">
        <f t="shared" si="218"/>
        <v>7.7204719231631307</v>
      </c>
      <c r="AF211" s="488">
        <f t="shared" si="218"/>
        <v>0</v>
      </c>
      <c r="AG211" s="488">
        <f t="shared" si="218"/>
        <v>0</v>
      </c>
      <c r="AH211" s="488">
        <f t="shared" si="218"/>
        <v>0.65177012602483242</v>
      </c>
      <c r="AI211" s="488">
        <f t="shared" si="218"/>
        <v>28.053714341774175</v>
      </c>
    </row>
    <row r="212" spans="2:35" x14ac:dyDescent="0.25">
      <c r="B212" s="62" t="s">
        <v>122</v>
      </c>
      <c r="C212" s="62" t="s">
        <v>468</v>
      </c>
      <c r="D212" s="62" t="s">
        <v>177</v>
      </c>
      <c r="E212" s="62"/>
      <c r="F212" s="62" t="s">
        <v>12</v>
      </c>
      <c r="G212" s="62"/>
      <c r="H212" s="489">
        <f>SUM(H200:H211)</f>
        <v>586.53649122642537</v>
      </c>
      <c r="I212" s="489">
        <f t="shared" ref="I212:AI212" si="220">SUM(I200:I211)</f>
        <v>513.94791114668669</v>
      </c>
      <c r="J212" s="489">
        <f t="shared" si="220"/>
        <v>420.55672756583124</v>
      </c>
      <c r="K212" s="489">
        <f t="shared" si="220"/>
        <v>388.4038736490669</v>
      </c>
      <c r="L212" s="489">
        <f t="shared" si="220"/>
        <v>273.64723424057797</v>
      </c>
      <c r="M212" s="489">
        <f t="shared" si="220"/>
        <v>844.16262478423198</v>
      </c>
      <c r="N212" s="489">
        <f t="shared" si="220"/>
        <v>940.36560222880757</v>
      </c>
      <c r="O212" s="489">
        <f t="shared" si="220"/>
        <v>1861.207133352166</v>
      </c>
      <c r="P212" s="489">
        <f t="shared" si="220"/>
        <v>106.68608127180516</v>
      </c>
      <c r="Q212" s="489">
        <f t="shared" si="220"/>
        <v>1029.0059934641813</v>
      </c>
      <c r="R212" s="489">
        <f t="shared" si="220"/>
        <v>126.02590404353441</v>
      </c>
      <c r="S212" s="489">
        <f t="shared" si="220"/>
        <v>5164.9992684123335</v>
      </c>
      <c r="T212" s="489">
        <f t="shared" si="220"/>
        <v>832.62688813206216</v>
      </c>
      <c r="U212" s="489">
        <f t="shared" si="220"/>
        <v>1221.6324871974205</v>
      </c>
      <c r="V212" s="489">
        <f t="shared" si="220"/>
        <v>1718.0134116591064</v>
      </c>
      <c r="W212" s="489">
        <f t="shared" si="220"/>
        <v>2406.4915825388066</v>
      </c>
      <c r="X212" s="489">
        <f t="shared" si="220"/>
        <v>3228.3927805276267</v>
      </c>
      <c r="Y212" s="489">
        <f t="shared" si="220"/>
        <v>1241.1800128957366</v>
      </c>
      <c r="Z212" s="489">
        <f t="shared" si="220"/>
        <v>4101.5778244554604</v>
      </c>
      <c r="AA212" s="489">
        <f t="shared" si="220"/>
        <v>934.31911966078599</v>
      </c>
      <c r="AB212" s="489">
        <f t="shared" si="220"/>
        <v>461.77766181904747</v>
      </c>
      <c r="AC212" s="489">
        <f t="shared" si="220"/>
        <v>739.81318210155212</v>
      </c>
      <c r="AD212" s="489">
        <f t="shared" si="220"/>
        <v>2040.3058237675941</v>
      </c>
      <c r="AE212" s="489">
        <f t="shared" si="220"/>
        <v>535.3301894461913</v>
      </c>
      <c r="AF212" s="489">
        <f t="shared" si="220"/>
        <v>832.95965633510002</v>
      </c>
      <c r="AG212" s="489">
        <f t="shared" si="220"/>
        <v>3887.1006347939201</v>
      </c>
      <c r="AH212" s="489">
        <f t="shared" si="220"/>
        <v>399.27477091415324</v>
      </c>
      <c r="AI212" s="489">
        <f t="shared" si="220"/>
        <v>5359.0326785756524</v>
      </c>
    </row>
    <row r="213" spans="2:35" x14ac:dyDescent="0.25">
      <c r="B213" s="46" t="s">
        <v>122</v>
      </c>
      <c r="C213" s="46" t="s">
        <v>469</v>
      </c>
      <c r="D213" s="46" t="s">
        <v>78</v>
      </c>
      <c r="E213" s="46" t="s">
        <v>103</v>
      </c>
      <c r="F213" s="46" t="s">
        <v>12</v>
      </c>
      <c r="G213" s="46" t="s">
        <v>405</v>
      </c>
      <c r="H213" s="488">
        <f>SUMIFS(H$6:H$17,$E$6:$E$17,$E213)*SUMIFS(H$63:H$194,$E$63:$E$194,$E213,$C$63:$C$194,$C213)/1000</f>
        <v>0</v>
      </c>
      <c r="I213" s="488">
        <f t="shared" si="218"/>
        <v>0</v>
      </c>
      <c r="J213" s="488">
        <f t="shared" si="218"/>
        <v>0</v>
      </c>
      <c r="K213" s="488">
        <f t="shared" si="218"/>
        <v>0</v>
      </c>
      <c r="L213" s="488">
        <f t="shared" si="218"/>
        <v>0</v>
      </c>
      <c r="M213" s="488">
        <f t="shared" si="218"/>
        <v>0</v>
      </c>
      <c r="N213" s="488">
        <f t="shared" si="218"/>
        <v>1.8093424908357636E-5</v>
      </c>
      <c r="O213" s="488">
        <f t="shared" si="218"/>
        <v>0</v>
      </c>
      <c r="P213" s="488">
        <f t="shared" si="218"/>
        <v>0</v>
      </c>
      <c r="Q213" s="488">
        <f t="shared" si="218"/>
        <v>0</v>
      </c>
      <c r="R213" s="488">
        <f t="shared" si="218"/>
        <v>0</v>
      </c>
      <c r="S213" s="488">
        <f t="shared" si="218"/>
        <v>0</v>
      </c>
      <c r="T213" s="488">
        <f t="shared" si="218"/>
        <v>0</v>
      </c>
      <c r="U213" s="488">
        <f t="shared" si="218"/>
        <v>0</v>
      </c>
      <c r="V213" s="488">
        <f t="shared" si="218"/>
        <v>0</v>
      </c>
      <c r="W213" s="488">
        <f t="shared" si="218"/>
        <v>0</v>
      </c>
      <c r="X213" s="488">
        <f>SUMIFS(X$6:X$17,$E$6:$E$17,$E213)*SUMIFS(X$63:X$194,$E$63:$E$194,$E213,$C$63:$C$194,$C213)/1000</f>
        <v>0.10844292089438191</v>
      </c>
      <c r="Y213" s="488">
        <f t="shared" si="218"/>
        <v>0</v>
      </c>
      <c r="Z213" s="488">
        <f t="shared" si="218"/>
        <v>0</v>
      </c>
      <c r="AA213" s="488">
        <f t="shared" si="218"/>
        <v>0</v>
      </c>
      <c r="AB213" s="488">
        <f t="shared" si="218"/>
        <v>0</v>
      </c>
      <c r="AC213" s="488">
        <f t="shared" si="218"/>
        <v>0</v>
      </c>
      <c r="AD213" s="488">
        <f t="shared" si="218"/>
        <v>0</v>
      </c>
      <c r="AE213" s="488">
        <f t="shared" si="218"/>
        <v>0</v>
      </c>
      <c r="AF213" s="488">
        <f t="shared" si="218"/>
        <v>0</v>
      </c>
      <c r="AG213" s="488">
        <f t="shared" si="218"/>
        <v>0</v>
      </c>
      <c r="AH213" s="488">
        <f t="shared" si="218"/>
        <v>0</v>
      </c>
      <c r="AI213" s="488">
        <f t="shared" si="218"/>
        <v>0</v>
      </c>
    </row>
    <row r="214" spans="2:35" x14ac:dyDescent="0.25">
      <c r="B214" s="46" t="s">
        <v>122</v>
      </c>
      <c r="C214" s="46" t="s">
        <v>469</v>
      </c>
      <c r="D214" s="46" t="s">
        <v>115</v>
      </c>
      <c r="E214" s="46" t="s">
        <v>368</v>
      </c>
      <c r="F214" s="46" t="s">
        <v>12</v>
      </c>
      <c r="G214" s="46" t="s">
        <v>405</v>
      </c>
      <c r="H214" s="488">
        <f t="shared" ref="H214:X224" si="221">SUMIFS(H$6:H$17,$E$6:$E$17,$E214)*SUMIFS(H$63:H$194,$E$63:$E$194,$E214,$C$63:$C$194,$C214)/1000</f>
        <v>4.2298463987446873</v>
      </c>
      <c r="I214" s="488">
        <f t="shared" si="221"/>
        <v>0</v>
      </c>
      <c r="J214" s="488">
        <f t="shared" si="221"/>
        <v>13.895108806980758</v>
      </c>
      <c r="K214" s="488">
        <f t="shared" si="221"/>
        <v>0</v>
      </c>
      <c r="L214" s="488">
        <f t="shared" si="221"/>
        <v>1.0603954664011078E-2</v>
      </c>
      <c r="M214" s="488">
        <f t="shared" si="221"/>
        <v>0</v>
      </c>
      <c r="N214" s="488">
        <f t="shared" si="221"/>
        <v>16.746441797630045</v>
      </c>
      <c r="O214" s="488">
        <f t="shared" si="221"/>
        <v>0</v>
      </c>
      <c r="P214" s="488">
        <f t="shared" si="221"/>
        <v>0</v>
      </c>
      <c r="Q214" s="488">
        <f t="shared" si="221"/>
        <v>11.433645894494957</v>
      </c>
      <c r="R214" s="488">
        <f t="shared" si="221"/>
        <v>0</v>
      </c>
      <c r="S214" s="488">
        <f t="shared" si="221"/>
        <v>57.40029458963123</v>
      </c>
      <c r="T214" s="488">
        <f t="shared" si="221"/>
        <v>0.49233369570728835</v>
      </c>
      <c r="U214" s="488">
        <f t="shared" si="221"/>
        <v>9.3715491369281363</v>
      </c>
      <c r="V214" s="488">
        <f t="shared" si="221"/>
        <v>2.526180539993415</v>
      </c>
      <c r="W214" s="488">
        <f t="shared" si="221"/>
        <v>38.863322965791482</v>
      </c>
      <c r="X214" s="488">
        <f t="shared" si="221"/>
        <v>6.5861614879358514</v>
      </c>
      <c r="Y214" s="488">
        <f t="shared" si="218"/>
        <v>0</v>
      </c>
      <c r="Z214" s="488">
        <f t="shared" si="218"/>
        <v>0</v>
      </c>
      <c r="AA214" s="488">
        <f t="shared" si="218"/>
        <v>8.6110057621802735E-3</v>
      </c>
      <c r="AB214" s="488">
        <f t="shared" si="218"/>
        <v>0</v>
      </c>
      <c r="AC214" s="488">
        <f t="shared" si="218"/>
        <v>2.326509731081992</v>
      </c>
      <c r="AD214" s="488">
        <f t="shared" si="218"/>
        <v>4.0020506224277684E-2</v>
      </c>
      <c r="AE214" s="488">
        <f t="shared" si="218"/>
        <v>5.1697079595369706</v>
      </c>
      <c r="AF214" s="488">
        <f t="shared" si="218"/>
        <v>28.412564273397074</v>
      </c>
      <c r="AG214" s="488">
        <f t="shared" si="218"/>
        <v>3.6913629562242329</v>
      </c>
      <c r="AH214" s="488">
        <f t="shared" si="218"/>
        <v>1.042502885800801</v>
      </c>
      <c r="AI214" s="488">
        <f t="shared" si="218"/>
        <v>128.78455956752009</v>
      </c>
    </row>
    <row r="215" spans="2:35" x14ac:dyDescent="0.25">
      <c r="B215" s="46" t="s">
        <v>122</v>
      </c>
      <c r="C215" s="46" t="s">
        <v>469</v>
      </c>
      <c r="D215" s="46" t="s">
        <v>326</v>
      </c>
      <c r="E215" s="46" t="s">
        <v>170</v>
      </c>
      <c r="F215" s="46" t="s">
        <v>12</v>
      </c>
      <c r="G215" s="46" t="s">
        <v>405</v>
      </c>
      <c r="H215" s="488">
        <f t="shared" si="221"/>
        <v>0</v>
      </c>
      <c r="I215" s="488">
        <f t="shared" si="221"/>
        <v>0</v>
      </c>
      <c r="J215" s="488">
        <f t="shared" si="221"/>
        <v>0</v>
      </c>
      <c r="K215" s="488">
        <f t="shared" si="221"/>
        <v>0</v>
      </c>
      <c r="L215" s="488">
        <f t="shared" si="221"/>
        <v>0</v>
      </c>
      <c r="M215" s="488">
        <f t="shared" si="221"/>
        <v>0</v>
      </c>
      <c r="N215" s="488">
        <f t="shared" si="221"/>
        <v>0</v>
      </c>
      <c r="O215" s="488">
        <f t="shared" si="221"/>
        <v>0</v>
      </c>
      <c r="P215" s="488">
        <f t="shared" si="221"/>
        <v>0</v>
      </c>
      <c r="Q215" s="488">
        <f t="shared" si="221"/>
        <v>0</v>
      </c>
      <c r="R215" s="488">
        <f t="shared" si="221"/>
        <v>0</v>
      </c>
      <c r="S215" s="488">
        <f t="shared" si="221"/>
        <v>3.6595973678214033</v>
      </c>
      <c r="T215" s="488">
        <f t="shared" si="221"/>
        <v>0</v>
      </c>
      <c r="U215" s="488">
        <f t="shared" si="221"/>
        <v>0</v>
      </c>
      <c r="V215" s="488">
        <f t="shared" si="221"/>
        <v>0</v>
      </c>
      <c r="W215" s="488">
        <f t="shared" si="221"/>
        <v>0</v>
      </c>
      <c r="X215" s="488">
        <f t="shared" si="218"/>
        <v>9.1737823734072618E-3</v>
      </c>
      <c r="Y215" s="488">
        <f t="shared" si="218"/>
        <v>0</v>
      </c>
      <c r="Z215" s="488">
        <f t="shared" si="218"/>
        <v>0</v>
      </c>
      <c r="AA215" s="488">
        <f t="shared" si="218"/>
        <v>0</v>
      </c>
      <c r="AB215" s="488">
        <f t="shared" si="218"/>
        <v>0</v>
      </c>
      <c r="AC215" s="488">
        <f t="shared" si="218"/>
        <v>0</v>
      </c>
      <c r="AD215" s="488">
        <f t="shared" si="218"/>
        <v>0</v>
      </c>
      <c r="AE215" s="488">
        <f t="shared" si="218"/>
        <v>0</v>
      </c>
      <c r="AF215" s="488">
        <f t="shared" si="218"/>
        <v>0</v>
      </c>
      <c r="AG215" s="488">
        <f t="shared" si="218"/>
        <v>0</v>
      </c>
      <c r="AH215" s="488">
        <f t="shared" si="218"/>
        <v>0</v>
      </c>
      <c r="AI215" s="488">
        <f t="shared" si="218"/>
        <v>2.1394302091382418</v>
      </c>
    </row>
    <row r="216" spans="2:35" x14ac:dyDescent="0.25">
      <c r="B216" s="46" t="s">
        <v>122</v>
      </c>
      <c r="C216" s="46" t="s">
        <v>469</v>
      </c>
      <c r="D216" s="46" t="s">
        <v>18</v>
      </c>
      <c r="E216" s="46" t="s">
        <v>104</v>
      </c>
      <c r="F216" s="46" t="s">
        <v>12</v>
      </c>
      <c r="G216" s="46" t="s">
        <v>405</v>
      </c>
      <c r="H216" s="488">
        <f t="shared" si="221"/>
        <v>1.3186274388110189E-3</v>
      </c>
      <c r="I216" s="488">
        <f t="shared" si="221"/>
        <v>0</v>
      </c>
      <c r="J216" s="488">
        <f t="shared" si="221"/>
        <v>0</v>
      </c>
      <c r="K216" s="488">
        <f t="shared" si="221"/>
        <v>0</v>
      </c>
      <c r="L216" s="488">
        <f t="shared" si="221"/>
        <v>1.7042312428129303E-4</v>
      </c>
      <c r="M216" s="488">
        <f t="shared" si="221"/>
        <v>0</v>
      </c>
      <c r="N216" s="488">
        <f t="shared" si="221"/>
        <v>0.76670847299892264</v>
      </c>
      <c r="O216" s="488">
        <f t="shared" si="221"/>
        <v>0</v>
      </c>
      <c r="P216" s="488">
        <f t="shared" si="221"/>
        <v>0</v>
      </c>
      <c r="Q216" s="488">
        <f t="shared" si="221"/>
        <v>0</v>
      </c>
      <c r="R216" s="488">
        <f t="shared" si="221"/>
        <v>0</v>
      </c>
      <c r="S216" s="488">
        <f t="shared" si="221"/>
        <v>89.583289837836872</v>
      </c>
      <c r="T216" s="488">
        <f t="shared" si="221"/>
        <v>4.3046009312092529E-2</v>
      </c>
      <c r="U216" s="488">
        <f t="shared" si="221"/>
        <v>2.1748623045772466</v>
      </c>
      <c r="V216" s="488">
        <f t="shared" si="221"/>
        <v>0.77394593823875524</v>
      </c>
      <c r="W216" s="488">
        <f t="shared" si="221"/>
        <v>0.18239817993566593</v>
      </c>
      <c r="X216" s="488">
        <f t="shared" si="221"/>
        <v>0.34366959170599348</v>
      </c>
      <c r="Y216" s="488">
        <f t="shared" ref="X216:AI224" si="222">SUMIFS(Y$6:Y$17,$E$6:$E$17,$E216)*SUMIFS(Y$63:Y$194,$E$63:$E$194,$E216,$C$63:$C$194,$C216)/1000</f>
        <v>0</v>
      </c>
      <c r="Z216" s="488">
        <f t="shared" si="222"/>
        <v>0</v>
      </c>
      <c r="AA216" s="488">
        <f t="shared" si="222"/>
        <v>0</v>
      </c>
      <c r="AB216" s="488">
        <f t="shared" si="222"/>
        <v>5.0411001927426181E-2</v>
      </c>
      <c r="AC216" s="488">
        <f t="shared" si="222"/>
        <v>1.1920770332953052</v>
      </c>
      <c r="AD216" s="488">
        <f t="shared" si="222"/>
        <v>1.8333816474602559E-4</v>
      </c>
      <c r="AE216" s="488">
        <f t="shared" si="222"/>
        <v>0</v>
      </c>
      <c r="AF216" s="488">
        <f t="shared" si="222"/>
        <v>0</v>
      </c>
      <c r="AG216" s="488">
        <f t="shared" si="222"/>
        <v>4.9312711568004239</v>
      </c>
      <c r="AH216" s="488">
        <f t="shared" si="222"/>
        <v>2.1284732579956267</v>
      </c>
      <c r="AI216" s="488">
        <f t="shared" si="222"/>
        <v>0</v>
      </c>
    </row>
    <row r="217" spans="2:35" x14ac:dyDescent="0.25">
      <c r="B217" s="46" t="s">
        <v>122</v>
      </c>
      <c r="C217" s="46" t="s">
        <v>469</v>
      </c>
      <c r="D217" s="46" t="s">
        <v>19</v>
      </c>
      <c r="E217" s="46" t="s">
        <v>105</v>
      </c>
      <c r="F217" s="46" t="s">
        <v>12</v>
      </c>
      <c r="G217" s="46" t="s">
        <v>405</v>
      </c>
      <c r="H217" s="488">
        <f t="shared" si="221"/>
        <v>9.2695926684697189E-3</v>
      </c>
      <c r="I217" s="488">
        <f t="shared" si="221"/>
        <v>0</v>
      </c>
      <c r="J217" s="488">
        <f t="shared" si="221"/>
        <v>4.1185858224321678E-2</v>
      </c>
      <c r="K217" s="488">
        <f t="shared" si="221"/>
        <v>0</v>
      </c>
      <c r="L217" s="488">
        <f t="shared" si="221"/>
        <v>5.91863737549196E-2</v>
      </c>
      <c r="M217" s="488">
        <f t="shared" si="221"/>
        <v>0</v>
      </c>
      <c r="N217" s="488">
        <f t="shared" si="221"/>
        <v>0.99148072692141898</v>
      </c>
      <c r="O217" s="488">
        <f t="shared" si="221"/>
        <v>0</v>
      </c>
      <c r="P217" s="488">
        <f t="shared" si="221"/>
        <v>0.31392593592922702</v>
      </c>
      <c r="Q217" s="488">
        <f t="shared" si="221"/>
        <v>35.257400053179033</v>
      </c>
      <c r="R217" s="488">
        <f t="shared" si="221"/>
        <v>0</v>
      </c>
      <c r="S217" s="488">
        <f t="shared" si="221"/>
        <v>58.803501225869375</v>
      </c>
      <c r="T217" s="488">
        <f t="shared" si="221"/>
        <v>9.9908642294743791E-2</v>
      </c>
      <c r="U217" s="488">
        <f t="shared" si="221"/>
        <v>20.988235536497477</v>
      </c>
      <c r="V217" s="488">
        <f t="shared" si="221"/>
        <v>0.28697953639929408</v>
      </c>
      <c r="W217" s="488">
        <f t="shared" si="221"/>
        <v>17.784977485663504</v>
      </c>
      <c r="X217" s="488">
        <f t="shared" si="222"/>
        <v>2.8467769851122293</v>
      </c>
      <c r="Y217" s="488">
        <f t="shared" si="222"/>
        <v>0</v>
      </c>
      <c r="Z217" s="488">
        <f t="shared" si="222"/>
        <v>0</v>
      </c>
      <c r="AA217" s="488">
        <f t="shared" si="222"/>
        <v>6.7132433467526287</v>
      </c>
      <c r="AB217" s="488">
        <f t="shared" si="222"/>
        <v>0.23316775684466462</v>
      </c>
      <c r="AC217" s="488">
        <f t="shared" si="222"/>
        <v>2.2125745677653246</v>
      </c>
      <c r="AD217" s="488">
        <f t="shared" si="222"/>
        <v>0.11086950419209074</v>
      </c>
      <c r="AE217" s="488">
        <f t="shared" si="222"/>
        <v>1.2969675336623825</v>
      </c>
      <c r="AF217" s="488">
        <f t="shared" si="222"/>
        <v>3.0402822244071682E-2</v>
      </c>
      <c r="AG217" s="488">
        <f t="shared" si="222"/>
        <v>6.9648779060859827</v>
      </c>
      <c r="AH217" s="488">
        <f t="shared" si="222"/>
        <v>8.0136362990492014</v>
      </c>
      <c r="AI217" s="488">
        <f t="shared" si="222"/>
        <v>345.75117959657121</v>
      </c>
    </row>
    <row r="218" spans="2:35" x14ac:dyDescent="0.25">
      <c r="B218" s="46" t="s">
        <v>122</v>
      </c>
      <c r="C218" s="46" t="s">
        <v>469</v>
      </c>
      <c r="D218" s="46" t="s">
        <v>458</v>
      </c>
      <c r="E218" s="46" t="s">
        <v>457</v>
      </c>
      <c r="F218" s="46" t="s">
        <v>12</v>
      </c>
      <c r="G218" s="46" t="s">
        <v>405</v>
      </c>
      <c r="H218" s="488">
        <f t="shared" si="221"/>
        <v>0</v>
      </c>
      <c r="I218" s="488">
        <f t="shared" si="221"/>
        <v>0</v>
      </c>
      <c r="J218" s="488">
        <f t="shared" si="221"/>
        <v>0</v>
      </c>
      <c r="K218" s="488">
        <f t="shared" si="221"/>
        <v>0</v>
      </c>
      <c r="L218" s="488">
        <f t="shared" si="221"/>
        <v>0</v>
      </c>
      <c r="M218" s="488">
        <f t="shared" si="221"/>
        <v>0</v>
      </c>
      <c r="N218" s="488">
        <f t="shared" si="221"/>
        <v>0</v>
      </c>
      <c r="O218" s="488">
        <f t="shared" si="221"/>
        <v>0</v>
      </c>
      <c r="P218" s="488">
        <f t="shared" si="221"/>
        <v>0</v>
      </c>
      <c r="Q218" s="488">
        <f t="shared" si="221"/>
        <v>0</v>
      </c>
      <c r="R218" s="488">
        <f t="shared" si="221"/>
        <v>0</v>
      </c>
      <c r="S218" s="488">
        <f t="shared" si="221"/>
        <v>0.52849630597163566</v>
      </c>
      <c r="T218" s="488">
        <f t="shared" si="221"/>
        <v>0</v>
      </c>
      <c r="U218" s="488">
        <f t="shared" si="221"/>
        <v>0</v>
      </c>
      <c r="V218" s="488">
        <f t="shared" si="221"/>
        <v>0</v>
      </c>
      <c r="W218" s="488">
        <f t="shared" si="221"/>
        <v>0</v>
      </c>
      <c r="X218" s="488">
        <f t="shared" si="222"/>
        <v>0</v>
      </c>
      <c r="Y218" s="488">
        <f t="shared" si="222"/>
        <v>0</v>
      </c>
      <c r="Z218" s="488">
        <f t="shared" si="222"/>
        <v>0</v>
      </c>
      <c r="AA218" s="488">
        <f t="shared" si="222"/>
        <v>0</v>
      </c>
      <c r="AB218" s="488">
        <f t="shared" si="222"/>
        <v>0</v>
      </c>
      <c r="AC218" s="488">
        <f t="shared" si="222"/>
        <v>0</v>
      </c>
      <c r="AD218" s="488">
        <f t="shared" si="222"/>
        <v>0</v>
      </c>
      <c r="AE218" s="488">
        <f t="shared" si="222"/>
        <v>0</v>
      </c>
      <c r="AF218" s="488">
        <f t="shared" si="222"/>
        <v>0</v>
      </c>
      <c r="AG218" s="488">
        <f t="shared" si="222"/>
        <v>0</v>
      </c>
      <c r="AH218" s="488">
        <f t="shared" si="222"/>
        <v>0</v>
      </c>
      <c r="AI218" s="488">
        <f t="shared" si="222"/>
        <v>0</v>
      </c>
    </row>
    <row r="219" spans="2:35" x14ac:dyDescent="0.25">
      <c r="B219" s="46" t="s">
        <v>122</v>
      </c>
      <c r="C219" s="46" t="s">
        <v>469</v>
      </c>
      <c r="D219" s="46" t="s">
        <v>93</v>
      </c>
      <c r="E219" s="46" t="s">
        <v>106</v>
      </c>
      <c r="F219" s="46" t="s">
        <v>12</v>
      </c>
      <c r="G219" s="46" t="s">
        <v>405</v>
      </c>
      <c r="H219" s="488">
        <f t="shared" si="221"/>
        <v>0</v>
      </c>
      <c r="I219" s="488">
        <f t="shared" si="221"/>
        <v>0</v>
      </c>
      <c r="J219" s="488">
        <f t="shared" si="221"/>
        <v>0</v>
      </c>
      <c r="K219" s="488">
        <f t="shared" si="221"/>
        <v>0</v>
      </c>
      <c r="L219" s="488">
        <f t="shared" si="221"/>
        <v>0.11179732137457699</v>
      </c>
      <c r="M219" s="488">
        <f t="shared" si="221"/>
        <v>0</v>
      </c>
      <c r="N219" s="488">
        <f t="shared" si="221"/>
        <v>4.7833448252783295E-2</v>
      </c>
      <c r="O219" s="488">
        <f t="shared" si="221"/>
        <v>0</v>
      </c>
      <c r="P219" s="488">
        <f t="shared" si="221"/>
        <v>2.7598869292720901E-2</v>
      </c>
      <c r="Q219" s="488">
        <f t="shared" si="221"/>
        <v>61.983007887861554</v>
      </c>
      <c r="R219" s="488">
        <f t="shared" si="221"/>
        <v>0</v>
      </c>
      <c r="S219" s="488">
        <f t="shared" si="221"/>
        <v>72.029599834095393</v>
      </c>
      <c r="T219" s="488">
        <f t="shared" si="221"/>
        <v>0.59164233565516533</v>
      </c>
      <c r="U219" s="488">
        <f t="shared" si="221"/>
        <v>138.6798152543098</v>
      </c>
      <c r="V219" s="488">
        <f t="shared" si="221"/>
        <v>1.7987140968785442</v>
      </c>
      <c r="W219" s="488">
        <f t="shared" si="221"/>
        <v>65.185559581041815</v>
      </c>
      <c r="X219" s="488">
        <f t="shared" si="222"/>
        <v>20.135357073693203</v>
      </c>
      <c r="Y219" s="488">
        <f t="shared" si="222"/>
        <v>0</v>
      </c>
      <c r="Z219" s="488">
        <f t="shared" si="222"/>
        <v>0</v>
      </c>
      <c r="AA219" s="488">
        <f t="shared" si="222"/>
        <v>9.5195631943740331</v>
      </c>
      <c r="AB219" s="488">
        <f t="shared" si="222"/>
        <v>4.5277689893012241</v>
      </c>
      <c r="AC219" s="488">
        <f t="shared" si="222"/>
        <v>14.572529182029031</v>
      </c>
      <c r="AD219" s="488">
        <f t="shared" si="222"/>
        <v>0.73233441520243681</v>
      </c>
      <c r="AE219" s="488">
        <f t="shared" si="222"/>
        <v>0.52493311194849579</v>
      </c>
      <c r="AF219" s="488">
        <f t="shared" si="222"/>
        <v>0</v>
      </c>
      <c r="AG219" s="488">
        <f t="shared" si="222"/>
        <v>189.66610678027084</v>
      </c>
      <c r="AH219" s="488">
        <f t="shared" si="222"/>
        <v>66.975587975740766</v>
      </c>
      <c r="AI219" s="488">
        <f t="shared" si="222"/>
        <v>1152.5152528193832</v>
      </c>
    </row>
    <row r="220" spans="2:35" x14ac:dyDescent="0.25">
      <c r="B220" s="46" t="s">
        <v>122</v>
      </c>
      <c r="C220" s="46" t="s">
        <v>469</v>
      </c>
      <c r="D220" s="46" t="s">
        <v>20</v>
      </c>
      <c r="E220" s="46" t="s">
        <v>108</v>
      </c>
      <c r="F220" s="46" t="s">
        <v>12</v>
      </c>
      <c r="G220" s="46" t="s">
        <v>405</v>
      </c>
      <c r="H220" s="488">
        <f t="shared" si="221"/>
        <v>0</v>
      </c>
      <c r="I220" s="488">
        <f t="shared" si="221"/>
        <v>0</v>
      </c>
      <c r="J220" s="488">
        <f t="shared" si="221"/>
        <v>0</v>
      </c>
      <c r="K220" s="488">
        <f t="shared" si="221"/>
        <v>0</v>
      </c>
      <c r="L220" s="488">
        <f t="shared" si="221"/>
        <v>0</v>
      </c>
      <c r="M220" s="488">
        <f t="shared" si="221"/>
        <v>0</v>
      </c>
      <c r="N220" s="488">
        <f t="shared" si="221"/>
        <v>0</v>
      </c>
      <c r="O220" s="488">
        <f t="shared" si="221"/>
        <v>0</v>
      </c>
      <c r="P220" s="488">
        <f t="shared" si="221"/>
        <v>0</v>
      </c>
      <c r="Q220" s="488">
        <f t="shared" si="221"/>
        <v>0</v>
      </c>
      <c r="R220" s="488">
        <f t="shared" si="221"/>
        <v>0</v>
      </c>
      <c r="S220" s="488">
        <f t="shared" si="221"/>
        <v>112.80967549029003</v>
      </c>
      <c r="T220" s="488">
        <f t="shared" si="221"/>
        <v>0.39266043308512916</v>
      </c>
      <c r="U220" s="488">
        <f t="shared" si="221"/>
        <v>5.8116199646588047</v>
      </c>
      <c r="V220" s="488">
        <f t="shared" si="221"/>
        <v>1.2830330391935303</v>
      </c>
      <c r="W220" s="488">
        <f t="shared" si="221"/>
        <v>5.5940540505703549</v>
      </c>
      <c r="X220" s="488">
        <f t="shared" si="222"/>
        <v>6.378698857925027</v>
      </c>
      <c r="Y220" s="488">
        <f t="shared" si="222"/>
        <v>0</v>
      </c>
      <c r="Z220" s="488">
        <f t="shared" si="222"/>
        <v>0</v>
      </c>
      <c r="AA220" s="488">
        <f t="shared" si="222"/>
        <v>3.3437345108301215E-2</v>
      </c>
      <c r="AB220" s="488">
        <f t="shared" si="222"/>
        <v>0</v>
      </c>
      <c r="AC220" s="488">
        <f t="shared" si="222"/>
        <v>9.6606428796400343E-2</v>
      </c>
      <c r="AD220" s="488">
        <f t="shared" si="222"/>
        <v>0</v>
      </c>
      <c r="AE220" s="488">
        <f t="shared" si="222"/>
        <v>0</v>
      </c>
      <c r="AF220" s="488">
        <f t="shared" si="222"/>
        <v>0</v>
      </c>
      <c r="AG220" s="488">
        <f t="shared" si="222"/>
        <v>180.68785279744949</v>
      </c>
      <c r="AH220" s="488">
        <f t="shared" si="222"/>
        <v>19.694577724434808</v>
      </c>
      <c r="AI220" s="488">
        <f t="shared" si="222"/>
        <v>0</v>
      </c>
    </row>
    <row r="221" spans="2:35" x14ac:dyDescent="0.25">
      <c r="B221" s="46" t="s">
        <v>122</v>
      </c>
      <c r="C221" s="46" t="s">
        <v>469</v>
      </c>
      <c r="D221" s="46" t="s">
        <v>0</v>
      </c>
      <c r="E221" s="46" t="s">
        <v>109</v>
      </c>
      <c r="F221" s="46" t="s">
        <v>12</v>
      </c>
      <c r="G221" s="46" t="s">
        <v>405</v>
      </c>
      <c r="H221" s="488">
        <f t="shared" si="221"/>
        <v>4.5182089645291003E-2</v>
      </c>
      <c r="I221" s="488">
        <f t="shared" si="221"/>
        <v>0</v>
      </c>
      <c r="J221" s="488">
        <f t="shared" si="221"/>
        <v>0.28741666613738409</v>
      </c>
      <c r="K221" s="488">
        <f t="shared" si="221"/>
        <v>0</v>
      </c>
      <c r="L221" s="488">
        <f t="shared" si="221"/>
        <v>1.0830668689365204E-2</v>
      </c>
      <c r="M221" s="488">
        <f t="shared" si="221"/>
        <v>0</v>
      </c>
      <c r="N221" s="488">
        <f t="shared" si="221"/>
        <v>3.6452805745404847E-2</v>
      </c>
      <c r="O221" s="488">
        <f t="shared" si="221"/>
        <v>0</v>
      </c>
      <c r="P221" s="488">
        <f t="shared" si="221"/>
        <v>0.11590148727697218</v>
      </c>
      <c r="Q221" s="488">
        <f t="shared" si="221"/>
        <v>1.4848314284028199</v>
      </c>
      <c r="R221" s="488">
        <f t="shared" si="221"/>
        <v>0</v>
      </c>
      <c r="S221" s="488">
        <f t="shared" si="221"/>
        <v>40.765107016661474</v>
      </c>
      <c r="T221" s="488">
        <f t="shared" si="221"/>
        <v>5.9691389720389811E-3</v>
      </c>
      <c r="U221" s="488">
        <f t="shared" si="221"/>
        <v>1.4249726493596122</v>
      </c>
      <c r="V221" s="488">
        <f t="shared" si="221"/>
        <v>6.7508359002529925E-2</v>
      </c>
      <c r="W221" s="488">
        <f t="shared" si="221"/>
        <v>7.3708350285148914</v>
      </c>
      <c r="X221" s="488">
        <f t="shared" si="222"/>
        <v>0.57228624769653436</v>
      </c>
      <c r="Y221" s="488">
        <f t="shared" si="222"/>
        <v>0</v>
      </c>
      <c r="Z221" s="488">
        <f t="shared" si="222"/>
        <v>0</v>
      </c>
      <c r="AA221" s="488">
        <f t="shared" si="222"/>
        <v>5.3046382770194365</v>
      </c>
      <c r="AB221" s="488">
        <f t="shared" si="222"/>
        <v>1.2775255992631629</v>
      </c>
      <c r="AC221" s="488">
        <f t="shared" si="222"/>
        <v>0.77017732414585993</v>
      </c>
      <c r="AD221" s="488">
        <f t="shared" si="222"/>
        <v>4.7427380584898884E-2</v>
      </c>
      <c r="AE221" s="488">
        <f t="shared" si="222"/>
        <v>4.2520838800315106</v>
      </c>
      <c r="AF221" s="488">
        <f t="shared" si="222"/>
        <v>0.10333750622618398</v>
      </c>
      <c r="AG221" s="488">
        <f t="shared" si="222"/>
        <v>0.77215479687008859</v>
      </c>
      <c r="AH221" s="488">
        <f t="shared" si="222"/>
        <v>5.764130517613836</v>
      </c>
      <c r="AI221" s="488">
        <f t="shared" si="222"/>
        <v>42.389834883203619</v>
      </c>
    </row>
    <row r="222" spans="2:35" x14ac:dyDescent="0.25">
      <c r="B222" s="46" t="s">
        <v>122</v>
      </c>
      <c r="C222" s="46" t="s">
        <v>469</v>
      </c>
      <c r="D222" s="46" t="s">
        <v>367</v>
      </c>
      <c r="E222" s="46" t="s">
        <v>110</v>
      </c>
      <c r="F222" s="46" t="s">
        <v>12</v>
      </c>
      <c r="G222" s="46" t="s">
        <v>405</v>
      </c>
      <c r="H222" s="488">
        <f t="shared" si="221"/>
        <v>1.4465838795610411E-2</v>
      </c>
      <c r="I222" s="488">
        <f t="shared" si="221"/>
        <v>0</v>
      </c>
      <c r="J222" s="488">
        <f t="shared" si="221"/>
        <v>8.8844343976077378E-2</v>
      </c>
      <c r="K222" s="488">
        <f t="shared" si="221"/>
        <v>0</v>
      </c>
      <c r="L222" s="488">
        <f t="shared" si="221"/>
        <v>7.240366377652885E-5</v>
      </c>
      <c r="M222" s="488">
        <f t="shared" si="221"/>
        <v>0</v>
      </c>
      <c r="N222" s="488">
        <f t="shared" si="221"/>
        <v>8.2348820992062029E-3</v>
      </c>
      <c r="O222" s="488">
        <f t="shared" si="221"/>
        <v>0</v>
      </c>
      <c r="P222" s="488">
        <f t="shared" si="221"/>
        <v>3.8000067664201623E-5</v>
      </c>
      <c r="Q222" s="488">
        <f t="shared" si="221"/>
        <v>5.3010237400072135</v>
      </c>
      <c r="R222" s="488">
        <f t="shared" si="221"/>
        <v>0</v>
      </c>
      <c r="S222" s="488">
        <f t="shared" si="221"/>
        <v>60.087199875103643</v>
      </c>
      <c r="T222" s="488">
        <f t="shared" si="221"/>
        <v>2.9227422461961113E-4</v>
      </c>
      <c r="U222" s="488">
        <f t="shared" si="221"/>
        <v>21.60171635810223</v>
      </c>
      <c r="V222" s="488">
        <f t="shared" si="221"/>
        <v>1.8257863322919073E-2</v>
      </c>
      <c r="W222" s="488">
        <f t="shared" si="221"/>
        <v>15.942169485920168</v>
      </c>
      <c r="X222" s="488">
        <f t="shared" si="222"/>
        <v>8.4786368448053029</v>
      </c>
      <c r="Y222" s="488">
        <f t="shared" si="222"/>
        <v>0</v>
      </c>
      <c r="Z222" s="488">
        <f t="shared" si="222"/>
        <v>0</v>
      </c>
      <c r="AA222" s="488">
        <f t="shared" si="222"/>
        <v>8.0645336846698488</v>
      </c>
      <c r="AB222" s="488">
        <f t="shared" si="222"/>
        <v>7.0292190303042429E-2</v>
      </c>
      <c r="AC222" s="488">
        <f t="shared" si="222"/>
        <v>0.48137068274330458</v>
      </c>
      <c r="AD222" s="488">
        <f t="shared" si="222"/>
        <v>3.1227344117857322E-2</v>
      </c>
      <c r="AE222" s="488">
        <f t="shared" si="222"/>
        <v>0</v>
      </c>
      <c r="AF222" s="488">
        <f t="shared" si="222"/>
        <v>0.14687756254950238</v>
      </c>
      <c r="AG222" s="488">
        <f t="shared" si="222"/>
        <v>0.1560342901288789</v>
      </c>
      <c r="AH222" s="488">
        <f t="shared" si="222"/>
        <v>19.096237867783184</v>
      </c>
      <c r="AI222" s="488">
        <f t="shared" si="222"/>
        <v>99.051580085454532</v>
      </c>
    </row>
    <row r="223" spans="2:35" x14ac:dyDescent="0.25">
      <c r="B223" s="46" t="s">
        <v>122</v>
      </c>
      <c r="C223" s="46" t="s">
        <v>469</v>
      </c>
      <c r="D223" s="46" t="s">
        <v>21</v>
      </c>
      <c r="E223" s="46" t="s">
        <v>107</v>
      </c>
      <c r="F223" s="46" t="s">
        <v>12</v>
      </c>
      <c r="G223" s="46" t="s">
        <v>472</v>
      </c>
      <c r="H223" s="488">
        <f t="shared" si="221"/>
        <v>0</v>
      </c>
      <c r="I223" s="488">
        <f t="shared" si="221"/>
        <v>0</v>
      </c>
      <c r="J223" s="488">
        <f t="shared" si="221"/>
        <v>0</v>
      </c>
      <c r="K223" s="488">
        <f t="shared" si="221"/>
        <v>0</v>
      </c>
      <c r="L223" s="488">
        <f t="shared" si="221"/>
        <v>1.5637950372739695E-4</v>
      </c>
      <c r="M223" s="488">
        <f t="shared" si="221"/>
        <v>0</v>
      </c>
      <c r="N223" s="488">
        <f t="shared" si="221"/>
        <v>0</v>
      </c>
      <c r="O223" s="488">
        <f t="shared" si="221"/>
        <v>0</v>
      </c>
      <c r="P223" s="488">
        <f t="shared" si="221"/>
        <v>0</v>
      </c>
      <c r="Q223" s="488">
        <f t="shared" si="221"/>
        <v>0</v>
      </c>
      <c r="R223" s="488">
        <f t="shared" si="221"/>
        <v>0</v>
      </c>
      <c r="S223" s="488">
        <f t="shared" si="221"/>
        <v>0</v>
      </c>
      <c r="T223" s="488">
        <f t="shared" si="221"/>
        <v>0</v>
      </c>
      <c r="U223" s="488">
        <f t="shared" si="221"/>
        <v>7.208801344646687E-2</v>
      </c>
      <c r="V223" s="488">
        <f t="shared" si="221"/>
        <v>3.6833296293524247E-3</v>
      </c>
      <c r="W223" s="488">
        <f t="shared" si="221"/>
        <v>2.6369237995896382E-3</v>
      </c>
      <c r="X223" s="488">
        <f t="shared" si="222"/>
        <v>1.4892144479392213E-2</v>
      </c>
      <c r="Y223" s="488">
        <f t="shared" si="222"/>
        <v>0</v>
      </c>
      <c r="Z223" s="488">
        <f t="shared" si="222"/>
        <v>0</v>
      </c>
      <c r="AA223" s="488">
        <f t="shared" si="222"/>
        <v>7.6592321617622194E-2</v>
      </c>
      <c r="AB223" s="488">
        <f t="shared" si="222"/>
        <v>0</v>
      </c>
      <c r="AC223" s="488">
        <f t="shared" si="222"/>
        <v>1.8114602016534616</v>
      </c>
      <c r="AD223" s="488">
        <f t="shared" si="222"/>
        <v>0</v>
      </c>
      <c r="AE223" s="488">
        <f t="shared" si="222"/>
        <v>0</v>
      </c>
      <c r="AF223" s="488">
        <f t="shared" si="222"/>
        <v>0</v>
      </c>
      <c r="AG223" s="488">
        <f t="shared" si="222"/>
        <v>0</v>
      </c>
      <c r="AH223" s="488">
        <f t="shared" si="222"/>
        <v>0.35716533317515092</v>
      </c>
      <c r="AI223" s="488">
        <f t="shared" si="222"/>
        <v>3.519772202149003</v>
      </c>
    </row>
    <row r="224" spans="2:35" x14ac:dyDescent="0.25">
      <c r="B224" s="46" t="s">
        <v>122</v>
      </c>
      <c r="C224" s="46" t="s">
        <v>469</v>
      </c>
      <c r="D224" s="46" t="s">
        <v>22</v>
      </c>
      <c r="E224" s="46" t="s">
        <v>111</v>
      </c>
      <c r="F224" s="46" t="s">
        <v>12</v>
      </c>
      <c r="G224" s="46" t="s">
        <v>405</v>
      </c>
      <c r="H224" s="488">
        <f t="shared" si="221"/>
        <v>0</v>
      </c>
      <c r="I224" s="488">
        <f t="shared" si="221"/>
        <v>0</v>
      </c>
      <c r="J224" s="488">
        <f t="shared" si="221"/>
        <v>0</v>
      </c>
      <c r="K224" s="488">
        <f t="shared" si="221"/>
        <v>0</v>
      </c>
      <c r="L224" s="488">
        <f t="shared" si="221"/>
        <v>1.3071973227443513E-2</v>
      </c>
      <c r="M224" s="488">
        <f t="shared" si="221"/>
        <v>0</v>
      </c>
      <c r="N224" s="488">
        <f t="shared" si="221"/>
        <v>1.8619112960945258E-3</v>
      </c>
      <c r="O224" s="488">
        <f t="shared" si="221"/>
        <v>0</v>
      </c>
      <c r="P224" s="488">
        <f t="shared" si="221"/>
        <v>0</v>
      </c>
      <c r="Q224" s="488">
        <f t="shared" si="221"/>
        <v>0</v>
      </c>
      <c r="R224" s="488">
        <f t="shared" si="221"/>
        <v>0</v>
      </c>
      <c r="S224" s="488">
        <f t="shared" si="221"/>
        <v>0</v>
      </c>
      <c r="T224" s="488">
        <f t="shared" si="221"/>
        <v>6.453324628535994E-4</v>
      </c>
      <c r="U224" s="488">
        <f t="shared" si="221"/>
        <v>0.51914655476124871</v>
      </c>
      <c r="V224" s="488">
        <f t="shared" si="221"/>
        <v>2.1828740055276432E-2</v>
      </c>
      <c r="W224" s="488">
        <f t="shared" si="221"/>
        <v>2.4894957871580359</v>
      </c>
      <c r="X224" s="488">
        <f t="shared" si="222"/>
        <v>0.5285165878964676</v>
      </c>
      <c r="Y224" s="488">
        <f t="shared" si="222"/>
        <v>0</v>
      </c>
      <c r="Z224" s="488">
        <f t="shared" si="222"/>
        <v>0</v>
      </c>
      <c r="AA224" s="488">
        <f t="shared" si="222"/>
        <v>0.21639581746040804</v>
      </c>
      <c r="AB224" s="488">
        <f t="shared" si="222"/>
        <v>1.1842249701646969E-2</v>
      </c>
      <c r="AC224" s="488">
        <f t="shared" si="222"/>
        <v>1.4707130577617369</v>
      </c>
      <c r="AD224" s="488">
        <f t="shared" si="222"/>
        <v>0</v>
      </c>
      <c r="AE224" s="488">
        <f t="shared" si="222"/>
        <v>0.16452807683686907</v>
      </c>
      <c r="AF224" s="488">
        <f t="shared" si="222"/>
        <v>0</v>
      </c>
      <c r="AG224" s="488">
        <f t="shared" si="222"/>
        <v>0</v>
      </c>
      <c r="AH224" s="488">
        <f t="shared" si="222"/>
        <v>0.20122987397516762</v>
      </c>
      <c r="AI224" s="488">
        <f t="shared" si="222"/>
        <v>9.3362856582258242</v>
      </c>
    </row>
    <row r="225" spans="2:35" x14ac:dyDescent="0.25">
      <c r="B225" s="62" t="s">
        <v>122</v>
      </c>
      <c r="C225" s="62" t="s">
        <v>469</v>
      </c>
      <c r="D225" s="62" t="s">
        <v>177</v>
      </c>
      <c r="E225" s="62"/>
      <c r="F225" s="62" t="s">
        <v>12</v>
      </c>
      <c r="G225" s="62"/>
      <c r="H225" s="489">
        <f>SUM(H213:H224)</f>
        <v>4.3000825472928685</v>
      </c>
      <c r="I225" s="489">
        <f t="shared" ref="I225" si="223">SUM(I213:I224)</f>
        <v>0</v>
      </c>
      <c r="J225" s="489">
        <f t="shared" ref="J225" si="224">SUM(J213:J224)</f>
        <v>14.312555675318542</v>
      </c>
      <c r="K225" s="489">
        <f t="shared" ref="K225" si="225">SUM(K213:K224)</f>
        <v>0</v>
      </c>
      <c r="L225" s="489">
        <f t="shared" ref="L225" si="226">SUM(L213:L224)</f>
        <v>0.2058894980021016</v>
      </c>
      <c r="M225" s="489">
        <f t="shared" ref="M225" si="227">SUM(M213:M224)</f>
        <v>0</v>
      </c>
      <c r="N225" s="489">
        <f t="shared" ref="N225" si="228">SUM(N213:N224)</f>
        <v>18.599032138368788</v>
      </c>
      <c r="O225" s="489">
        <f t="shared" ref="O225" si="229">SUM(O213:O224)</f>
        <v>0</v>
      </c>
      <c r="P225" s="489">
        <f t="shared" ref="P225" si="230">SUM(P213:P224)</f>
        <v>0.45746429256658433</v>
      </c>
      <c r="Q225" s="489">
        <f t="shared" ref="Q225" si="231">SUM(Q213:Q224)</f>
        <v>115.45990900394557</v>
      </c>
      <c r="R225" s="489">
        <f t="shared" ref="R225" si="232">SUM(R213:R224)</f>
        <v>0</v>
      </c>
      <c r="S225" s="489">
        <f t="shared" ref="S225" si="233">SUM(S213:S224)</f>
        <v>495.66676154328104</v>
      </c>
      <c r="T225" s="489">
        <f t="shared" ref="T225" si="234">SUM(T213:T224)</f>
        <v>1.6264978617139314</v>
      </c>
      <c r="U225" s="489">
        <f t="shared" ref="U225" si="235">SUM(U213:U224)</f>
        <v>200.64400577264101</v>
      </c>
      <c r="V225" s="489">
        <f t="shared" ref="V225" si="236">SUM(V213:V224)</f>
        <v>6.7801314427136177</v>
      </c>
      <c r="W225" s="489">
        <f t="shared" ref="W225" si="237">SUM(W213:W224)</f>
        <v>153.41544948839552</v>
      </c>
      <c r="X225" s="489">
        <f t="shared" ref="X225" si="238">SUM(X213:X224)</f>
        <v>46.002612524517787</v>
      </c>
      <c r="Y225" s="489">
        <f t="shared" ref="Y225" si="239">SUM(Y213:Y224)</f>
        <v>0</v>
      </c>
      <c r="Z225" s="489">
        <f t="shared" ref="Z225" si="240">SUM(Z213:Z224)</f>
        <v>0</v>
      </c>
      <c r="AA225" s="489">
        <f t="shared" ref="AA225" si="241">SUM(AA213:AA224)</f>
        <v>29.937014992764457</v>
      </c>
      <c r="AB225" s="489">
        <f t="shared" ref="AB225" si="242">SUM(AB213:AB224)</f>
        <v>6.171007787341166</v>
      </c>
      <c r="AC225" s="489">
        <f t="shared" ref="AC225" si="243">SUM(AC213:AC224)</f>
        <v>24.934018209272413</v>
      </c>
      <c r="AD225" s="489">
        <f t="shared" ref="AD225" si="244">SUM(AD213:AD224)</f>
        <v>0.96206248848630749</v>
      </c>
      <c r="AE225" s="489">
        <f t="shared" ref="AE225" si="245">SUM(AE213:AE224)</f>
        <v>11.408220562016227</v>
      </c>
      <c r="AF225" s="489">
        <f t="shared" ref="AF225" si="246">SUM(AF213:AF224)</f>
        <v>28.693182164416829</v>
      </c>
      <c r="AG225" s="489">
        <f t="shared" ref="AG225" si="247">SUM(AG213:AG224)</f>
        <v>386.86966068382998</v>
      </c>
      <c r="AH225" s="489">
        <f t="shared" ref="AH225" si="248">SUM(AH213:AH224)</f>
        <v>123.27354173556854</v>
      </c>
      <c r="AI225" s="489">
        <f t="shared" ref="AI225" si="249">SUM(AI213:AI224)</f>
        <v>1783.4878950216457</v>
      </c>
    </row>
    <row r="226" spans="2:35" x14ac:dyDescent="0.25">
      <c r="B226" s="46" t="s">
        <v>124</v>
      </c>
      <c r="C226" s="46" t="s">
        <v>470</v>
      </c>
      <c r="D226" s="46" t="s">
        <v>93</v>
      </c>
      <c r="E226" s="46" t="s">
        <v>106</v>
      </c>
      <c r="F226" s="46" t="s">
        <v>12</v>
      </c>
      <c r="G226" s="46" t="s">
        <v>405</v>
      </c>
      <c r="H226" s="488">
        <f>SUMIFS(H$6:H$17,$E$6:$E$17,$E226)*SUMIFS(H$63:H$194,$E$63:$E$194,$E226,$C$63:$C$194,$C226)/1000</f>
        <v>0</v>
      </c>
      <c r="I226" s="488">
        <f t="shared" ref="I226:X230" si="250">SUMIFS(I$6:I$17,$E$6:$E$17,$E226)*SUMIFS(I$63:I$194,$E$63:$E$194,$E226,$C$63:$C$194,$C226)/1000</f>
        <v>0</v>
      </c>
      <c r="J226" s="488">
        <f t="shared" si="250"/>
        <v>0</v>
      </c>
      <c r="K226" s="488">
        <f t="shared" si="250"/>
        <v>0</v>
      </c>
      <c r="L226" s="488">
        <f t="shared" si="250"/>
        <v>0</v>
      </c>
      <c r="M226" s="488">
        <f t="shared" si="250"/>
        <v>0</v>
      </c>
      <c r="N226" s="488">
        <f t="shared" si="250"/>
        <v>0</v>
      </c>
      <c r="O226" s="488">
        <f t="shared" si="250"/>
        <v>0</v>
      </c>
      <c r="P226" s="488">
        <f t="shared" si="250"/>
        <v>0</v>
      </c>
      <c r="Q226" s="488">
        <f t="shared" si="250"/>
        <v>0</v>
      </c>
      <c r="R226" s="488">
        <f t="shared" si="250"/>
        <v>0</v>
      </c>
      <c r="S226" s="488">
        <f t="shared" si="250"/>
        <v>0</v>
      </c>
      <c r="T226" s="488">
        <f t="shared" si="250"/>
        <v>0</v>
      </c>
      <c r="U226" s="488">
        <f t="shared" si="250"/>
        <v>0</v>
      </c>
      <c r="V226" s="488">
        <f t="shared" si="250"/>
        <v>0</v>
      </c>
      <c r="W226" s="488">
        <f t="shared" si="250"/>
        <v>0</v>
      </c>
      <c r="X226" s="488">
        <f t="shared" si="250"/>
        <v>0</v>
      </c>
      <c r="Y226" s="488">
        <f t="shared" ref="Q226:AI230" si="251">SUMIFS(Y$6:Y$17,$E$6:$E$17,$E226)*SUMIFS(Y$63:Y$194,$E$63:$E$194,$E226,$C$63:$C$194,$C226)/1000</f>
        <v>0</v>
      </c>
      <c r="Z226" s="488">
        <f t="shared" si="251"/>
        <v>0</v>
      </c>
      <c r="AA226" s="488">
        <f t="shared" si="251"/>
        <v>0</v>
      </c>
      <c r="AB226" s="488">
        <f t="shared" si="251"/>
        <v>0</v>
      </c>
      <c r="AC226" s="488">
        <f t="shared" si="251"/>
        <v>0</v>
      </c>
      <c r="AD226" s="488">
        <f t="shared" si="251"/>
        <v>0</v>
      </c>
      <c r="AE226" s="488">
        <f t="shared" si="251"/>
        <v>0</v>
      </c>
      <c r="AF226" s="488">
        <f t="shared" si="251"/>
        <v>0</v>
      </c>
      <c r="AG226" s="488">
        <f t="shared" si="251"/>
        <v>0</v>
      </c>
      <c r="AH226" s="488">
        <f t="shared" si="251"/>
        <v>0</v>
      </c>
      <c r="AI226" s="488">
        <f t="shared" si="251"/>
        <v>0</v>
      </c>
    </row>
    <row r="227" spans="2:35" x14ac:dyDescent="0.25">
      <c r="B227" s="46" t="s">
        <v>124</v>
      </c>
      <c r="C227" s="46" t="s">
        <v>470</v>
      </c>
      <c r="D227" s="46" t="s">
        <v>19</v>
      </c>
      <c r="E227" s="46" t="s">
        <v>105</v>
      </c>
      <c r="F227" s="46" t="s">
        <v>12</v>
      </c>
      <c r="G227" s="46" t="s">
        <v>405</v>
      </c>
      <c r="H227" s="488">
        <f>SUMIFS(H$6:H$17,$E$6:$E$17,$E227)*SUMIFS(H$63:H$194,$E$63:$E$194,$E227,$C$63:$C$194,$C227)/1000</f>
        <v>0.60870194016816481</v>
      </c>
      <c r="I227" s="488">
        <f t="shared" si="250"/>
        <v>2.8728855062807042</v>
      </c>
      <c r="J227" s="488">
        <f t="shared" si="250"/>
        <v>0.57508725284275086</v>
      </c>
      <c r="K227" s="488">
        <f t="shared" si="250"/>
        <v>1.5058762149498719</v>
      </c>
      <c r="L227" s="488">
        <f t="shared" si="250"/>
        <v>15.934906445309093</v>
      </c>
      <c r="M227" s="488">
        <f t="shared" si="250"/>
        <v>4.3555404622136491</v>
      </c>
      <c r="N227" s="488">
        <f t="shared" si="250"/>
        <v>7.8742853049743777</v>
      </c>
      <c r="O227" s="488">
        <f t="shared" si="250"/>
        <v>7.18074643023939</v>
      </c>
      <c r="P227" s="488">
        <f t="shared" si="250"/>
        <v>90.589676964362639</v>
      </c>
      <c r="Q227" s="488">
        <f t="shared" si="251"/>
        <v>7.9320654881593642</v>
      </c>
      <c r="R227" s="488">
        <f t="shared" si="251"/>
        <v>0.24881781942977557</v>
      </c>
      <c r="S227" s="488">
        <f t="shared" si="251"/>
        <v>374.2739055352742</v>
      </c>
      <c r="T227" s="488">
        <f t="shared" si="251"/>
        <v>2.0727423018915356</v>
      </c>
      <c r="U227" s="488">
        <f t="shared" si="251"/>
        <v>4.6974777235419436E-3</v>
      </c>
      <c r="V227" s="488">
        <f t="shared" si="251"/>
        <v>3.4270375424050097</v>
      </c>
      <c r="W227" s="488">
        <f t="shared" si="251"/>
        <v>20.891161368782726</v>
      </c>
      <c r="X227" s="488">
        <f t="shared" si="250"/>
        <v>1.4598832178626138</v>
      </c>
      <c r="Y227" s="488">
        <f t="shared" si="251"/>
        <v>14.824599889652513</v>
      </c>
      <c r="Z227" s="488">
        <f t="shared" si="251"/>
        <v>22.777517428217987</v>
      </c>
      <c r="AA227" s="488">
        <f t="shared" si="251"/>
        <v>26.584180371770515</v>
      </c>
      <c r="AB227" s="488">
        <f t="shared" si="251"/>
        <v>90.030761837065569</v>
      </c>
      <c r="AC227" s="488">
        <f t="shared" si="251"/>
        <v>0</v>
      </c>
      <c r="AD227" s="488">
        <f t="shared" si="251"/>
        <v>0</v>
      </c>
      <c r="AE227" s="488">
        <f t="shared" si="251"/>
        <v>27.333987502781969</v>
      </c>
      <c r="AF227" s="488">
        <f t="shared" si="251"/>
        <v>0.401998846903933</v>
      </c>
      <c r="AG227" s="488">
        <f t="shared" si="251"/>
        <v>7.5294118462965214</v>
      </c>
      <c r="AH227" s="488">
        <f t="shared" si="251"/>
        <v>14.702630650706732</v>
      </c>
      <c r="AI227" s="488">
        <f t="shared" si="251"/>
        <v>260.88468558967918</v>
      </c>
    </row>
    <row r="228" spans="2:35" x14ac:dyDescent="0.25">
      <c r="B228" s="62" t="s">
        <v>124</v>
      </c>
      <c r="C228" s="62" t="s">
        <v>470</v>
      </c>
      <c r="D228" s="62" t="s">
        <v>177</v>
      </c>
      <c r="E228" s="62"/>
      <c r="F228" s="62" t="s">
        <v>12</v>
      </c>
      <c r="G228" s="62"/>
      <c r="H228" s="489">
        <f>SUM(H226:H227)</f>
        <v>0.60870194016816481</v>
      </c>
      <c r="I228" s="489">
        <f t="shared" ref="I228:AI228" si="252">SUM(I226:I227)</f>
        <v>2.8728855062807042</v>
      </c>
      <c r="J228" s="489">
        <f t="shared" si="252"/>
        <v>0.57508725284275086</v>
      </c>
      <c r="K228" s="489">
        <f t="shared" si="252"/>
        <v>1.5058762149498719</v>
      </c>
      <c r="L228" s="489">
        <f t="shared" si="252"/>
        <v>15.934906445309093</v>
      </c>
      <c r="M228" s="489">
        <f t="shared" si="252"/>
        <v>4.3555404622136491</v>
      </c>
      <c r="N228" s="489">
        <f t="shared" si="252"/>
        <v>7.8742853049743777</v>
      </c>
      <c r="O228" s="489">
        <f t="shared" si="252"/>
        <v>7.18074643023939</v>
      </c>
      <c r="P228" s="489">
        <f t="shared" si="252"/>
        <v>90.589676964362639</v>
      </c>
      <c r="Q228" s="489">
        <f t="shared" si="252"/>
        <v>7.9320654881593642</v>
      </c>
      <c r="R228" s="489">
        <f t="shared" si="252"/>
        <v>0.24881781942977557</v>
      </c>
      <c r="S228" s="489">
        <f t="shared" si="252"/>
        <v>374.2739055352742</v>
      </c>
      <c r="T228" s="489">
        <f t="shared" si="252"/>
        <v>2.0727423018915356</v>
      </c>
      <c r="U228" s="489">
        <f t="shared" si="252"/>
        <v>4.6974777235419436E-3</v>
      </c>
      <c r="V228" s="489">
        <f t="shared" si="252"/>
        <v>3.4270375424050097</v>
      </c>
      <c r="W228" s="489">
        <f t="shared" si="252"/>
        <v>20.891161368782726</v>
      </c>
      <c r="X228" s="489">
        <f t="shared" si="252"/>
        <v>1.4598832178626138</v>
      </c>
      <c r="Y228" s="489">
        <f t="shared" si="252"/>
        <v>14.824599889652513</v>
      </c>
      <c r="Z228" s="489">
        <f t="shared" si="252"/>
        <v>22.777517428217987</v>
      </c>
      <c r="AA228" s="489">
        <f t="shared" si="252"/>
        <v>26.584180371770515</v>
      </c>
      <c r="AB228" s="489">
        <f t="shared" si="252"/>
        <v>90.030761837065569</v>
      </c>
      <c r="AC228" s="489">
        <f t="shared" si="252"/>
        <v>0</v>
      </c>
      <c r="AD228" s="489">
        <f t="shared" si="252"/>
        <v>0</v>
      </c>
      <c r="AE228" s="489">
        <f t="shared" si="252"/>
        <v>27.333987502781969</v>
      </c>
      <c r="AF228" s="489">
        <f t="shared" si="252"/>
        <v>0.401998846903933</v>
      </c>
      <c r="AG228" s="489">
        <f t="shared" si="252"/>
        <v>7.5294118462965214</v>
      </c>
      <c r="AH228" s="489">
        <f t="shared" si="252"/>
        <v>14.702630650706732</v>
      </c>
      <c r="AI228" s="489">
        <f t="shared" si="252"/>
        <v>260.88468558967918</v>
      </c>
    </row>
    <row r="229" spans="2:35" x14ac:dyDescent="0.25">
      <c r="B229" s="46" t="s">
        <v>124</v>
      </c>
      <c r="C229" s="46" t="s">
        <v>471</v>
      </c>
      <c r="D229" s="46" t="s">
        <v>93</v>
      </c>
      <c r="E229" s="46" t="s">
        <v>106</v>
      </c>
      <c r="F229" s="46" t="s">
        <v>12</v>
      </c>
      <c r="G229" s="46" t="s">
        <v>405</v>
      </c>
      <c r="H229" s="488">
        <f>SUMIFS(H$6:H$17,$E$6:$E$17,$E229)*SUMIFS(H$63:H$194,$E$63:$E$194,$E229,$C$63:$C$194,$C229)/1000</f>
        <v>0</v>
      </c>
      <c r="I229" s="488">
        <f t="shared" si="250"/>
        <v>0</v>
      </c>
      <c r="J229" s="488">
        <f t="shared" si="250"/>
        <v>0</v>
      </c>
      <c r="K229" s="488">
        <f t="shared" si="250"/>
        <v>0</v>
      </c>
      <c r="L229" s="488">
        <f t="shared" si="250"/>
        <v>0</v>
      </c>
      <c r="M229" s="488">
        <f t="shared" si="250"/>
        <v>0</v>
      </c>
      <c r="N229" s="488">
        <f t="shared" si="250"/>
        <v>0</v>
      </c>
      <c r="O229" s="488">
        <f t="shared" si="250"/>
        <v>0</v>
      </c>
      <c r="P229" s="488">
        <f t="shared" si="250"/>
        <v>0</v>
      </c>
      <c r="Q229" s="488">
        <f t="shared" si="250"/>
        <v>0</v>
      </c>
      <c r="R229" s="488">
        <f t="shared" si="250"/>
        <v>0</v>
      </c>
      <c r="S229" s="488">
        <f t="shared" si="250"/>
        <v>0</v>
      </c>
      <c r="T229" s="488">
        <f t="shared" si="250"/>
        <v>0</v>
      </c>
      <c r="U229" s="488">
        <f t="shared" si="250"/>
        <v>0</v>
      </c>
      <c r="V229" s="488">
        <f t="shared" si="250"/>
        <v>0</v>
      </c>
      <c r="W229" s="488">
        <f t="shared" si="250"/>
        <v>0</v>
      </c>
      <c r="X229" s="488">
        <f t="shared" si="250"/>
        <v>0</v>
      </c>
      <c r="Y229" s="488">
        <f t="shared" si="251"/>
        <v>0</v>
      </c>
      <c r="Z229" s="488">
        <f t="shared" si="251"/>
        <v>0</v>
      </c>
      <c r="AA229" s="488">
        <f t="shared" si="251"/>
        <v>0</v>
      </c>
      <c r="AB229" s="488">
        <f t="shared" si="251"/>
        <v>0</v>
      </c>
      <c r="AC229" s="488">
        <f t="shared" si="251"/>
        <v>0</v>
      </c>
      <c r="AD229" s="488">
        <f t="shared" si="251"/>
        <v>0</v>
      </c>
      <c r="AE229" s="488">
        <f t="shared" si="251"/>
        <v>0</v>
      </c>
      <c r="AF229" s="488">
        <f t="shared" si="251"/>
        <v>0</v>
      </c>
      <c r="AG229" s="488">
        <f t="shared" si="251"/>
        <v>0</v>
      </c>
      <c r="AH229" s="488">
        <f t="shared" si="251"/>
        <v>0</v>
      </c>
      <c r="AI229" s="488">
        <f t="shared" si="251"/>
        <v>0</v>
      </c>
    </row>
    <row r="230" spans="2:35" x14ac:dyDescent="0.25">
      <c r="B230" s="46" t="s">
        <v>124</v>
      </c>
      <c r="C230" s="46" t="s">
        <v>471</v>
      </c>
      <c r="D230" s="46" t="s">
        <v>19</v>
      </c>
      <c r="E230" s="46" t="s">
        <v>105</v>
      </c>
      <c r="F230" s="46" t="s">
        <v>12</v>
      </c>
      <c r="G230" s="46" t="s">
        <v>405</v>
      </c>
      <c r="H230" s="488">
        <f>SUMIFS(H$6:H$17,$E$6:$E$17,$E230)*SUMIFS(H$63:H$194,$E$63:$E$194,$E230,$C$63:$C$194,$C230)/1000</f>
        <v>3.0127314712231193E-2</v>
      </c>
      <c r="I230" s="488">
        <f t="shared" si="250"/>
        <v>0.39704190642207338</v>
      </c>
      <c r="J230" s="488">
        <f t="shared" si="250"/>
        <v>5.2570981966157615E-2</v>
      </c>
      <c r="K230" s="488">
        <f t="shared" si="250"/>
        <v>0.1982186434499085</v>
      </c>
      <c r="L230" s="488">
        <f t="shared" si="250"/>
        <v>6.286172889411497</v>
      </c>
      <c r="M230" s="488">
        <f t="shared" si="250"/>
        <v>0.37648369345622285</v>
      </c>
      <c r="N230" s="488">
        <f t="shared" si="250"/>
        <v>0.30157915487800363</v>
      </c>
      <c r="O230" s="488">
        <f t="shared" si="250"/>
        <v>0.34588407747700445</v>
      </c>
      <c r="P230" s="488">
        <f t="shared" si="250"/>
        <v>16.800106499662675</v>
      </c>
      <c r="Q230" s="488">
        <f t="shared" si="251"/>
        <v>23.348949195238685</v>
      </c>
      <c r="R230" s="488">
        <f t="shared" si="251"/>
        <v>0.16944942568058896</v>
      </c>
      <c r="S230" s="488">
        <f t="shared" si="251"/>
        <v>127.09067633293428</v>
      </c>
      <c r="T230" s="488">
        <f t="shared" si="251"/>
        <v>1.1181448881555347</v>
      </c>
      <c r="U230" s="488">
        <f t="shared" si="251"/>
        <v>1.1326080999066662E-2</v>
      </c>
      <c r="V230" s="488">
        <f t="shared" si="251"/>
        <v>1.1187993194847885</v>
      </c>
      <c r="W230" s="488">
        <f t="shared" si="251"/>
        <v>10.572018809558992</v>
      </c>
      <c r="X230" s="488">
        <f t="shared" si="250"/>
        <v>0.97673584734173913</v>
      </c>
      <c r="Y230" s="488">
        <f t="shared" si="251"/>
        <v>0.76636410050628878</v>
      </c>
      <c r="Z230" s="488">
        <f t="shared" si="251"/>
        <v>0.94685743199225814</v>
      </c>
      <c r="AA230" s="488">
        <f t="shared" si="251"/>
        <v>20.078712923795131</v>
      </c>
      <c r="AB230" s="488">
        <f t="shared" si="251"/>
        <v>15.130842594445442</v>
      </c>
      <c r="AC230" s="488">
        <f t="shared" si="251"/>
        <v>0</v>
      </c>
      <c r="AD230" s="488">
        <f t="shared" si="251"/>
        <v>0</v>
      </c>
      <c r="AE230" s="488">
        <f t="shared" si="251"/>
        <v>7.7740440533094093</v>
      </c>
      <c r="AF230" s="488">
        <f t="shared" si="251"/>
        <v>5.5933239980862276E-2</v>
      </c>
      <c r="AG230" s="488">
        <f t="shared" si="251"/>
        <v>4.7766047048106133</v>
      </c>
      <c r="AH230" s="488">
        <f t="shared" si="251"/>
        <v>10.831867667683968</v>
      </c>
      <c r="AI230" s="488">
        <f t="shared" si="251"/>
        <v>521.21246454051607</v>
      </c>
    </row>
    <row r="231" spans="2:35" x14ac:dyDescent="0.25">
      <c r="B231" s="62" t="s">
        <v>124</v>
      </c>
      <c r="C231" s="62" t="s">
        <v>471</v>
      </c>
      <c r="D231" s="62" t="s">
        <v>177</v>
      </c>
      <c r="E231" s="62"/>
      <c r="F231" s="62" t="s">
        <v>12</v>
      </c>
      <c r="G231" s="62"/>
      <c r="H231" s="489">
        <f>SUM(H229:H230)</f>
        <v>3.0127314712231193E-2</v>
      </c>
      <c r="I231" s="489">
        <f t="shared" ref="I231" si="253">SUM(I229:I230)</f>
        <v>0.39704190642207338</v>
      </c>
      <c r="J231" s="489">
        <f t="shared" ref="J231" si="254">SUM(J229:J230)</f>
        <v>5.2570981966157615E-2</v>
      </c>
      <c r="K231" s="489">
        <f t="shared" ref="K231" si="255">SUM(K229:K230)</f>
        <v>0.1982186434499085</v>
      </c>
      <c r="L231" s="489">
        <f t="shared" ref="L231" si="256">SUM(L229:L230)</f>
        <v>6.286172889411497</v>
      </c>
      <c r="M231" s="489">
        <f t="shared" ref="M231" si="257">SUM(M229:M230)</f>
        <v>0.37648369345622285</v>
      </c>
      <c r="N231" s="489">
        <f t="shared" ref="N231" si="258">SUM(N229:N230)</f>
        <v>0.30157915487800363</v>
      </c>
      <c r="O231" s="489">
        <f t="shared" ref="O231" si="259">SUM(O229:O230)</f>
        <v>0.34588407747700445</v>
      </c>
      <c r="P231" s="489">
        <f t="shared" ref="P231" si="260">SUM(P229:P230)</f>
        <v>16.800106499662675</v>
      </c>
      <c r="Q231" s="489">
        <f t="shared" ref="Q231" si="261">SUM(Q229:Q230)</f>
        <v>23.348949195238685</v>
      </c>
      <c r="R231" s="489">
        <f t="shared" ref="R231" si="262">SUM(R229:R230)</f>
        <v>0.16944942568058896</v>
      </c>
      <c r="S231" s="489">
        <f t="shared" ref="S231" si="263">SUM(S229:S230)</f>
        <v>127.09067633293428</v>
      </c>
      <c r="T231" s="489">
        <f t="shared" ref="T231" si="264">SUM(T229:T230)</f>
        <v>1.1181448881555347</v>
      </c>
      <c r="U231" s="489">
        <f t="shared" ref="U231" si="265">SUM(U229:U230)</f>
        <v>1.1326080999066662E-2</v>
      </c>
      <c r="V231" s="489">
        <f t="shared" ref="V231" si="266">SUM(V229:V230)</f>
        <v>1.1187993194847885</v>
      </c>
      <c r="W231" s="489">
        <f t="shared" ref="W231" si="267">SUM(W229:W230)</f>
        <v>10.572018809558992</v>
      </c>
      <c r="X231" s="489">
        <f t="shared" ref="X231" si="268">SUM(X229:X230)</f>
        <v>0.97673584734173913</v>
      </c>
      <c r="Y231" s="489">
        <f t="shared" ref="Y231" si="269">SUM(Y229:Y230)</f>
        <v>0.76636410050628878</v>
      </c>
      <c r="Z231" s="489">
        <f t="shared" ref="Z231" si="270">SUM(Z229:Z230)</f>
        <v>0.94685743199225814</v>
      </c>
      <c r="AA231" s="489">
        <f t="shared" ref="AA231" si="271">SUM(AA229:AA230)</f>
        <v>20.078712923795131</v>
      </c>
      <c r="AB231" s="489">
        <f t="shared" ref="AB231" si="272">SUM(AB229:AB230)</f>
        <v>15.130842594445442</v>
      </c>
      <c r="AC231" s="489">
        <f t="shared" ref="AC231" si="273">SUM(AC229:AC230)</f>
        <v>0</v>
      </c>
      <c r="AD231" s="489">
        <f t="shared" ref="AD231" si="274">SUM(AD229:AD230)</f>
        <v>0</v>
      </c>
      <c r="AE231" s="489">
        <f t="shared" ref="AE231" si="275">SUM(AE229:AE230)</f>
        <v>7.7740440533094093</v>
      </c>
      <c r="AF231" s="489">
        <f t="shared" ref="AF231" si="276">SUM(AF229:AF230)</f>
        <v>5.5933239980862276E-2</v>
      </c>
      <c r="AG231" s="489">
        <f t="shared" ref="AG231" si="277">SUM(AG229:AG230)</f>
        <v>4.7766047048106133</v>
      </c>
      <c r="AH231" s="489">
        <f t="shared" ref="AH231" si="278">SUM(AH229:AH230)</f>
        <v>10.831867667683968</v>
      </c>
      <c r="AI231" s="489">
        <f t="shared" ref="AI231" si="279">SUM(AI229:AI230)</f>
        <v>521.21246454051607</v>
      </c>
    </row>
    <row r="232" spans="2:35" x14ac:dyDescent="0.25">
      <c r="B232" s="46" t="s">
        <v>119</v>
      </c>
      <c r="C232" s="46" t="s">
        <v>118</v>
      </c>
      <c r="D232" s="46" t="s">
        <v>78</v>
      </c>
      <c r="E232" s="46" t="s">
        <v>103</v>
      </c>
      <c r="F232" s="46" t="s">
        <v>12</v>
      </c>
      <c r="G232" s="46" t="s">
        <v>405</v>
      </c>
      <c r="H232" s="488">
        <f>SUMIFS(H$6:H$17,$E$6:$E$17,$E232)*SUMIFS(H$63:H$194,$E$63:$E$194,$E232,$C$63:$C$194,$C232)/1000</f>
        <v>0</v>
      </c>
      <c r="I232" s="488">
        <f t="shared" ref="I232:AI241" si="280">SUMIFS(I$6:I$17,$E$6:$E$17,$E232)*SUMIFS(I$63:I$194,$E$63:$E$194,$E232,$C$63:$C$194,$C232)/1000</f>
        <v>0</v>
      </c>
      <c r="J232" s="488">
        <f t="shared" si="280"/>
        <v>0</v>
      </c>
      <c r="K232" s="488">
        <f t="shared" si="280"/>
        <v>0</v>
      </c>
      <c r="L232" s="488">
        <f t="shared" si="280"/>
        <v>0</v>
      </c>
      <c r="M232" s="488">
        <f t="shared" si="280"/>
        <v>0</v>
      </c>
      <c r="N232" s="488">
        <f t="shared" si="280"/>
        <v>6.7104434649635687E-5</v>
      </c>
      <c r="O232" s="488">
        <f t="shared" si="280"/>
        <v>0.48684267338310688</v>
      </c>
      <c r="P232" s="488">
        <f t="shared" si="280"/>
        <v>0</v>
      </c>
      <c r="Q232" s="488">
        <f t="shared" si="280"/>
        <v>0</v>
      </c>
      <c r="R232" s="488">
        <f t="shared" si="280"/>
        <v>1.0773579079875542E-4</v>
      </c>
      <c r="S232" s="488">
        <f t="shared" si="280"/>
        <v>0</v>
      </c>
      <c r="T232" s="488">
        <f t="shared" si="280"/>
        <v>0</v>
      </c>
      <c r="U232" s="488">
        <f t="shared" si="280"/>
        <v>0</v>
      </c>
      <c r="V232" s="488">
        <f t="shared" si="280"/>
        <v>0</v>
      </c>
      <c r="W232" s="488">
        <f t="shared" si="280"/>
        <v>0</v>
      </c>
      <c r="X232" s="488">
        <f t="shared" si="280"/>
        <v>1.855589162450415E-3</v>
      </c>
      <c r="Y232" s="488">
        <f t="shared" si="280"/>
        <v>2.9190429072591523E-2</v>
      </c>
      <c r="Z232" s="488">
        <f t="shared" si="280"/>
        <v>0</v>
      </c>
      <c r="AA232" s="488">
        <f t="shared" si="280"/>
        <v>0</v>
      </c>
      <c r="AB232" s="488">
        <f t="shared" si="280"/>
        <v>2E-3</v>
      </c>
      <c r="AC232" s="488">
        <f t="shared" si="280"/>
        <v>0</v>
      </c>
      <c r="AD232" s="488">
        <f t="shared" si="280"/>
        <v>0</v>
      </c>
      <c r="AE232" s="488">
        <f t="shared" si="280"/>
        <v>0</v>
      </c>
      <c r="AF232" s="488">
        <f t="shared" si="280"/>
        <v>0</v>
      </c>
      <c r="AG232" s="488">
        <f t="shared" si="280"/>
        <v>0</v>
      </c>
      <c r="AH232" s="488">
        <f t="shared" si="280"/>
        <v>0</v>
      </c>
      <c r="AI232" s="488">
        <f t="shared" si="280"/>
        <v>0</v>
      </c>
    </row>
    <row r="233" spans="2:35" x14ac:dyDescent="0.25">
      <c r="B233" s="46" t="s">
        <v>119</v>
      </c>
      <c r="C233" s="46" t="s">
        <v>118</v>
      </c>
      <c r="D233" s="46" t="s">
        <v>115</v>
      </c>
      <c r="E233" s="46" t="s">
        <v>368</v>
      </c>
      <c r="F233" s="46" t="s">
        <v>12</v>
      </c>
      <c r="G233" s="46" t="s">
        <v>405</v>
      </c>
      <c r="H233" s="488">
        <f t="shared" ref="H233:W243" si="281">SUMIFS(H$6:H$17,$E$6:$E$17,$E233)*SUMIFS(H$63:H$194,$E$63:$E$194,$E233,$C$63:$C$194,$C233)/1000</f>
        <v>2325.0189584909226</v>
      </c>
      <c r="I233" s="488">
        <f t="shared" si="281"/>
        <v>107.96655209909228</v>
      </c>
      <c r="J233" s="488">
        <f t="shared" si="281"/>
        <v>1688.9423229954614</v>
      </c>
      <c r="K233" s="488">
        <f t="shared" si="281"/>
        <v>858.94110353630867</v>
      </c>
      <c r="L233" s="488">
        <f t="shared" si="281"/>
        <v>1.7705526989770553E-2</v>
      </c>
      <c r="M233" s="488">
        <f t="shared" si="281"/>
        <v>5.8325161464423845</v>
      </c>
      <c r="N233" s="488">
        <f t="shared" si="281"/>
        <v>62.108777907708905</v>
      </c>
      <c r="O233" s="488">
        <f t="shared" si="281"/>
        <v>104.87013942610415</v>
      </c>
      <c r="P233" s="488">
        <f t="shared" si="281"/>
        <v>364.15800000000002</v>
      </c>
      <c r="Q233" s="488">
        <f t="shared" si="281"/>
        <v>0</v>
      </c>
      <c r="R233" s="488">
        <f t="shared" si="281"/>
        <v>0.70410726076526597</v>
      </c>
      <c r="S233" s="488">
        <f t="shared" si="281"/>
        <v>47.153078348475304</v>
      </c>
      <c r="T233" s="488">
        <f t="shared" si="281"/>
        <v>4.3752828061846989</v>
      </c>
      <c r="U233" s="488">
        <f t="shared" si="281"/>
        <v>4.0238767738742708E-2</v>
      </c>
      <c r="V233" s="488">
        <f t="shared" si="281"/>
        <v>11.134365613018225</v>
      </c>
      <c r="W233" s="488">
        <f t="shared" si="281"/>
        <v>20.264652786906112</v>
      </c>
      <c r="X233" s="488">
        <f t="shared" si="280"/>
        <v>0.11269716619921115</v>
      </c>
      <c r="Y233" s="488">
        <f t="shared" si="280"/>
        <v>78.003201403256256</v>
      </c>
      <c r="Z233" s="488">
        <f t="shared" si="280"/>
        <v>279.23557740397581</v>
      </c>
      <c r="AA233" s="488">
        <f t="shared" si="280"/>
        <v>6.5643852978453737E-2</v>
      </c>
      <c r="AB233" s="488">
        <f t="shared" si="280"/>
        <v>703.48400000000004</v>
      </c>
      <c r="AC233" s="488">
        <f t="shared" si="280"/>
        <v>0</v>
      </c>
      <c r="AD233" s="488">
        <f t="shared" si="280"/>
        <v>0</v>
      </c>
      <c r="AE233" s="488">
        <f t="shared" si="280"/>
        <v>0</v>
      </c>
      <c r="AF233" s="488">
        <f t="shared" si="280"/>
        <v>3413.3070833018151</v>
      </c>
      <c r="AG233" s="488">
        <f t="shared" si="280"/>
        <v>2.9334032562741741</v>
      </c>
      <c r="AH233" s="488">
        <f t="shared" si="280"/>
        <v>1.0458998732572877</v>
      </c>
      <c r="AI233" s="488">
        <f t="shared" si="280"/>
        <v>0</v>
      </c>
    </row>
    <row r="234" spans="2:35" x14ac:dyDescent="0.25">
      <c r="B234" s="46" t="s">
        <v>119</v>
      </c>
      <c r="C234" s="46" t="s">
        <v>118</v>
      </c>
      <c r="D234" s="46" t="s">
        <v>326</v>
      </c>
      <c r="E234" s="46" t="s">
        <v>170</v>
      </c>
      <c r="F234" s="46" t="s">
        <v>12</v>
      </c>
      <c r="G234" s="46" t="s">
        <v>405</v>
      </c>
      <c r="H234" s="488">
        <f t="shared" si="281"/>
        <v>0</v>
      </c>
      <c r="I234" s="488">
        <f t="shared" si="280"/>
        <v>0</v>
      </c>
      <c r="J234" s="488">
        <f t="shared" si="280"/>
        <v>0</v>
      </c>
      <c r="K234" s="488">
        <f t="shared" si="280"/>
        <v>0</v>
      </c>
      <c r="L234" s="488">
        <f t="shared" si="280"/>
        <v>0</v>
      </c>
      <c r="M234" s="488">
        <f t="shared" si="280"/>
        <v>0</v>
      </c>
      <c r="N234" s="488">
        <f t="shared" si="280"/>
        <v>0</v>
      </c>
      <c r="O234" s="488">
        <f t="shared" si="280"/>
        <v>0</v>
      </c>
      <c r="P234" s="488">
        <f t="shared" si="280"/>
        <v>0</v>
      </c>
      <c r="Q234" s="488">
        <f t="shared" si="280"/>
        <v>0</v>
      </c>
      <c r="R234" s="488">
        <f t="shared" si="280"/>
        <v>0</v>
      </c>
      <c r="S234" s="488">
        <f t="shared" si="280"/>
        <v>3.0062786723036785</v>
      </c>
      <c r="T234" s="488">
        <f t="shared" si="280"/>
        <v>0</v>
      </c>
      <c r="U234" s="488">
        <f t="shared" si="280"/>
        <v>0</v>
      </c>
      <c r="V234" s="488">
        <f t="shared" si="280"/>
        <v>0</v>
      </c>
      <c r="W234" s="488">
        <f t="shared" si="280"/>
        <v>0</v>
      </c>
      <c r="X234" s="488">
        <f t="shared" si="280"/>
        <v>1.569744803107296E-4</v>
      </c>
      <c r="Y234" s="488">
        <f t="shared" si="280"/>
        <v>0</v>
      </c>
      <c r="Z234" s="488">
        <f t="shared" si="280"/>
        <v>0</v>
      </c>
      <c r="AA234" s="488">
        <f t="shared" si="280"/>
        <v>0</v>
      </c>
      <c r="AB234" s="488">
        <f t="shared" si="280"/>
        <v>0.56100000000000005</v>
      </c>
      <c r="AC234" s="488">
        <f t="shared" si="280"/>
        <v>0</v>
      </c>
      <c r="AD234" s="488">
        <f t="shared" si="280"/>
        <v>0</v>
      </c>
      <c r="AE234" s="488">
        <f t="shared" si="280"/>
        <v>0</v>
      </c>
      <c r="AF234" s="488">
        <f t="shared" si="280"/>
        <v>0</v>
      </c>
      <c r="AG234" s="488">
        <f t="shared" si="280"/>
        <v>0</v>
      </c>
      <c r="AH234" s="488">
        <f t="shared" si="280"/>
        <v>0</v>
      </c>
      <c r="AI234" s="488">
        <f t="shared" si="280"/>
        <v>0</v>
      </c>
    </row>
    <row r="235" spans="2:35" x14ac:dyDescent="0.25">
      <c r="B235" s="46" t="s">
        <v>119</v>
      </c>
      <c r="C235" s="46" t="s">
        <v>118</v>
      </c>
      <c r="D235" s="46" t="s">
        <v>18</v>
      </c>
      <c r="E235" s="46" t="s">
        <v>104</v>
      </c>
      <c r="F235" s="46" t="s">
        <v>12</v>
      </c>
      <c r="G235" s="46" t="s">
        <v>405</v>
      </c>
      <c r="H235" s="488">
        <f t="shared" si="281"/>
        <v>4.1818985574685906E-2</v>
      </c>
      <c r="I235" s="488">
        <f t="shared" si="280"/>
        <v>2.4003722661703118E-2</v>
      </c>
      <c r="J235" s="488">
        <f t="shared" si="280"/>
        <v>0</v>
      </c>
      <c r="K235" s="488">
        <f t="shared" si="280"/>
        <v>37.008489530013961</v>
      </c>
      <c r="L235" s="488">
        <f t="shared" si="280"/>
        <v>5.2320614239181017E-2</v>
      </c>
      <c r="M235" s="488">
        <f t="shared" si="280"/>
        <v>61.888857142857141</v>
      </c>
      <c r="N235" s="488">
        <f t="shared" si="280"/>
        <v>15.812571428571427</v>
      </c>
      <c r="O235" s="488">
        <f t="shared" si="280"/>
        <v>3.0285714285714284E-2</v>
      </c>
      <c r="P235" s="488">
        <f t="shared" si="280"/>
        <v>0</v>
      </c>
      <c r="Q235" s="488">
        <f t="shared" si="280"/>
        <v>0</v>
      </c>
      <c r="R235" s="488">
        <f t="shared" si="280"/>
        <v>0</v>
      </c>
      <c r="S235" s="488">
        <f t="shared" si="280"/>
        <v>409.2274285714285</v>
      </c>
      <c r="T235" s="488">
        <f t="shared" si="280"/>
        <v>5.0961028385295482</v>
      </c>
      <c r="U235" s="488">
        <f t="shared" si="280"/>
        <v>3.5583643555141928</v>
      </c>
      <c r="V235" s="488">
        <f t="shared" si="280"/>
        <v>45.443360167519778</v>
      </c>
      <c r="W235" s="488">
        <f t="shared" si="280"/>
        <v>0.7024839460214054</v>
      </c>
      <c r="X235" s="488">
        <f t="shared" si="280"/>
        <v>5.6461256398324799</v>
      </c>
      <c r="Y235" s="488">
        <f t="shared" si="280"/>
        <v>15.645428571428571</v>
      </c>
      <c r="Z235" s="488">
        <f t="shared" si="280"/>
        <v>2.7142857142857144</v>
      </c>
      <c r="AA235" s="488">
        <f t="shared" si="280"/>
        <v>0</v>
      </c>
      <c r="AB235" s="488">
        <f t="shared" si="280"/>
        <v>0.88232433690088419</v>
      </c>
      <c r="AC235" s="488">
        <f t="shared" si="280"/>
        <v>0</v>
      </c>
      <c r="AD235" s="488">
        <f t="shared" si="280"/>
        <v>0</v>
      </c>
      <c r="AE235" s="488">
        <f t="shared" si="280"/>
        <v>0</v>
      </c>
      <c r="AF235" s="488">
        <f t="shared" si="280"/>
        <v>0</v>
      </c>
      <c r="AG235" s="488">
        <f t="shared" si="280"/>
        <v>21.791428571428568</v>
      </c>
      <c r="AH235" s="488">
        <f t="shared" si="280"/>
        <v>3.4545439739413681</v>
      </c>
      <c r="AI235" s="488">
        <f t="shared" si="280"/>
        <v>0</v>
      </c>
    </row>
    <row r="236" spans="2:35" x14ac:dyDescent="0.25">
      <c r="B236" s="46" t="s">
        <v>119</v>
      </c>
      <c r="C236" s="46" t="s">
        <v>118</v>
      </c>
      <c r="D236" s="46" t="s">
        <v>19</v>
      </c>
      <c r="E236" s="46" t="s">
        <v>105</v>
      </c>
      <c r="F236" s="46" t="s">
        <v>12</v>
      </c>
      <c r="G236" s="46" t="s">
        <v>405</v>
      </c>
      <c r="H236" s="488">
        <f t="shared" si="281"/>
        <v>5.1126366385882474</v>
      </c>
      <c r="I236" s="488">
        <f t="shared" si="280"/>
        <v>26.169669857774892</v>
      </c>
      <c r="J236" s="488">
        <f t="shared" si="280"/>
        <v>5.0232334591446497</v>
      </c>
      <c r="K236" s="488">
        <f t="shared" si="280"/>
        <v>13.638100857349963</v>
      </c>
      <c r="L236" s="488">
        <f t="shared" si="280"/>
        <v>17.705989341136117</v>
      </c>
      <c r="M236" s="488">
        <f t="shared" si="280"/>
        <v>21.667689554909416</v>
      </c>
      <c r="N236" s="488">
        <f t="shared" si="280"/>
        <v>37.436853053008271</v>
      </c>
      <c r="O236" s="488">
        <f t="shared" si="280"/>
        <v>34.464044956385592</v>
      </c>
      <c r="P236" s="488">
        <f t="shared" si="280"/>
        <v>17.840284908515613</v>
      </c>
      <c r="Q236" s="488">
        <f t="shared" si="280"/>
        <v>47.655140992162771</v>
      </c>
      <c r="R236" s="488">
        <f t="shared" si="280"/>
        <v>2.9248470971332003</v>
      </c>
      <c r="S236" s="488">
        <f t="shared" si="280"/>
        <v>902.13042222448382</v>
      </c>
      <c r="T236" s="488">
        <f t="shared" si="280"/>
        <v>21.841961120043393</v>
      </c>
      <c r="U236" s="488">
        <f t="shared" si="280"/>
        <v>34.684342060748264</v>
      </c>
      <c r="V236" s="488">
        <f t="shared" si="280"/>
        <v>31.116735278251053</v>
      </c>
      <c r="W236" s="488">
        <f t="shared" si="280"/>
        <v>100.14626402259437</v>
      </c>
      <c r="X236" s="488">
        <f t="shared" si="280"/>
        <v>152.4522466362256</v>
      </c>
      <c r="Y236" s="488">
        <f t="shared" si="280"/>
        <v>71.390203533885042</v>
      </c>
      <c r="Z236" s="488">
        <f t="shared" si="280"/>
        <v>108.63266383359426</v>
      </c>
      <c r="AA236" s="488">
        <f t="shared" si="280"/>
        <v>44.232049879070388</v>
      </c>
      <c r="AB236" s="488">
        <f t="shared" si="280"/>
        <v>0</v>
      </c>
      <c r="AC236" s="488">
        <f t="shared" si="280"/>
        <v>28.499719324247192</v>
      </c>
      <c r="AD236" s="488">
        <f t="shared" si="280"/>
        <v>98.792931022742081</v>
      </c>
      <c r="AE236" s="488">
        <f t="shared" si="280"/>
        <v>2.5322924623789151</v>
      </c>
      <c r="AF236" s="488">
        <f t="shared" si="280"/>
        <v>3.6648922188616995</v>
      </c>
      <c r="AG236" s="488">
        <f t="shared" si="280"/>
        <v>56.34860210243793</v>
      </c>
      <c r="AH236" s="488">
        <f t="shared" si="280"/>
        <v>7.2200440965808301</v>
      </c>
      <c r="AI236" s="488">
        <f t="shared" si="280"/>
        <v>56.411556852981697</v>
      </c>
    </row>
    <row r="237" spans="2:35" x14ac:dyDescent="0.25">
      <c r="B237" s="46" t="s">
        <v>119</v>
      </c>
      <c r="C237" s="46" t="s">
        <v>118</v>
      </c>
      <c r="D237" s="46" t="s">
        <v>458</v>
      </c>
      <c r="E237" s="46" t="s">
        <v>457</v>
      </c>
      <c r="F237" s="46" t="s">
        <v>12</v>
      </c>
      <c r="G237" s="46" t="s">
        <v>405</v>
      </c>
      <c r="H237" s="488">
        <f t="shared" si="281"/>
        <v>0</v>
      </c>
      <c r="I237" s="488">
        <f t="shared" si="280"/>
        <v>0</v>
      </c>
      <c r="J237" s="488">
        <f t="shared" si="280"/>
        <v>0</v>
      </c>
      <c r="K237" s="488">
        <f t="shared" si="280"/>
        <v>0</v>
      </c>
      <c r="L237" s="488">
        <f t="shared" si="280"/>
        <v>0</v>
      </c>
      <c r="M237" s="488">
        <f t="shared" si="280"/>
        <v>0</v>
      </c>
      <c r="N237" s="488">
        <f t="shared" si="280"/>
        <v>0</v>
      </c>
      <c r="O237" s="488">
        <f t="shared" si="280"/>
        <v>0</v>
      </c>
      <c r="P237" s="488">
        <f t="shared" si="280"/>
        <v>0</v>
      </c>
      <c r="Q237" s="488">
        <f t="shared" si="280"/>
        <v>0</v>
      </c>
      <c r="R237" s="488">
        <f t="shared" si="280"/>
        <v>0</v>
      </c>
      <c r="S237" s="488">
        <f t="shared" si="280"/>
        <v>6.9074105308654179</v>
      </c>
      <c r="T237" s="488">
        <f t="shared" si="280"/>
        <v>0</v>
      </c>
      <c r="U237" s="488">
        <f t="shared" si="280"/>
        <v>0</v>
      </c>
      <c r="V237" s="488">
        <f t="shared" si="280"/>
        <v>0</v>
      </c>
      <c r="W237" s="488">
        <f t="shared" si="280"/>
        <v>0</v>
      </c>
      <c r="X237" s="488">
        <f t="shared" si="280"/>
        <v>0</v>
      </c>
      <c r="Y237" s="488">
        <f t="shared" si="280"/>
        <v>0</v>
      </c>
      <c r="Z237" s="488">
        <f t="shared" si="280"/>
        <v>0</v>
      </c>
      <c r="AA237" s="488">
        <f t="shared" si="280"/>
        <v>0</v>
      </c>
      <c r="AB237" s="488">
        <f t="shared" si="280"/>
        <v>0</v>
      </c>
      <c r="AC237" s="488">
        <f t="shared" si="280"/>
        <v>0</v>
      </c>
      <c r="AD237" s="488">
        <f t="shared" si="280"/>
        <v>0</v>
      </c>
      <c r="AE237" s="488">
        <f t="shared" si="280"/>
        <v>0</v>
      </c>
      <c r="AF237" s="488">
        <f t="shared" si="280"/>
        <v>0</v>
      </c>
      <c r="AG237" s="488">
        <f t="shared" si="280"/>
        <v>0</v>
      </c>
      <c r="AH237" s="488">
        <f t="shared" si="280"/>
        <v>0</v>
      </c>
      <c r="AI237" s="488">
        <f t="shared" si="280"/>
        <v>0</v>
      </c>
    </row>
    <row r="238" spans="2:35" x14ac:dyDescent="0.25">
      <c r="B238" s="46" t="s">
        <v>119</v>
      </c>
      <c r="C238" s="46" t="s">
        <v>118</v>
      </c>
      <c r="D238" s="46" t="s">
        <v>93</v>
      </c>
      <c r="E238" s="46" t="s">
        <v>106</v>
      </c>
      <c r="F238" s="46" t="s">
        <v>12</v>
      </c>
      <c r="G238" s="46" t="s">
        <v>405</v>
      </c>
      <c r="H238" s="488">
        <f t="shared" si="281"/>
        <v>0</v>
      </c>
      <c r="I238" s="488">
        <f t="shared" si="280"/>
        <v>80.908943526725622</v>
      </c>
      <c r="J238" s="488">
        <f t="shared" si="280"/>
        <v>0</v>
      </c>
      <c r="K238" s="488">
        <f t="shared" si="280"/>
        <v>3.3788977801048628E-2</v>
      </c>
      <c r="L238" s="488">
        <f t="shared" si="280"/>
        <v>9.3506530098738807</v>
      </c>
      <c r="M238" s="488">
        <f t="shared" si="280"/>
        <v>134.50947521480501</v>
      </c>
      <c r="N238" s="488">
        <f t="shared" si="280"/>
        <v>0.73671116986120289</v>
      </c>
      <c r="O238" s="488">
        <f t="shared" si="280"/>
        <v>104.02025908790482</v>
      </c>
      <c r="P238" s="488">
        <f t="shared" si="280"/>
        <v>9.6950185316336182</v>
      </c>
      <c r="Q238" s="488">
        <f t="shared" si="280"/>
        <v>6.6367785626491091</v>
      </c>
      <c r="R238" s="488">
        <f t="shared" si="280"/>
        <v>1.3694236588720772</v>
      </c>
      <c r="S238" s="488">
        <f t="shared" si="280"/>
        <v>941.42193768664742</v>
      </c>
      <c r="T238" s="488">
        <f t="shared" si="280"/>
        <v>60.869277677910517</v>
      </c>
      <c r="U238" s="488">
        <f t="shared" si="280"/>
        <v>20.493210069077552</v>
      </c>
      <c r="V238" s="488">
        <f t="shared" si="280"/>
        <v>79.376207162043968</v>
      </c>
      <c r="W238" s="488">
        <f t="shared" si="280"/>
        <v>218.17295729714166</v>
      </c>
      <c r="X238" s="488">
        <f t="shared" si="280"/>
        <v>27.948673714482883</v>
      </c>
      <c r="Y238" s="488">
        <f t="shared" si="280"/>
        <v>0.18009517514871118</v>
      </c>
      <c r="Z238" s="488">
        <f t="shared" si="280"/>
        <v>13.427325842696629</v>
      </c>
      <c r="AA238" s="488">
        <f t="shared" si="280"/>
        <v>58.921676911145582</v>
      </c>
      <c r="AB238" s="488">
        <f t="shared" si="280"/>
        <v>39.640434433533962</v>
      </c>
      <c r="AC238" s="488">
        <f t="shared" si="280"/>
        <v>37.102151345522721</v>
      </c>
      <c r="AD238" s="488">
        <f t="shared" si="280"/>
        <v>128.98663141847115</v>
      </c>
      <c r="AE238" s="488">
        <f t="shared" si="280"/>
        <v>0.54993292122724435</v>
      </c>
      <c r="AF238" s="488">
        <f t="shared" si="280"/>
        <v>0</v>
      </c>
      <c r="AG238" s="488">
        <f t="shared" si="280"/>
        <v>625.90709583608725</v>
      </c>
      <c r="AH238" s="488">
        <f t="shared" si="280"/>
        <v>100.5829544183637</v>
      </c>
      <c r="AI238" s="488">
        <f t="shared" si="280"/>
        <v>100.89556814306509</v>
      </c>
    </row>
    <row r="239" spans="2:35" x14ac:dyDescent="0.25">
      <c r="B239" s="46" t="s">
        <v>119</v>
      </c>
      <c r="C239" s="46" t="s">
        <v>118</v>
      </c>
      <c r="D239" s="46" t="s">
        <v>20</v>
      </c>
      <c r="E239" s="46" t="s">
        <v>108</v>
      </c>
      <c r="F239" s="46" t="s">
        <v>12</v>
      </c>
      <c r="G239" s="46" t="s">
        <v>472</v>
      </c>
      <c r="H239" s="488">
        <f t="shared" si="281"/>
        <v>0</v>
      </c>
      <c r="I239" s="488">
        <f t="shared" si="280"/>
        <v>0</v>
      </c>
      <c r="J239" s="488">
        <f t="shared" si="280"/>
        <v>0</v>
      </c>
      <c r="K239" s="488">
        <f t="shared" si="280"/>
        <v>0</v>
      </c>
      <c r="L239" s="488">
        <f t="shared" si="280"/>
        <v>0</v>
      </c>
      <c r="M239" s="488">
        <f t="shared" si="280"/>
        <v>0</v>
      </c>
      <c r="N239" s="488">
        <f t="shared" si="280"/>
        <v>0</v>
      </c>
      <c r="O239" s="488">
        <f t="shared" si="280"/>
        <v>0</v>
      </c>
      <c r="P239" s="488">
        <f t="shared" si="280"/>
        <v>0</v>
      </c>
      <c r="Q239" s="488">
        <f t="shared" si="280"/>
        <v>0</v>
      </c>
      <c r="R239" s="488">
        <f t="shared" si="280"/>
        <v>0</v>
      </c>
      <c r="S239" s="488">
        <f t="shared" si="280"/>
        <v>0</v>
      </c>
      <c r="T239" s="488">
        <f t="shared" si="280"/>
        <v>0</v>
      </c>
      <c r="U239" s="488">
        <f t="shared" si="280"/>
        <v>0</v>
      </c>
      <c r="V239" s="488">
        <f t="shared" si="280"/>
        <v>0</v>
      </c>
      <c r="W239" s="488">
        <f t="shared" si="280"/>
        <v>0</v>
      </c>
      <c r="X239" s="488">
        <f t="shared" si="280"/>
        <v>0</v>
      </c>
      <c r="Y239" s="488">
        <f t="shared" si="280"/>
        <v>0</v>
      </c>
      <c r="Z239" s="488">
        <f t="shared" si="280"/>
        <v>0</v>
      </c>
      <c r="AA239" s="488">
        <f t="shared" si="280"/>
        <v>0</v>
      </c>
      <c r="AB239" s="488">
        <f t="shared" si="280"/>
        <v>0</v>
      </c>
      <c r="AC239" s="488">
        <f t="shared" si="280"/>
        <v>0</v>
      </c>
      <c r="AD239" s="488">
        <f t="shared" si="280"/>
        <v>0</v>
      </c>
      <c r="AE239" s="488">
        <f t="shared" si="280"/>
        <v>0</v>
      </c>
      <c r="AF239" s="488">
        <f t="shared" si="280"/>
        <v>0</v>
      </c>
      <c r="AG239" s="488">
        <f t="shared" si="280"/>
        <v>0</v>
      </c>
      <c r="AH239" s="488">
        <f t="shared" si="280"/>
        <v>0</v>
      </c>
      <c r="AI239" s="488">
        <f t="shared" si="280"/>
        <v>0</v>
      </c>
    </row>
    <row r="240" spans="2:35" x14ac:dyDescent="0.25">
      <c r="B240" s="46" t="s">
        <v>119</v>
      </c>
      <c r="C240" s="46" t="s">
        <v>118</v>
      </c>
      <c r="D240" s="46" t="s">
        <v>0</v>
      </c>
      <c r="E240" s="46" t="s">
        <v>109</v>
      </c>
      <c r="F240" s="46" t="s">
        <v>12</v>
      </c>
      <c r="G240" s="46" t="s">
        <v>405</v>
      </c>
      <c r="H240" s="488">
        <f t="shared" si="281"/>
        <v>27.692925911104496</v>
      </c>
      <c r="I240" s="488">
        <f t="shared" si="280"/>
        <v>328.27238976473217</v>
      </c>
      <c r="J240" s="488">
        <f t="shared" si="280"/>
        <v>38.955200461601457</v>
      </c>
      <c r="K240" s="488">
        <f t="shared" si="280"/>
        <v>22.718148801325246</v>
      </c>
      <c r="L240" s="488">
        <f t="shared" si="280"/>
        <v>4.4421537497465842</v>
      </c>
      <c r="M240" s="488">
        <f t="shared" si="280"/>
        <v>94.19108734177216</v>
      </c>
      <c r="N240" s="488">
        <f t="shared" si="280"/>
        <v>112.33649620253165</v>
      </c>
      <c r="O240" s="488">
        <f t="shared" si="280"/>
        <v>48.888053164556965</v>
      </c>
      <c r="P240" s="488">
        <f t="shared" si="280"/>
        <v>244.30750146640429</v>
      </c>
      <c r="Q240" s="488">
        <f t="shared" si="280"/>
        <v>0</v>
      </c>
      <c r="R240" s="488">
        <f t="shared" si="280"/>
        <v>4.4561596031123454</v>
      </c>
      <c r="S240" s="488">
        <f t="shared" si="280"/>
        <v>885.89900875538569</v>
      </c>
      <c r="T240" s="488">
        <f t="shared" si="280"/>
        <v>9.831212396847171</v>
      </c>
      <c r="U240" s="488">
        <f t="shared" si="280"/>
        <v>0</v>
      </c>
      <c r="V240" s="488">
        <f t="shared" si="280"/>
        <v>31.096163545882316</v>
      </c>
      <c r="W240" s="488">
        <f t="shared" si="280"/>
        <v>15.245935128803952</v>
      </c>
      <c r="X240" s="488">
        <f t="shared" si="280"/>
        <v>3.2178270342964194E-2</v>
      </c>
      <c r="Y240" s="488">
        <f t="shared" si="280"/>
        <v>401.92931392405063</v>
      </c>
      <c r="Z240" s="488">
        <f t="shared" si="280"/>
        <v>1071.7642936708862</v>
      </c>
      <c r="AA240" s="488">
        <f t="shared" si="280"/>
        <v>19.799279952083001</v>
      </c>
      <c r="AB240" s="488">
        <f t="shared" si="280"/>
        <v>187.2469959221205</v>
      </c>
      <c r="AC240" s="488">
        <f t="shared" si="280"/>
        <v>36.308694286339758</v>
      </c>
      <c r="AD240" s="488">
        <f t="shared" si="280"/>
        <v>154.67500580122592</v>
      </c>
      <c r="AE240" s="488">
        <f t="shared" si="280"/>
        <v>4.1156452858584824</v>
      </c>
      <c r="AF240" s="488">
        <f t="shared" si="280"/>
        <v>13.842787011875071</v>
      </c>
      <c r="AG240" s="488">
        <f t="shared" si="280"/>
        <v>509.85756455696207</v>
      </c>
      <c r="AH240" s="488">
        <f t="shared" si="280"/>
        <v>5.8752355971491941</v>
      </c>
      <c r="AI240" s="488">
        <f t="shared" si="280"/>
        <v>3.4286053352717789</v>
      </c>
    </row>
    <row r="241" spans="2:35" x14ac:dyDescent="0.25">
      <c r="B241" s="46" t="s">
        <v>119</v>
      </c>
      <c r="C241" s="46" t="s">
        <v>118</v>
      </c>
      <c r="D241" s="46" t="s">
        <v>367</v>
      </c>
      <c r="E241" s="46" t="s">
        <v>110</v>
      </c>
      <c r="F241" s="46" t="s">
        <v>12</v>
      </c>
      <c r="G241" s="46" t="s">
        <v>405</v>
      </c>
      <c r="H241" s="488">
        <f t="shared" si="281"/>
        <v>8.8663761493504083</v>
      </c>
      <c r="I241" s="488">
        <f t="shared" si="280"/>
        <v>4.0811143580389384</v>
      </c>
      <c r="J241" s="488">
        <f t="shared" si="280"/>
        <v>12.041574610058445</v>
      </c>
      <c r="K241" s="488">
        <f t="shared" si="280"/>
        <v>20.946343948926035</v>
      </c>
      <c r="L241" s="488">
        <f t="shared" si="280"/>
        <v>2.9696061782049532E-2</v>
      </c>
      <c r="M241" s="488">
        <f t="shared" si="280"/>
        <v>88.934043037974689</v>
      </c>
      <c r="N241" s="488">
        <f t="shared" si="280"/>
        <v>25.37741012658228</v>
      </c>
      <c r="O241" s="488">
        <f t="shared" si="280"/>
        <v>20.050534177215191</v>
      </c>
      <c r="P241" s="488">
        <f t="shared" si="280"/>
        <v>8.0099934907737189E-2</v>
      </c>
      <c r="Q241" s="488">
        <f t="shared" si="280"/>
        <v>0</v>
      </c>
      <c r="R241" s="488">
        <f t="shared" si="280"/>
        <v>0.44604609154705621</v>
      </c>
      <c r="S241" s="488">
        <f t="shared" si="280"/>
        <v>1305.8027981254763</v>
      </c>
      <c r="T241" s="488">
        <f t="shared" si="280"/>
        <v>0.48137763148404228</v>
      </c>
      <c r="U241" s="488">
        <f t="shared" si="280"/>
        <v>0</v>
      </c>
      <c r="V241" s="488">
        <f t="shared" si="280"/>
        <v>8.410062283791861</v>
      </c>
      <c r="W241" s="488">
        <f t="shared" si="280"/>
        <v>32.974999556286114</v>
      </c>
      <c r="X241" s="488">
        <f t="shared" si="280"/>
        <v>0.47673322507766103</v>
      </c>
      <c r="Y241" s="488">
        <f t="shared" si="280"/>
        <v>743.33131139240504</v>
      </c>
      <c r="Z241" s="488">
        <f t="shared" si="280"/>
        <v>95.423468354430383</v>
      </c>
      <c r="AA241" s="488">
        <f t="shared" si="280"/>
        <v>30.100442625373145</v>
      </c>
      <c r="AB241" s="488">
        <f t="shared" si="280"/>
        <v>10.302730120337424</v>
      </c>
      <c r="AC241" s="488">
        <f t="shared" si="280"/>
        <v>22.693398533274959</v>
      </c>
      <c r="AD241" s="488">
        <f t="shared" si="280"/>
        <v>101.84179630035027</v>
      </c>
      <c r="AE241" s="488">
        <f t="shared" si="280"/>
        <v>0</v>
      </c>
      <c r="AF241" s="488">
        <f t="shared" si="280"/>
        <v>19.675284312995572</v>
      </c>
      <c r="AG241" s="488">
        <f t="shared" si="280"/>
        <v>103.03019999999999</v>
      </c>
      <c r="AH241" s="488">
        <f t="shared" si="280"/>
        <v>19.464322702198849</v>
      </c>
      <c r="AI241" s="488">
        <f t="shared" si="280"/>
        <v>8.0115616605681694</v>
      </c>
    </row>
    <row r="242" spans="2:35" x14ac:dyDescent="0.25">
      <c r="B242" s="46" t="s">
        <v>119</v>
      </c>
      <c r="C242" s="46" t="s">
        <v>118</v>
      </c>
      <c r="D242" s="46" t="s">
        <v>21</v>
      </c>
      <c r="E242" s="46" t="s">
        <v>107</v>
      </c>
      <c r="F242" s="46" t="s">
        <v>12</v>
      </c>
      <c r="G242" s="46" t="s">
        <v>405</v>
      </c>
      <c r="H242" s="488">
        <f t="shared" si="281"/>
        <v>0</v>
      </c>
      <c r="I242" s="488">
        <f t="shared" ref="I242:AI243" si="282">SUMIFS(I$6:I$17,$E$6:$E$17,$E242)*SUMIFS(I$63:I$194,$E$63:$E$194,$E242,$C$63:$C$194,$C242)/1000</f>
        <v>0</v>
      </c>
      <c r="J242" s="488">
        <f t="shared" si="282"/>
        <v>0</v>
      </c>
      <c r="K242" s="488">
        <f t="shared" si="282"/>
        <v>0</v>
      </c>
      <c r="L242" s="488">
        <f t="shared" si="282"/>
        <v>0</v>
      </c>
      <c r="M242" s="488">
        <f t="shared" si="282"/>
        <v>0</v>
      </c>
      <c r="N242" s="488">
        <f t="shared" si="282"/>
        <v>0</v>
      </c>
      <c r="O242" s="488">
        <f t="shared" si="282"/>
        <v>0</v>
      </c>
      <c r="P242" s="488">
        <f t="shared" si="282"/>
        <v>0</v>
      </c>
      <c r="Q242" s="488">
        <f t="shared" si="282"/>
        <v>0</v>
      </c>
      <c r="R242" s="488">
        <f t="shared" si="282"/>
        <v>0</v>
      </c>
      <c r="S242" s="488">
        <f t="shared" si="282"/>
        <v>0</v>
      </c>
      <c r="T242" s="488">
        <f t="shared" si="282"/>
        <v>0</v>
      </c>
      <c r="U242" s="488">
        <f t="shared" si="282"/>
        <v>0</v>
      </c>
      <c r="V242" s="488">
        <f t="shared" si="282"/>
        <v>0</v>
      </c>
      <c r="W242" s="488">
        <f t="shared" si="282"/>
        <v>0</v>
      </c>
      <c r="X242" s="488">
        <f t="shared" si="282"/>
        <v>0</v>
      </c>
      <c r="Y242" s="488">
        <f t="shared" si="282"/>
        <v>0</v>
      </c>
      <c r="Z242" s="488">
        <f t="shared" si="282"/>
        <v>0</v>
      </c>
      <c r="AA242" s="488">
        <f t="shared" si="282"/>
        <v>0</v>
      </c>
      <c r="AB242" s="488">
        <f t="shared" si="282"/>
        <v>0</v>
      </c>
      <c r="AC242" s="488">
        <f t="shared" si="282"/>
        <v>0</v>
      </c>
      <c r="AD242" s="488">
        <f t="shared" si="282"/>
        <v>0</v>
      </c>
      <c r="AE242" s="488">
        <f t="shared" si="282"/>
        <v>0</v>
      </c>
      <c r="AF242" s="488">
        <f t="shared" si="282"/>
        <v>0</v>
      </c>
      <c r="AG242" s="488">
        <f t="shared" si="282"/>
        <v>0</v>
      </c>
      <c r="AH242" s="488">
        <f t="shared" si="282"/>
        <v>0</v>
      </c>
      <c r="AI242" s="488">
        <f t="shared" si="282"/>
        <v>0</v>
      </c>
    </row>
    <row r="243" spans="2:35" x14ac:dyDescent="0.25">
      <c r="B243" s="46" t="s">
        <v>119</v>
      </c>
      <c r="C243" s="46" t="s">
        <v>118</v>
      </c>
      <c r="D243" s="46" t="s">
        <v>22</v>
      </c>
      <c r="E243" s="46" t="s">
        <v>111</v>
      </c>
      <c r="F243" s="46" t="s">
        <v>12</v>
      </c>
      <c r="G243" s="46" t="s">
        <v>405</v>
      </c>
      <c r="H243" s="488">
        <f t="shared" si="281"/>
        <v>0</v>
      </c>
      <c r="I243" s="488">
        <f t="shared" si="282"/>
        <v>0</v>
      </c>
      <c r="J243" s="488">
        <f t="shared" si="282"/>
        <v>0</v>
      </c>
      <c r="K243" s="488">
        <f t="shared" si="282"/>
        <v>0</v>
      </c>
      <c r="L243" s="488">
        <f t="shared" si="282"/>
        <v>0</v>
      </c>
      <c r="M243" s="488">
        <f t="shared" si="282"/>
        <v>0</v>
      </c>
      <c r="N243" s="488">
        <f t="shared" si="282"/>
        <v>0</v>
      </c>
      <c r="O243" s="488">
        <f t="shared" si="282"/>
        <v>0</v>
      </c>
      <c r="P243" s="488">
        <f t="shared" si="282"/>
        <v>0</v>
      </c>
      <c r="Q243" s="488">
        <f t="shared" si="282"/>
        <v>0</v>
      </c>
      <c r="R243" s="488">
        <f t="shared" si="282"/>
        <v>0</v>
      </c>
      <c r="S243" s="488">
        <f t="shared" si="282"/>
        <v>0</v>
      </c>
      <c r="T243" s="488">
        <f t="shared" si="282"/>
        <v>0</v>
      </c>
      <c r="U243" s="488">
        <f t="shared" si="282"/>
        <v>0</v>
      </c>
      <c r="V243" s="488">
        <f t="shared" si="282"/>
        <v>0</v>
      </c>
      <c r="W243" s="488">
        <f t="shared" si="282"/>
        <v>0</v>
      </c>
      <c r="X243" s="488">
        <f t="shared" si="282"/>
        <v>0</v>
      </c>
      <c r="Y243" s="488">
        <f t="shared" si="282"/>
        <v>0</v>
      </c>
      <c r="Z243" s="488">
        <f t="shared" si="282"/>
        <v>0</v>
      </c>
      <c r="AA243" s="488">
        <f t="shared" si="282"/>
        <v>0</v>
      </c>
      <c r="AB243" s="488">
        <f t="shared" si="282"/>
        <v>0</v>
      </c>
      <c r="AC243" s="488">
        <f t="shared" si="282"/>
        <v>0</v>
      </c>
      <c r="AD243" s="488">
        <f t="shared" si="282"/>
        <v>0</v>
      </c>
      <c r="AE243" s="488">
        <f t="shared" si="282"/>
        <v>0</v>
      </c>
      <c r="AF243" s="488">
        <f t="shared" si="282"/>
        <v>0</v>
      </c>
      <c r="AG243" s="488">
        <f t="shared" si="282"/>
        <v>0</v>
      </c>
      <c r="AH243" s="488">
        <f t="shared" si="282"/>
        <v>0</v>
      </c>
      <c r="AI243" s="488">
        <f t="shared" si="282"/>
        <v>0</v>
      </c>
    </row>
    <row r="244" spans="2:35" x14ac:dyDescent="0.25">
      <c r="B244" s="62" t="s">
        <v>119</v>
      </c>
      <c r="C244" s="62" t="s">
        <v>118</v>
      </c>
      <c r="D244" s="62" t="s">
        <v>177</v>
      </c>
      <c r="E244" s="62"/>
      <c r="F244" s="62" t="s">
        <v>12</v>
      </c>
      <c r="G244" s="62"/>
      <c r="H244" s="489">
        <f>SUM(H232:H243)</f>
        <v>2366.7327161755402</v>
      </c>
      <c r="I244" s="489">
        <f t="shared" ref="I244:AI244" si="283">SUM(I232:I243)</f>
        <v>547.42267332902554</v>
      </c>
      <c r="J244" s="489">
        <f t="shared" si="283"/>
        <v>1744.9623315262659</v>
      </c>
      <c r="K244" s="489">
        <f t="shared" si="283"/>
        <v>953.28597565172493</v>
      </c>
      <c r="L244" s="489">
        <f t="shared" si="283"/>
        <v>31.598518303767584</v>
      </c>
      <c r="M244" s="489">
        <f t="shared" si="283"/>
        <v>407.02366843876081</v>
      </c>
      <c r="N244" s="489">
        <f t="shared" si="283"/>
        <v>253.80888699269838</v>
      </c>
      <c r="O244" s="489">
        <f t="shared" si="283"/>
        <v>312.81015919983548</v>
      </c>
      <c r="P244" s="489">
        <f t="shared" si="283"/>
        <v>636.08090484146123</v>
      </c>
      <c r="Q244" s="489">
        <f t="shared" si="283"/>
        <v>54.291919554811884</v>
      </c>
      <c r="R244" s="489">
        <f t="shared" si="283"/>
        <v>9.9006914472207441</v>
      </c>
      <c r="S244" s="489">
        <f t="shared" si="283"/>
        <v>4501.5483629150658</v>
      </c>
      <c r="T244" s="489">
        <f t="shared" si="283"/>
        <v>102.49521447099937</v>
      </c>
      <c r="U244" s="489">
        <f t="shared" si="283"/>
        <v>58.776155253078755</v>
      </c>
      <c r="V244" s="489">
        <f t="shared" si="283"/>
        <v>206.57689405050721</v>
      </c>
      <c r="W244" s="489">
        <f t="shared" si="283"/>
        <v>387.50729273775363</v>
      </c>
      <c r="X244" s="489">
        <f t="shared" si="283"/>
        <v>186.67066721580355</v>
      </c>
      <c r="Y244" s="489">
        <f t="shared" si="283"/>
        <v>1310.5087444292469</v>
      </c>
      <c r="Z244" s="489">
        <f t="shared" si="283"/>
        <v>1571.1976148198692</v>
      </c>
      <c r="AA244" s="489">
        <f t="shared" si="283"/>
        <v>153.11909322065057</v>
      </c>
      <c r="AB244" s="489">
        <f t="shared" si="283"/>
        <v>942.11948481289278</v>
      </c>
      <c r="AC244" s="489">
        <f t="shared" si="283"/>
        <v>124.60396348938463</v>
      </c>
      <c r="AD244" s="489">
        <f t="shared" si="283"/>
        <v>484.29636454278938</v>
      </c>
      <c r="AE244" s="489">
        <f t="shared" si="283"/>
        <v>7.1978706694646419</v>
      </c>
      <c r="AF244" s="489">
        <f t="shared" si="283"/>
        <v>3450.4900468455471</v>
      </c>
      <c r="AG244" s="489">
        <f t="shared" si="283"/>
        <v>1319.86829432319</v>
      </c>
      <c r="AH244" s="489">
        <f t="shared" si="283"/>
        <v>137.64300066149124</v>
      </c>
      <c r="AI244" s="489">
        <f t="shared" si="283"/>
        <v>168.74729199188673</v>
      </c>
    </row>
    <row r="245" spans="2:35" x14ac:dyDescent="0.25">
      <c r="B245" s="46" t="s">
        <v>94</v>
      </c>
      <c r="C245" s="46" t="s">
        <v>125</v>
      </c>
      <c r="D245" s="46" t="s">
        <v>19</v>
      </c>
      <c r="E245" s="46" t="s">
        <v>105</v>
      </c>
      <c r="F245" s="46" t="s">
        <v>12</v>
      </c>
      <c r="G245" s="46" t="s">
        <v>405</v>
      </c>
      <c r="H245" s="488">
        <f>SUMIFS(H$6:H$17,$E$6:$E$17,$E245)*SUMIFS(H$63:H$194,$E$63:$E$194,$E245,$C$63:$C$194,$C245)/1000</f>
        <v>18.481991201539731</v>
      </c>
      <c r="I245" s="488">
        <f t="shared" ref="I245:AI247" si="284">SUMIFS(I$6:I$17,$E$6:$E$17,$E245)*SUMIFS(I$63:I$194,$E$63:$E$194,$E245,$C$63:$C$194,$C245)/1000</f>
        <v>94.602382733021713</v>
      </c>
      <c r="J245" s="488">
        <f t="shared" si="284"/>
        <v>18.158802034643937</v>
      </c>
      <c r="K245" s="488">
        <f t="shared" si="284"/>
        <v>49.301227110255709</v>
      </c>
      <c r="L245" s="488">
        <f t="shared" si="284"/>
        <v>27.059457521255766</v>
      </c>
      <c r="M245" s="488">
        <f t="shared" si="284"/>
        <v>22.270400000000002</v>
      </c>
      <c r="N245" s="488">
        <f t="shared" si="284"/>
        <v>38.478200000000001</v>
      </c>
      <c r="O245" s="488">
        <f t="shared" si="284"/>
        <v>35.422700000000006</v>
      </c>
      <c r="P245" s="488">
        <f t="shared" si="284"/>
        <v>32.038721144586603</v>
      </c>
      <c r="Q245" s="488">
        <f t="shared" si="284"/>
        <v>51.756973774073224</v>
      </c>
      <c r="R245" s="488">
        <f t="shared" si="284"/>
        <v>7.964211496053256</v>
      </c>
      <c r="S245" s="488">
        <f t="shared" si="284"/>
        <v>305.4037980065437</v>
      </c>
      <c r="T245" s="488">
        <f t="shared" si="284"/>
        <v>5.1029926606806235</v>
      </c>
      <c r="U245" s="488">
        <f t="shared" si="284"/>
        <v>55.356656016261475</v>
      </c>
      <c r="V245" s="488">
        <f t="shared" si="284"/>
        <v>7.2698816226508107</v>
      </c>
      <c r="W245" s="488">
        <f t="shared" si="284"/>
        <v>89.437810336671831</v>
      </c>
      <c r="X245" s="488">
        <f t="shared" si="284"/>
        <v>53.986178634881995</v>
      </c>
      <c r="Y245" s="488">
        <f t="shared" si="284"/>
        <v>73.376000000000005</v>
      </c>
      <c r="Z245" s="488">
        <f t="shared" si="284"/>
        <v>111.65440000000001</v>
      </c>
      <c r="AA245" s="488">
        <f t="shared" si="284"/>
        <v>90.742400000000004</v>
      </c>
      <c r="AB245" s="488">
        <f t="shared" si="284"/>
        <v>151.60634224736438</v>
      </c>
      <c r="AC245" s="488">
        <f t="shared" si="284"/>
        <v>32.918252175567552</v>
      </c>
      <c r="AD245" s="488">
        <f t="shared" si="284"/>
        <v>114.1095664687209</v>
      </c>
      <c r="AE245" s="488">
        <f t="shared" si="284"/>
        <v>13.545046293792891</v>
      </c>
      <c r="AF245" s="488">
        <f t="shared" si="284"/>
        <v>13.248448996425626</v>
      </c>
      <c r="AG245" s="488">
        <f t="shared" si="284"/>
        <v>57.915999999999997</v>
      </c>
      <c r="AH245" s="488">
        <f t="shared" si="284"/>
        <v>11.081895880992457</v>
      </c>
      <c r="AI245" s="488">
        <f t="shared" si="284"/>
        <v>301.74127215967371</v>
      </c>
    </row>
    <row r="246" spans="2:35" x14ac:dyDescent="0.25">
      <c r="B246" s="47" t="s">
        <v>94</v>
      </c>
      <c r="C246" s="47" t="s">
        <v>125</v>
      </c>
      <c r="D246" s="62" t="s">
        <v>177</v>
      </c>
      <c r="E246" s="62"/>
      <c r="F246" s="47" t="s">
        <v>12</v>
      </c>
      <c r="G246" s="47"/>
      <c r="H246" s="489">
        <f>H245</f>
        <v>18.481991201539731</v>
      </c>
      <c r="I246" s="489">
        <f t="shared" ref="I246:AI246" si="285">I245</f>
        <v>94.602382733021713</v>
      </c>
      <c r="J246" s="489">
        <f t="shared" si="285"/>
        <v>18.158802034643937</v>
      </c>
      <c r="K246" s="489">
        <f t="shared" si="285"/>
        <v>49.301227110255709</v>
      </c>
      <c r="L246" s="489">
        <f t="shared" si="285"/>
        <v>27.059457521255766</v>
      </c>
      <c r="M246" s="489">
        <f t="shared" si="285"/>
        <v>22.270400000000002</v>
      </c>
      <c r="N246" s="489">
        <f t="shared" si="285"/>
        <v>38.478200000000001</v>
      </c>
      <c r="O246" s="489">
        <f t="shared" si="285"/>
        <v>35.422700000000006</v>
      </c>
      <c r="P246" s="489">
        <f t="shared" si="285"/>
        <v>32.038721144586603</v>
      </c>
      <c r="Q246" s="489">
        <f t="shared" si="285"/>
        <v>51.756973774073224</v>
      </c>
      <c r="R246" s="489">
        <f t="shared" si="285"/>
        <v>7.964211496053256</v>
      </c>
      <c r="S246" s="489">
        <f t="shared" si="285"/>
        <v>305.4037980065437</v>
      </c>
      <c r="T246" s="489">
        <f t="shared" si="285"/>
        <v>5.1029926606806235</v>
      </c>
      <c r="U246" s="489">
        <f t="shared" si="285"/>
        <v>55.356656016261475</v>
      </c>
      <c r="V246" s="489">
        <f t="shared" si="285"/>
        <v>7.2698816226508107</v>
      </c>
      <c r="W246" s="489">
        <f t="shared" si="285"/>
        <v>89.437810336671831</v>
      </c>
      <c r="X246" s="489">
        <f t="shared" si="285"/>
        <v>53.986178634881995</v>
      </c>
      <c r="Y246" s="489">
        <f t="shared" si="285"/>
        <v>73.376000000000005</v>
      </c>
      <c r="Z246" s="489">
        <f t="shared" si="285"/>
        <v>111.65440000000001</v>
      </c>
      <c r="AA246" s="489">
        <f t="shared" si="285"/>
        <v>90.742400000000004</v>
      </c>
      <c r="AB246" s="489">
        <f t="shared" si="285"/>
        <v>151.60634224736438</v>
      </c>
      <c r="AC246" s="489">
        <f t="shared" si="285"/>
        <v>32.918252175567552</v>
      </c>
      <c r="AD246" s="489">
        <f t="shared" si="285"/>
        <v>114.1095664687209</v>
      </c>
      <c r="AE246" s="489">
        <f t="shared" si="285"/>
        <v>13.545046293792891</v>
      </c>
      <c r="AF246" s="489">
        <f t="shared" si="285"/>
        <v>13.248448996425626</v>
      </c>
      <c r="AG246" s="489">
        <f t="shared" si="285"/>
        <v>57.915999999999997</v>
      </c>
      <c r="AH246" s="489">
        <f t="shared" si="285"/>
        <v>11.081895880992457</v>
      </c>
      <c r="AI246" s="489">
        <f t="shared" si="285"/>
        <v>301.74127215967371</v>
      </c>
    </row>
    <row r="247" spans="2:35" x14ac:dyDescent="0.25">
      <c r="B247" s="64" t="s">
        <v>148</v>
      </c>
      <c r="C247" s="64" t="s">
        <v>173</v>
      </c>
      <c r="D247" s="46" t="s">
        <v>19</v>
      </c>
      <c r="E247" s="46" t="s">
        <v>105</v>
      </c>
      <c r="F247" s="64" t="s">
        <v>12</v>
      </c>
      <c r="G247" s="64" t="s">
        <v>405</v>
      </c>
      <c r="H247" s="488">
        <f>SUMIFS(H$6:H$17,$E$6:$E$17,$E247)*SUMIFS(H$63:H$194,$E$63:$E$194,$E247,$C$63:$C$194,$C247)/1000</f>
        <v>54.068185117604415</v>
      </c>
      <c r="I247" s="488">
        <f t="shared" si="284"/>
        <v>276.75476556602592</v>
      </c>
      <c r="J247" s="488">
        <f t="shared" si="284"/>
        <v>53.122710600644886</v>
      </c>
      <c r="K247" s="488">
        <f t="shared" si="284"/>
        <v>144.22839210638139</v>
      </c>
      <c r="L247" s="488">
        <f t="shared" si="284"/>
        <v>111.33582110167598</v>
      </c>
      <c r="M247" s="488">
        <f t="shared" si="284"/>
        <v>144.44628262133745</v>
      </c>
      <c r="N247" s="488">
        <f t="shared" si="284"/>
        <v>249.57041418027276</v>
      </c>
      <c r="O247" s="488">
        <f t="shared" si="284"/>
        <v>229.75237694028172</v>
      </c>
      <c r="P247" s="488">
        <f t="shared" si="284"/>
        <v>282.4650449855551</v>
      </c>
      <c r="Q247" s="488">
        <f t="shared" si="284"/>
        <v>144.88818951958979</v>
      </c>
      <c r="R247" s="488">
        <f t="shared" si="284"/>
        <v>32.684309618515698</v>
      </c>
      <c r="S247" s="488">
        <f t="shared" si="284"/>
        <v>1491.8762272545666</v>
      </c>
      <c r="T247" s="488">
        <f t="shared" si="284"/>
        <v>173.74644740445746</v>
      </c>
      <c r="U247" s="488">
        <f t="shared" si="284"/>
        <v>201.05108935246471</v>
      </c>
      <c r="V247" s="488">
        <f t="shared" si="284"/>
        <v>247.52457802243038</v>
      </c>
      <c r="W247" s="488">
        <f t="shared" si="284"/>
        <v>646.46658020062557</v>
      </c>
      <c r="X247" s="488">
        <f t="shared" si="284"/>
        <v>555.94061127950295</v>
      </c>
      <c r="Y247" s="488">
        <f t="shared" si="284"/>
        <v>475.91827868485774</v>
      </c>
      <c r="Z247" s="488">
        <f t="shared" si="284"/>
        <v>724.19278586445944</v>
      </c>
      <c r="AA247" s="488">
        <f t="shared" si="284"/>
        <v>509.55647883023374</v>
      </c>
      <c r="AB247" s="488">
        <f t="shared" si="284"/>
        <v>295.20989890184319</v>
      </c>
      <c r="AC247" s="488">
        <f t="shared" si="284"/>
        <v>193.41753568531635</v>
      </c>
      <c r="AD247" s="488">
        <f t="shared" si="284"/>
        <v>670.47275252606187</v>
      </c>
      <c r="AE247" s="488">
        <f t="shared" si="284"/>
        <v>114.6238713293786</v>
      </c>
      <c r="AF247" s="488">
        <f t="shared" si="284"/>
        <v>38.757706626340394</v>
      </c>
      <c r="AG247" s="488">
        <f t="shared" si="284"/>
        <v>375.64439364795328</v>
      </c>
      <c r="AH247" s="488">
        <f t="shared" si="284"/>
        <v>154.93841486337939</v>
      </c>
      <c r="AI247" s="488">
        <f t="shared" si="284"/>
        <v>2553.4613913164007</v>
      </c>
    </row>
    <row r="248" spans="2:35" x14ac:dyDescent="0.25">
      <c r="B248" s="62" t="s">
        <v>148</v>
      </c>
      <c r="C248" s="62" t="s">
        <v>173</v>
      </c>
      <c r="D248" s="62" t="s">
        <v>177</v>
      </c>
      <c r="E248" s="62"/>
      <c r="F248" s="62" t="s">
        <v>12</v>
      </c>
      <c r="G248" s="62"/>
      <c r="H248" s="489">
        <f>H247</f>
        <v>54.068185117604415</v>
      </c>
      <c r="I248" s="489">
        <f t="shared" ref="I248:AI248" si="286">I247</f>
        <v>276.75476556602592</v>
      </c>
      <c r="J248" s="489">
        <f t="shared" si="286"/>
        <v>53.122710600644886</v>
      </c>
      <c r="K248" s="489">
        <f t="shared" si="286"/>
        <v>144.22839210638139</v>
      </c>
      <c r="L248" s="489">
        <f t="shared" si="286"/>
        <v>111.33582110167598</v>
      </c>
      <c r="M248" s="489">
        <f t="shared" si="286"/>
        <v>144.44628262133745</v>
      </c>
      <c r="N248" s="489">
        <f t="shared" si="286"/>
        <v>249.57041418027276</v>
      </c>
      <c r="O248" s="489">
        <f t="shared" si="286"/>
        <v>229.75237694028172</v>
      </c>
      <c r="P248" s="489">
        <f t="shared" si="286"/>
        <v>282.4650449855551</v>
      </c>
      <c r="Q248" s="489">
        <f t="shared" si="286"/>
        <v>144.88818951958979</v>
      </c>
      <c r="R248" s="489">
        <f t="shared" si="286"/>
        <v>32.684309618515698</v>
      </c>
      <c r="S248" s="489">
        <f t="shared" si="286"/>
        <v>1491.8762272545666</v>
      </c>
      <c r="T248" s="489">
        <f t="shared" si="286"/>
        <v>173.74644740445746</v>
      </c>
      <c r="U248" s="489">
        <f t="shared" si="286"/>
        <v>201.05108935246471</v>
      </c>
      <c r="V248" s="489">
        <f t="shared" si="286"/>
        <v>247.52457802243038</v>
      </c>
      <c r="W248" s="489">
        <f t="shared" si="286"/>
        <v>646.46658020062557</v>
      </c>
      <c r="X248" s="489">
        <f t="shared" si="286"/>
        <v>555.94061127950295</v>
      </c>
      <c r="Y248" s="489">
        <f t="shared" si="286"/>
        <v>475.91827868485774</v>
      </c>
      <c r="Z248" s="489">
        <f t="shared" si="286"/>
        <v>724.19278586445944</v>
      </c>
      <c r="AA248" s="489">
        <f t="shared" si="286"/>
        <v>509.55647883023374</v>
      </c>
      <c r="AB248" s="489">
        <f t="shared" si="286"/>
        <v>295.20989890184319</v>
      </c>
      <c r="AC248" s="489">
        <f t="shared" si="286"/>
        <v>193.41753568531635</v>
      </c>
      <c r="AD248" s="489">
        <f t="shared" si="286"/>
        <v>670.47275252606187</v>
      </c>
      <c r="AE248" s="489">
        <f t="shared" si="286"/>
        <v>114.6238713293786</v>
      </c>
      <c r="AF248" s="489">
        <f t="shared" si="286"/>
        <v>38.757706626340394</v>
      </c>
      <c r="AG248" s="489">
        <f t="shared" si="286"/>
        <v>375.64439364795328</v>
      </c>
      <c r="AH248" s="489">
        <f t="shared" si="286"/>
        <v>154.93841486337939</v>
      </c>
      <c r="AI248" s="489">
        <f t="shared" si="286"/>
        <v>2553.4613913164007</v>
      </c>
    </row>
    <row r="249" spans="2:35" x14ac:dyDescent="0.25">
      <c r="B249" s="46" t="s">
        <v>169</v>
      </c>
      <c r="C249" s="46" t="s">
        <v>120</v>
      </c>
      <c r="D249" s="46" t="s">
        <v>78</v>
      </c>
      <c r="E249" s="46" t="s">
        <v>103</v>
      </c>
      <c r="F249" s="46" t="s">
        <v>12</v>
      </c>
      <c r="G249" s="46" t="s">
        <v>405</v>
      </c>
      <c r="H249" s="488">
        <f>SUMIFS(H$6:H$17,$E$6:$E$17,$E249)*SUMIFS(H$63:H$194,$E$63:$E$194,$E249,$C$63:$C$194,$C249)/1000</f>
        <v>0</v>
      </c>
      <c r="I249" s="488">
        <f t="shared" ref="I249:AI258" si="287">SUMIFS(I$6:I$17,$E$6:$E$17,$E249)*SUMIFS(I$63:I$194,$E$63:$E$194,$E249,$C$63:$C$194,$C249)/1000</f>
        <v>0</v>
      </c>
      <c r="J249" s="488">
        <f t="shared" si="287"/>
        <v>0</v>
      </c>
      <c r="K249" s="488">
        <f t="shared" si="287"/>
        <v>0</v>
      </c>
      <c r="L249" s="488">
        <f t="shared" si="287"/>
        <v>0</v>
      </c>
      <c r="M249" s="488">
        <f t="shared" si="287"/>
        <v>0</v>
      </c>
      <c r="N249" s="488">
        <f t="shared" si="287"/>
        <v>0</v>
      </c>
      <c r="O249" s="488">
        <f t="shared" si="287"/>
        <v>0</v>
      </c>
      <c r="P249" s="488">
        <f t="shared" si="287"/>
        <v>0</v>
      </c>
      <c r="Q249" s="488">
        <f t="shared" si="287"/>
        <v>0</v>
      </c>
      <c r="R249" s="488">
        <f t="shared" si="287"/>
        <v>1.1231028667790892E-3</v>
      </c>
      <c r="S249" s="488">
        <f t="shared" si="287"/>
        <v>0</v>
      </c>
      <c r="T249" s="488">
        <f t="shared" si="287"/>
        <v>0</v>
      </c>
      <c r="U249" s="488">
        <f t="shared" si="287"/>
        <v>0</v>
      </c>
      <c r="V249" s="488">
        <f t="shared" si="287"/>
        <v>0</v>
      </c>
      <c r="W249" s="488">
        <f t="shared" si="287"/>
        <v>0</v>
      </c>
      <c r="X249" s="488">
        <f t="shared" si="287"/>
        <v>0.40034364932788069</v>
      </c>
      <c r="Y249" s="488">
        <f t="shared" si="287"/>
        <v>0</v>
      </c>
      <c r="Z249" s="488">
        <f t="shared" si="287"/>
        <v>0</v>
      </c>
      <c r="AA249" s="488">
        <f t="shared" si="287"/>
        <v>0</v>
      </c>
      <c r="AB249" s="488">
        <f t="shared" si="287"/>
        <v>0</v>
      </c>
      <c r="AC249" s="488">
        <f t="shared" si="287"/>
        <v>0</v>
      </c>
      <c r="AD249" s="488">
        <f t="shared" si="287"/>
        <v>0</v>
      </c>
      <c r="AE249" s="488">
        <f t="shared" si="287"/>
        <v>0</v>
      </c>
      <c r="AF249" s="488">
        <f t="shared" si="287"/>
        <v>0</v>
      </c>
      <c r="AG249" s="488">
        <f t="shared" si="287"/>
        <v>0</v>
      </c>
      <c r="AH249" s="488">
        <f t="shared" si="287"/>
        <v>0</v>
      </c>
      <c r="AI249" s="488">
        <f t="shared" si="287"/>
        <v>0</v>
      </c>
    </row>
    <row r="250" spans="2:35" x14ac:dyDescent="0.25">
      <c r="B250" s="46" t="s">
        <v>169</v>
      </c>
      <c r="C250" s="46" t="s">
        <v>120</v>
      </c>
      <c r="D250" s="46" t="s">
        <v>115</v>
      </c>
      <c r="E250" s="46" t="s">
        <v>368</v>
      </c>
      <c r="F250" s="46" t="s">
        <v>12</v>
      </c>
      <c r="G250" s="46" t="s">
        <v>405</v>
      </c>
      <c r="H250" s="488">
        <f t="shared" ref="H250:W260" si="288">SUMIFS(H$6:H$17,$E$6:$E$17,$E250)*SUMIFS(H$63:H$194,$E$63:$E$194,$E250,$C$63:$C$194,$C250)/1000</f>
        <v>0</v>
      </c>
      <c r="I250" s="488">
        <f t="shared" si="288"/>
        <v>0</v>
      </c>
      <c r="J250" s="488">
        <f t="shared" si="288"/>
        <v>0</v>
      </c>
      <c r="K250" s="488">
        <f t="shared" si="288"/>
        <v>0</v>
      </c>
      <c r="L250" s="488">
        <f t="shared" si="288"/>
        <v>0</v>
      </c>
      <c r="M250" s="488">
        <f t="shared" si="288"/>
        <v>0</v>
      </c>
      <c r="N250" s="488">
        <f t="shared" si="288"/>
        <v>0</v>
      </c>
      <c r="O250" s="488">
        <f t="shared" si="288"/>
        <v>0</v>
      </c>
      <c r="P250" s="488">
        <f t="shared" si="288"/>
        <v>0</v>
      </c>
      <c r="Q250" s="488">
        <f t="shared" si="288"/>
        <v>0</v>
      </c>
      <c r="R250" s="488">
        <f t="shared" si="288"/>
        <v>7.3400387858347385</v>
      </c>
      <c r="S250" s="488">
        <f t="shared" si="288"/>
        <v>0</v>
      </c>
      <c r="T250" s="488">
        <f t="shared" si="288"/>
        <v>0.22991384127572653</v>
      </c>
      <c r="U250" s="488">
        <f t="shared" si="288"/>
        <v>0</v>
      </c>
      <c r="V250" s="488">
        <f t="shared" si="288"/>
        <v>0.58509241154394853</v>
      </c>
      <c r="W250" s="488">
        <f t="shared" si="288"/>
        <v>0.59467381163487187</v>
      </c>
      <c r="X250" s="488">
        <f t="shared" si="287"/>
        <v>24.31443107024964</v>
      </c>
      <c r="Y250" s="488">
        <f t="shared" si="287"/>
        <v>0</v>
      </c>
      <c r="Z250" s="488">
        <f t="shared" si="287"/>
        <v>0</v>
      </c>
      <c r="AA250" s="488">
        <f t="shared" si="287"/>
        <v>0</v>
      </c>
      <c r="AB250" s="488">
        <f t="shared" si="287"/>
        <v>0</v>
      </c>
      <c r="AC250" s="488">
        <f t="shared" si="287"/>
        <v>0</v>
      </c>
      <c r="AD250" s="488">
        <f t="shared" si="287"/>
        <v>0</v>
      </c>
      <c r="AE250" s="488">
        <f t="shared" si="287"/>
        <v>0</v>
      </c>
      <c r="AF250" s="488">
        <f t="shared" si="287"/>
        <v>0</v>
      </c>
      <c r="AG250" s="488">
        <f t="shared" si="287"/>
        <v>0</v>
      </c>
      <c r="AH250" s="488">
        <f t="shared" si="287"/>
        <v>0</v>
      </c>
      <c r="AI250" s="488">
        <f t="shared" si="287"/>
        <v>0</v>
      </c>
    </row>
    <row r="251" spans="2:35" x14ac:dyDescent="0.25">
      <c r="B251" s="46" t="s">
        <v>169</v>
      </c>
      <c r="C251" s="46" t="s">
        <v>120</v>
      </c>
      <c r="D251" s="46" t="s">
        <v>326</v>
      </c>
      <c r="E251" s="46" t="s">
        <v>170</v>
      </c>
      <c r="F251" s="46" t="s">
        <v>12</v>
      </c>
      <c r="G251" s="46" t="s">
        <v>405</v>
      </c>
      <c r="H251" s="488">
        <f t="shared" si="288"/>
        <v>0</v>
      </c>
      <c r="I251" s="488">
        <f t="shared" si="287"/>
        <v>0</v>
      </c>
      <c r="J251" s="488">
        <f t="shared" si="287"/>
        <v>0</v>
      </c>
      <c r="K251" s="488">
        <f t="shared" si="287"/>
        <v>0</v>
      </c>
      <c r="L251" s="488">
        <f t="shared" si="287"/>
        <v>0</v>
      </c>
      <c r="M251" s="488">
        <f t="shared" si="287"/>
        <v>0</v>
      </c>
      <c r="N251" s="488">
        <f t="shared" si="287"/>
        <v>0</v>
      </c>
      <c r="O251" s="488">
        <f t="shared" si="287"/>
        <v>0</v>
      </c>
      <c r="P251" s="488">
        <f t="shared" si="287"/>
        <v>0</v>
      </c>
      <c r="Q251" s="488">
        <f t="shared" si="287"/>
        <v>0</v>
      </c>
      <c r="R251" s="488">
        <f t="shared" si="287"/>
        <v>0</v>
      </c>
      <c r="S251" s="488">
        <f t="shared" si="287"/>
        <v>0</v>
      </c>
      <c r="T251" s="488">
        <f t="shared" si="287"/>
        <v>0</v>
      </c>
      <c r="U251" s="488">
        <f t="shared" si="287"/>
        <v>0</v>
      </c>
      <c r="V251" s="488">
        <f t="shared" si="287"/>
        <v>0</v>
      </c>
      <c r="W251" s="488">
        <f t="shared" si="287"/>
        <v>0</v>
      </c>
      <c r="X251" s="488">
        <f t="shared" si="287"/>
        <v>3.3867268450714694E-2</v>
      </c>
      <c r="Y251" s="488">
        <f t="shared" si="287"/>
        <v>0</v>
      </c>
      <c r="Z251" s="488">
        <f t="shared" si="287"/>
        <v>0</v>
      </c>
      <c r="AA251" s="488">
        <f t="shared" si="287"/>
        <v>0</v>
      </c>
      <c r="AB251" s="488">
        <f t="shared" si="287"/>
        <v>0</v>
      </c>
      <c r="AC251" s="488">
        <f t="shared" si="287"/>
        <v>0</v>
      </c>
      <c r="AD251" s="488">
        <f t="shared" si="287"/>
        <v>0</v>
      </c>
      <c r="AE251" s="488">
        <f t="shared" si="287"/>
        <v>0</v>
      </c>
      <c r="AF251" s="488">
        <f t="shared" si="287"/>
        <v>0</v>
      </c>
      <c r="AG251" s="488">
        <f t="shared" si="287"/>
        <v>0</v>
      </c>
      <c r="AH251" s="488">
        <f t="shared" si="287"/>
        <v>0</v>
      </c>
      <c r="AI251" s="488">
        <f t="shared" si="287"/>
        <v>0</v>
      </c>
    </row>
    <row r="252" spans="2:35" x14ac:dyDescent="0.25">
      <c r="B252" s="46" t="s">
        <v>169</v>
      </c>
      <c r="C252" s="46" t="s">
        <v>120</v>
      </c>
      <c r="D252" s="46" t="s">
        <v>18</v>
      </c>
      <c r="E252" s="46" t="s">
        <v>104</v>
      </c>
      <c r="F252" s="46" t="s">
        <v>12</v>
      </c>
      <c r="G252" s="46" t="s">
        <v>405</v>
      </c>
      <c r="H252" s="488">
        <f t="shared" si="288"/>
        <v>0</v>
      </c>
      <c r="I252" s="488">
        <f t="shared" si="287"/>
        <v>0</v>
      </c>
      <c r="J252" s="488">
        <f t="shared" si="287"/>
        <v>0</v>
      </c>
      <c r="K252" s="488">
        <f t="shared" si="287"/>
        <v>0</v>
      </c>
      <c r="L252" s="488">
        <f t="shared" si="287"/>
        <v>0</v>
      </c>
      <c r="M252" s="488">
        <f t="shared" si="287"/>
        <v>0</v>
      </c>
      <c r="N252" s="488">
        <f t="shared" si="287"/>
        <v>0</v>
      </c>
      <c r="O252" s="488">
        <f t="shared" si="287"/>
        <v>0</v>
      </c>
      <c r="P252" s="488">
        <f t="shared" si="287"/>
        <v>0</v>
      </c>
      <c r="Q252" s="488">
        <f t="shared" si="287"/>
        <v>0</v>
      </c>
      <c r="R252" s="488">
        <f t="shared" si="287"/>
        <v>0</v>
      </c>
      <c r="S252" s="488">
        <f t="shared" si="287"/>
        <v>0</v>
      </c>
      <c r="T252" s="488">
        <f t="shared" si="287"/>
        <v>0</v>
      </c>
      <c r="U252" s="488">
        <f t="shared" si="287"/>
        <v>0</v>
      </c>
      <c r="V252" s="488">
        <f t="shared" si="287"/>
        <v>0</v>
      </c>
      <c r="W252" s="488">
        <f t="shared" si="287"/>
        <v>0</v>
      </c>
      <c r="X252" s="488">
        <f t="shared" si="287"/>
        <v>0</v>
      </c>
      <c r="Y252" s="488">
        <f t="shared" si="287"/>
        <v>0</v>
      </c>
      <c r="Z252" s="488">
        <f t="shared" si="287"/>
        <v>0</v>
      </c>
      <c r="AA252" s="488">
        <f t="shared" si="287"/>
        <v>0</v>
      </c>
      <c r="AB252" s="488">
        <f t="shared" si="287"/>
        <v>0</v>
      </c>
      <c r="AC252" s="488">
        <f t="shared" si="287"/>
        <v>0</v>
      </c>
      <c r="AD252" s="488">
        <f t="shared" si="287"/>
        <v>0</v>
      </c>
      <c r="AE252" s="488">
        <f t="shared" si="287"/>
        <v>0</v>
      </c>
      <c r="AF252" s="488">
        <f t="shared" si="287"/>
        <v>0</v>
      </c>
      <c r="AG252" s="488">
        <f t="shared" si="287"/>
        <v>0</v>
      </c>
      <c r="AH252" s="488">
        <f t="shared" si="287"/>
        <v>0</v>
      </c>
      <c r="AI252" s="488">
        <f t="shared" si="287"/>
        <v>0</v>
      </c>
    </row>
    <row r="253" spans="2:35" x14ac:dyDescent="0.25">
      <c r="B253" s="46" t="s">
        <v>169</v>
      </c>
      <c r="C253" s="46" t="s">
        <v>120</v>
      </c>
      <c r="D253" s="46" t="s">
        <v>19</v>
      </c>
      <c r="E253" s="46" t="s">
        <v>105</v>
      </c>
      <c r="F253" s="46" t="s">
        <v>12</v>
      </c>
      <c r="G253" s="46" t="s">
        <v>405</v>
      </c>
      <c r="H253" s="488">
        <f t="shared" si="288"/>
        <v>0.54270447671657474</v>
      </c>
      <c r="I253" s="488">
        <f t="shared" si="287"/>
        <v>2.7779007173744601</v>
      </c>
      <c r="J253" s="488">
        <f t="shared" si="287"/>
        <v>0.53321436248656495</v>
      </c>
      <c r="K253" s="488">
        <f t="shared" si="287"/>
        <v>1.4476793311170548</v>
      </c>
      <c r="L253" s="488">
        <f t="shared" si="287"/>
        <v>0</v>
      </c>
      <c r="M253" s="488">
        <f t="shared" si="287"/>
        <v>0</v>
      </c>
      <c r="N253" s="488">
        <f t="shared" si="287"/>
        <v>0</v>
      </c>
      <c r="O253" s="488">
        <f t="shared" si="287"/>
        <v>0</v>
      </c>
      <c r="P253" s="488">
        <f t="shared" si="287"/>
        <v>0</v>
      </c>
      <c r="Q253" s="488">
        <f t="shared" si="287"/>
        <v>0</v>
      </c>
      <c r="R253" s="488">
        <f t="shared" si="287"/>
        <v>1.3203134725170547</v>
      </c>
      <c r="S253" s="488">
        <f t="shared" si="287"/>
        <v>0</v>
      </c>
      <c r="T253" s="488">
        <f t="shared" si="287"/>
        <v>2.1341787628607389</v>
      </c>
      <c r="U253" s="488">
        <f t="shared" si="287"/>
        <v>150.03058284941065</v>
      </c>
      <c r="V253" s="488">
        <f t="shared" si="287"/>
        <v>3.0404172608595412</v>
      </c>
      <c r="W253" s="488">
        <f t="shared" si="287"/>
        <v>29.203078510919113</v>
      </c>
      <c r="X253" s="488">
        <f t="shared" si="287"/>
        <v>14.085125442969785</v>
      </c>
      <c r="Y253" s="488">
        <f t="shared" si="287"/>
        <v>0</v>
      </c>
      <c r="Z253" s="488">
        <f t="shared" si="287"/>
        <v>0</v>
      </c>
      <c r="AA253" s="488">
        <f t="shared" si="287"/>
        <v>0</v>
      </c>
      <c r="AB253" s="488">
        <f t="shared" si="287"/>
        <v>0</v>
      </c>
      <c r="AC253" s="488">
        <f t="shared" si="287"/>
        <v>41.654979601237741</v>
      </c>
      <c r="AD253" s="488">
        <f t="shared" si="287"/>
        <v>144.39501946244206</v>
      </c>
      <c r="AE253" s="488">
        <f t="shared" si="287"/>
        <v>4.1836530208442024</v>
      </c>
      <c r="AF253" s="488">
        <f t="shared" si="287"/>
        <v>0.38902694528457527</v>
      </c>
      <c r="AG253" s="488">
        <f t="shared" si="287"/>
        <v>0</v>
      </c>
      <c r="AH253" s="488">
        <f t="shared" si="287"/>
        <v>9.9598776260244808</v>
      </c>
      <c r="AI253" s="488">
        <f t="shared" si="287"/>
        <v>93.198705814884249</v>
      </c>
    </row>
    <row r="254" spans="2:35" x14ac:dyDescent="0.25">
      <c r="B254" s="46" t="s">
        <v>169</v>
      </c>
      <c r="C254" s="46" t="s">
        <v>120</v>
      </c>
      <c r="D254" s="46" t="s">
        <v>458</v>
      </c>
      <c r="E254" s="46" t="s">
        <v>457</v>
      </c>
      <c r="F254" s="46" t="s">
        <v>12</v>
      </c>
      <c r="G254" s="46" t="s">
        <v>405</v>
      </c>
      <c r="H254" s="488">
        <f t="shared" si="288"/>
        <v>0</v>
      </c>
      <c r="I254" s="488">
        <f t="shared" si="287"/>
        <v>0</v>
      </c>
      <c r="J254" s="488">
        <f t="shared" si="287"/>
        <v>0</v>
      </c>
      <c r="K254" s="488">
        <f t="shared" si="287"/>
        <v>0</v>
      </c>
      <c r="L254" s="488">
        <f t="shared" si="287"/>
        <v>0</v>
      </c>
      <c r="M254" s="488">
        <f t="shared" si="287"/>
        <v>0</v>
      </c>
      <c r="N254" s="488">
        <f t="shared" si="287"/>
        <v>0</v>
      </c>
      <c r="O254" s="488">
        <f t="shared" si="287"/>
        <v>0</v>
      </c>
      <c r="P254" s="488">
        <f t="shared" si="287"/>
        <v>0</v>
      </c>
      <c r="Q254" s="488">
        <f t="shared" si="287"/>
        <v>0</v>
      </c>
      <c r="R254" s="488">
        <f t="shared" si="287"/>
        <v>0</v>
      </c>
      <c r="S254" s="488">
        <f t="shared" si="287"/>
        <v>0</v>
      </c>
      <c r="T254" s="488">
        <f t="shared" si="287"/>
        <v>0</v>
      </c>
      <c r="U254" s="488">
        <f t="shared" si="287"/>
        <v>0</v>
      </c>
      <c r="V254" s="488">
        <f t="shared" si="287"/>
        <v>0</v>
      </c>
      <c r="W254" s="488">
        <f t="shared" si="287"/>
        <v>0</v>
      </c>
      <c r="X254" s="488">
        <f t="shared" si="287"/>
        <v>0</v>
      </c>
      <c r="Y254" s="488">
        <f t="shared" si="287"/>
        <v>0</v>
      </c>
      <c r="Z254" s="488">
        <f t="shared" si="287"/>
        <v>0</v>
      </c>
      <c r="AA254" s="488">
        <f t="shared" si="287"/>
        <v>0</v>
      </c>
      <c r="AB254" s="488">
        <f t="shared" si="287"/>
        <v>0</v>
      </c>
      <c r="AC254" s="488">
        <f t="shared" si="287"/>
        <v>0</v>
      </c>
      <c r="AD254" s="488">
        <f t="shared" si="287"/>
        <v>0</v>
      </c>
      <c r="AE254" s="488">
        <f t="shared" si="287"/>
        <v>0</v>
      </c>
      <c r="AF254" s="488">
        <f t="shared" si="287"/>
        <v>0</v>
      </c>
      <c r="AG254" s="488">
        <f t="shared" si="287"/>
        <v>0</v>
      </c>
      <c r="AH254" s="488">
        <f t="shared" si="287"/>
        <v>0</v>
      </c>
      <c r="AI254" s="488">
        <f t="shared" si="287"/>
        <v>0</v>
      </c>
    </row>
    <row r="255" spans="2:35" x14ac:dyDescent="0.25">
      <c r="B255" s="46" t="s">
        <v>169</v>
      </c>
      <c r="C255" s="46" t="s">
        <v>120</v>
      </c>
      <c r="D255" s="46" t="s">
        <v>93</v>
      </c>
      <c r="E255" s="46" t="s">
        <v>106</v>
      </c>
      <c r="F255" s="46" t="s">
        <v>12</v>
      </c>
      <c r="G255" s="46" t="s">
        <v>405</v>
      </c>
      <c r="H255" s="488">
        <f t="shared" si="288"/>
        <v>0</v>
      </c>
      <c r="I255" s="488">
        <f t="shared" si="287"/>
        <v>6.6024390951629526</v>
      </c>
      <c r="J255" s="488">
        <f t="shared" si="287"/>
        <v>0</v>
      </c>
      <c r="K255" s="488">
        <f t="shared" si="287"/>
        <v>2.7572930543277485E-3</v>
      </c>
      <c r="L255" s="488">
        <f t="shared" si="287"/>
        <v>0</v>
      </c>
      <c r="M255" s="488">
        <f t="shared" si="287"/>
        <v>0</v>
      </c>
      <c r="N255" s="488">
        <f t="shared" si="287"/>
        <v>0</v>
      </c>
      <c r="O255" s="488">
        <f t="shared" si="287"/>
        <v>0</v>
      </c>
      <c r="P255" s="488">
        <f t="shared" si="287"/>
        <v>0</v>
      </c>
      <c r="Q255" s="488">
        <f t="shared" si="287"/>
        <v>0</v>
      </c>
      <c r="R255" s="488">
        <f t="shared" si="287"/>
        <v>2.322152682255846</v>
      </c>
      <c r="S255" s="488">
        <f t="shared" si="287"/>
        <v>0</v>
      </c>
      <c r="T255" s="488">
        <f t="shared" si="287"/>
        <v>4.9671356603762389</v>
      </c>
      <c r="U255" s="488">
        <f t="shared" si="287"/>
        <v>0</v>
      </c>
      <c r="V255" s="488">
        <f t="shared" si="287"/>
        <v>0</v>
      </c>
      <c r="W255" s="488">
        <f t="shared" si="287"/>
        <v>17.803639498643957</v>
      </c>
      <c r="X255" s="488">
        <f t="shared" si="287"/>
        <v>10.365496732968406</v>
      </c>
      <c r="Y255" s="488">
        <f t="shared" si="287"/>
        <v>0</v>
      </c>
      <c r="Z255" s="488">
        <f t="shared" si="287"/>
        <v>0</v>
      </c>
      <c r="AA255" s="488">
        <f t="shared" si="287"/>
        <v>0</v>
      </c>
      <c r="AB255" s="488">
        <f t="shared" si="287"/>
        <v>0</v>
      </c>
      <c r="AC255" s="488">
        <f t="shared" si="287"/>
        <v>12.176186075672762</v>
      </c>
      <c r="AD255" s="488">
        <f t="shared" si="287"/>
        <v>42.33083981570924</v>
      </c>
      <c r="AE255" s="488">
        <f t="shared" si="287"/>
        <v>1.2386734758691091</v>
      </c>
      <c r="AF255" s="488">
        <f t="shared" si="287"/>
        <v>0</v>
      </c>
      <c r="AG255" s="488">
        <f t="shared" si="287"/>
        <v>0</v>
      </c>
      <c r="AH255" s="488">
        <f t="shared" si="287"/>
        <v>0</v>
      </c>
      <c r="AI255" s="488">
        <f t="shared" si="287"/>
        <v>227.25801505510503</v>
      </c>
    </row>
    <row r="256" spans="2:35" x14ac:dyDescent="0.25">
      <c r="B256" s="46" t="s">
        <v>169</v>
      </c>
      <c r="C256" s="46" t="s">
        <v>120</v>
      </c>
      <c r="D256" s="46" t="s">
        <v>20</v>
      </c>
      <c r="E256" s="46" t="s">
        <v>108</v>
      </c>
      <c r="F256" s="46" t="s">
        <v>12</v>
      </c>
      <c r="G256" s="46" t="s">
        <v>472</v>
      </c>
      <c r="H256" s="488">
        <f t="shared" si="288"/>
        <v>0</v>
      </c>
      <c r="I256" s="488">
        <f t="shared" si="287"/>
        <v>0</v>
      </c>
      <c r="J256" s="488">
        <f t="shared" si="287"/>
        <v>0</v>
      </c>
      <c r="K256" s="488">
        <f t="shared" si="287"/>
        <v>0</v>
      </c>
      <c r="L256" s="488">
        <f t="shared" si="287"/>
        <v>0</v>
      </c>
      <c r="M256" s="488">
        <f t="shared" si="287"/>
        <v>0</v>
      </c>
      <c r="N256" s="488">
        <f t="shared" si="287"/>
        <v>0</v>
      </c>
      <c r="O256" s="488">
        <f t="shared" si="287"/>
        <v>0</v>
      </c>
      <c r="P256" s="488">
        <f t="shared" si="287"/>
        <v>0</v>
      </c>
      <c r="Q256" s="488">
        <f t="shared" si="287"/>
        <v>0</v>
      </c>
      <c r="R256" s="488">
        <f t="shared" si="287"/>
        <v>0</v>
      </c>
      <c r="S256" s="488">
        <f t="shared" si="287"/>
        <v>0</v>
      </c>
      <c r="T256" s="488">
        <f t="shared" si="287"/>
        <v>0</v>
      </c>
      <c r="U256" s="488">
        <f t="shared" si="287"/>
        <v>0</v>
      </c>
      <c r="V256" s="488">
        <f t="shared" si="287"/>
        <v>0</v>
      </c>
      <c r="W256" s="488">
        <f t="shared" si="287"/>
        <v>0</v>
      </c>
      <c r="X256" s="488">
        <f t="shared" si="287"/>
        <v>0</v>
      </c>
      <c r="Y256" s="488">
        <f t="shared" si="287"/>
        <v>0</v>
      </c>
      <c r="Z256" s="488">
        <f t="shared" si="287"/>
        <v>0</v>
      </c>
      <c r="AA256" s="488">
        <f t="shared" si="287"/>
        <v>0</v>
      </c>
      <c r="AB256" s="488">
        <f t="shared" si="287"/>
        <v>0</v>
      </c>
      <c r="AC256" s="488">
        <f t="shared" si="287"/>
        <v>0</v>
      </c>
      <c r="AD256" s="488">
        <f t="shared" si="287"/>
        <v>0</v>
      </c>
      <c r="AE256" s="488">
        <f t="shared" si="287"/>
        <v>0</v>
      </c>
      <c r="AF256" s="488">
        <f t="shared" si="287"/>
        <v>0</v>
      </c>
      <c r="AG256" s="488">
        <f t="shared" si="287"/>
        <v>0</v>
      </c>
      <c r="AH256" s="488">
        <f t="shared" si="287"/>
        <v>0</v>
      </c>
      <c r="AI256" s="488">
        <f t="shared" si="287"/>
        <v>0</v>
      </c>
    </row>
    <row r="257" spans="2:35" x14ac:dyDescent="0.25">
      <c r="B257" s="46" t="s">
        <v>169</v>
      </c>
      <c r="C257" s="46" t="s">
        <v>120</v>
      </c>
      <c r="D257" s="46" t="s">
        <v>0</v>
      </c>
      <c r="E257" s="46" t="s">
        <v>109</v>
      </c>
      <c r="F257" s="46" t="s">
        <v>12</v>
      </c>
      <c r="G257" s="46" t="s">
        <v>405</v>
      </c>
      <c r="H257" s="488">
        <f t="shared" si="288"/>
        <v>0</v>
      </c>
      <c r="I257" s="488">
        <f t="shared" si="287"/>
        <v>0</v>
      </c>
      <c r="J257" s="488">
        <f t="shared" si="287"/>
        <v>0</v>
      </c>
      <c r="K257" s="488">
        <f t="shared" si="287"/>
        <v>0</v>
      </c>
      <c r="L257" s="488">
        <f t="shared" si="287"/>
        <v>0</v>
      </c>
      <c r="M257" s="488">
        <f t="shared" si="287"/>
        <v>0</v>
      </c>
      <c r="N257" s="488">
        <f t="shared" si="287"/>
        <v>0</v>
      </c>
      <c r="O257" s="488">
        <f t="shared" si="287"/>
        <v>0</v>
      </c>
      <c r="P257" s="488">
        <f t="shared" si="287"/>
        <v>0</v>
      </c>
      <c r="Q257" s="488">
        <f t="shared" si="287"/>
        <v>0</v>
      </c>
      <c r="R257" s="488">
        <f t="shared" si="287"/>
        <v>5.3804261453982658</v>
      </c>
      <c r="S257" s="488">
        <f t="shared" si="287"/>
        <v>0</v>
      </c>
      <c r="T257" s="488">
        <f t="shared" si="287"/>
        <v>0.38213316381441115</v>
      </c>
      <c r="U257" s="488">
        <f t="shared" si="287"/>
        <v>0</v>
      </c>
      <c r="V257" s="488">
        <f t="shared" si="287"/>
        <v>0.14542577664521816</v>
      </c>
      <c r="W257" s="488">
        <f t="shared" si="287"/>
        <v>1.2415024191730268</v>
      </c>
      <c r="X257" s="488">
        <f t="shared" si="287"/>
        <v>5.1703644862579292</v>
      </c>
      <c r="Y257" s="488">
        <f t="shared" si="287"/>
        <v>0</v>
      </c>
      <c r="Z257" s="488">
        <f t="shared" si="287"/>
        <v>0</v>
      </c>
      <c r="AA257" s="488">
        <f t="shared" si="287"/>
        <v>0</v>
      </c>
      <c r="AB257" s="488">
        <f t="shared" si="287"/>
        <v>0</v>
      </c>
      <c r="AC257" s="488">
        <f t="shared" si="287"/>
        <v>8.4503227889667247</v>
      </c>
      <c r="AD257" s="488">
        <f t="shared" si="287"/>
        <v>35.998367666374783</v>
      </c>
      <c r="AE257" s="488">
        <f t="shared" si="287"/>
        <v>18.031443646351718</v>
      </c>
      <c r="AF257" s="488">
        <f t="shared" si="287"/>
        <v>0</v>
      </c>
      <c r="AG257" s="488">
        <f t="shared" si="287"/>
        <v>0</v>
      </c>
      <c r="AH257" s="488">
        <f t="shared" si="287"/>
        <v>0</v>
      </c>
      <c r="AI257" s="488">
        <f t="shared" si="287"/>
        <v>15.021387800586011</v>
      </c>
    </row>
    <row r="258" spans="2:35" x14ac:dyDescent="0.25">
      <c r="B258" s="46" t="s">
        <v>169</v>
      </c>
      <c r="C258" s="46" t="s">
        <v>120</v>
      </c>
      <c r="D258" s="46" t="s">
        <v>367</v>
      </c>
      <c r="E258" s="46" t="s">
        <v>110</v>
      </c>
      <c r="F258" s="46" t="s">
        <v>12</v>
      </c>
      <c r="G258" s="46" t="s">
        <v>405</v>
      </c>
      <c r="H258" s="488">
        <f t="shared" si="288"/>
        <v>0</v>
      </c>
      <c r="I258" s="488">
        <f t="shared" si="287"/>
        <v>0</v>
      </c>
      <c r="J258" s="488">
        <f t="shared" si="287"/>
        <v>0</v>
      </c>
      <c r="K258" s="488">
        <f t="shared" si="287"/>
        <v>0</v>
      </c>
      <c r="L258" s="488">
        <f t="shared" si="287"/>
        <v>0</v>
      </c>
      <c r="M258" s="488">
        <f t="shared" si="287"/>
        <v>0</v>
      </c>
      <c r="N258" s="488">
        <f t="shared" si="287"/>
        <v>0</v>
      </c>
      <c r="O258" s="488">
        <f t="shared" si="287"/>
        <v>0</v>
      </c>
      <c r="P258" s="488">
        <f t="shared" si="287"/>
        <v>0</v>
      </c>
      <c r="Q258" s="488">
        <f t="shared" si="287"/>
        <v>0</v>
      </c>
      <c r="R258" s="488">
        <f t="shared" si="287"/>
        <v>0.53856196069285722</v>
      </c>
      <c r="S258" s="488">
        <f t="shared" si="287"/>
        <v>0</v>
      </c>
      <c r="T258" s="488">
        <f t="shared" si="287"/>
        <v>1.8710851712193392E-2</v>
      </c>
      <c r="U258" s="488">
        <f t="shared" si="287"/>
        <v>0</v>
      </c>
      <c r="V258" s="488">
        <f t="shared" si="287"/>
        <v>3.933089165325801E-2</v>
      </c>
      <c r="W258" s="488">
        <f t="shared" si="287"/>
        <v>2.6852102790345751</v>
      </c>
      <c r="X258" s="488">
        <f t="shared" si="287"/>
        <v>76.600902102237924</v>
      </c>
      <c r="Y258" s="488">
        <f t="shared" si="287"/>
        <v>0</v>
      </c>
      <c r="Z258" s="488">
        <f t="shared" si="287"/>
        <v>0</v>
      </c>
      <c r="AA258" s="488">
        <f t="shared" si="287"/>
        <v>0</v>
      </c>
      <c r="AB258" s="488">
        <f t="shared" si="287"/>
        <v>0</v>
      </c>
      <c r="AC258" s="488">
        <f t="shared" si="287"/>
        <v>5.2815598730297726</v>
      </c>
      <c r="AD258" s="488">
        <f t="shared" si="287"/>
        <v>23.702203261821367</v>
      </c>
      <c r="AE258" s="488">
        <f t="shared" si="287"/>
        <v>0</v>
      </c>
      <c r="AF258" s="488">
        <f t="shared" si="287"/>
        <v>0</v>
      </c>
      <c r="AG258" s="488">
        <f t="shared" si="287"/>
        <v>0</v>
      </c>
      <c r="AH258" s="488">
        <f t="shared" si="287"/>
        <v>0</v>
      </c>
      <c r="AI258" s="488">
        <f t="shared" si="287"/>
        <v>35.100212133970146</v>
      </c>
    </row>
    <row r="259" spans="2:35" x14ac:dyDescent="0.25">
      <c r="B259" s="46" t="s">
        <v>169</v>
      </c>
      <c r="C259" s="46" t="s">
        <v>120</v>
      </c>
      <c r="D259" s="46" t="s">
        <v>21</v>
      </c>
      <c r="E259" s="46" t="s">
        <v>107</v>
      </c>
      <c r="F259" s="46" t="s">
        <v>12</v>
      </c>
      <c r="G259" s="46" t="s">
        <v>405</v>
      </c>
      <c r="H259" s="488">
        <f t="shared" si="288"/>
        <v>0</v>
      </c>
      <c r="I259" s="488">
        <f t="shared" ref="I259:AI260" si="289">SUMIFS(I$6:I$17,$E$6:$E$17,$E259)*SUMIFS(I$63:I$194,$E$63:$E$194,$E259,$C$63:$C$194,$C259)/1000</f>
        <v>0</v>
      </c>
      <c r="J259" s="488">
        <f t="shared" si="289"/>
        <v>0</v>
      </c>
      <c r="K259" s="488">
        <f t="shared" si="289"/>
        <v>0</v>
      </c>
      <c r="L259" s="488">
        <f t="shared" si="289"/>
        <v>0</v>
      </c>
      <c r="M259" s="488">
        <f t="shared" si="289"/>
        <v>0</v>
      </c>
      <c r="N259" s="488">
        <f t="shared" si="289"/>
        <v>0</v>
      </c>
      <c r="O259" s="488">
        <f t="shared" si="289"/>
        <v>0</v>
      </c>
      <c r="P259" s="488">
        <f t="shared" si="289"/>
        <v>0</v>
      </c>
      <c r="Q259" s="488">
        <f t="shared" si="289"/>
        <v>0</v>
      </c>
      <c r="R259" s="488">
        <f t="shared" si="289"/>
        <v>0</v>
      </c>
      <c r="S259" s="488">
        <f t="shared" si="289"/>
        <v>0</v>
      </c>
      <c r="T259" s="488">
        <f t="shared" si="289"/>
        <v>0</v>
      </c>
      <c r="U259" s="488">
        <f t="shared" si="289"/>
        <v>0</v>
      </c>
      <c r="V259" s="488">
        <f t="shared" si="289"/>
        <v>0</v>
      </c>
      <c r="W259" s="488">
        <f t="shared" si="289"/>
        <v>0</v>
      </c>
      <c r="X259" s="488">
        <f t="shared" si="289"/>
        <v>0</v>
      </c>
      <c r="Y259" s="488">
        <f t="shared" si="289"/>
        <v>0</v>
      </c>
      <c r="Z259" s="488">
        <f t="shared" si="289"/>
        <v>0</v>
      </c>
      <c r="AA259" s="488">
        <f t="shared" si="289"/>
        <v>0</v>
      </c>
      <c r="AB259" s="488">
        <f t="shared" si="289"/>
        <v>0</v>
      </c>
      <c r="AC259" s="488">
        <f t="shared" si="289"/>
        <v>0</v>
      </c>
      <c r="AD259" s="488">
        <f t="shared" si="289"/>
        <v>0</v>
      </c>
      <c r="AE259" s="488">
        <f t="shared" si="289"/>
        <v>0</v>
      </c>
      <c r="AF259" s="488">
        <f t="shared" si="289"/>
        <v>0</v>
      </c>
      <c r="AG259" s="488">
        <f t="shared" si="289"/>
        <v>0</v>
      </c>
      <c r="AH259" s="488">
        <f t="shared" si="289"/>
        <v>0</v>
      </c>
      <c r="AI259" s="488">
        <f t="shared" si="289"/>
        <v>0</v>
      </c>
    </row>
    <row r="260" spans="2:35" x14ac:dyDescent="0.25">
      <c r="B260" s="46" t="s">
        <v>169</v>
      </c>
      <c r="C260" s="46" t="s">
        <v>120</v>
      </c>
      <c r="D260" s="46" t="s">
        <v>22</v>
      </c>
      <c r="E260" s="46" t="s">
        <v>111</v>
      </c>
      <c r="F260" s="46" t="s">
        <v>12</v>
      </c>
      <c r="G260" s="46" t="s">
        <v>405</v>
      </c>
      <c r="H260" s="488">
        <f t="shared" si="288"/>
        <v>0</v>
      </c>
      <c r="I260" s="488">
        <f t="shared" si="289"/>
        <v>0</v>
      </c>
      <c r="J260" s="488">
        <f t="shared" si="289"/>
        <v>0</v>
      </c>
      <c r="K260" s="488">
        <f t="shared" si="289"/>
        <v>0</v>
      </c>
      <c r="L260" s="488">
        <f t="shared" si="289"/>
        <v>0</v>
      </c>
      <c r="M260" s="488">
        <f t="shared" si="289"/>
        <v>0</v>
      </c>
      <c r="N260" s="488">
        <f t="shared" si="289"/>
        <v>0</v>
      </c>
      <c r="O260" s="488">
        <f t="shared" si="289"/>
        <v>0</v>
      </c>
      <c r="P260" s="488">
        <f t="shared" si="289"/>
        <v>0</v>
      </c>
      <c r="Q260" s="488">
        <f t="shared" si="289"/>
        <v>0</v>
      </c>
      <c r="R260" s="488">
        <f t="shared" si="289"/>
        <v>0</v>
      </c>
      <c r="S260" s="488">
        <f t="shared" si="289"/>
        <v>0</v>
      </c>
      <c r="T260" s="488">
        <f t="shared" si="289"/>
        <v>0</v>
      </c>
      <c r="U260" s="488">
        <f t="shared" si="289"/>
        <v>0</v>
      </c>
      <c r="V260" s="488">
        <f t="shared" si="289"/>
        <v>0</v>
      </c>
      <c r="W260" s="488">
        <f t="shared" si="289"/>
        <v>0</v>
      </c>
      <c r="X260" s="488">
        <f t="shared" si="289"/>
        <v>0</v>
      </c>
      <c r="Y260" s="488">
        <f t="shared" si="289"/>
        <v>0</v>
      </c>
      <c r="Z260" s="488">
        <f t="shared" si="289"/>
        <v>0</v>
      </c>
      <c r="AA260" s="488">
        <f t="shared" si="289"/>
        <v>0</v>
      </c>
      <c r="AB260" s="488">
        <f t="shared" si="289"/>
        <v>0</v>
      </c>
      <c r="AC260" s="488">
        <f t="shared" si="289"/>
        <v>0</v>
      </c>
      <c r="AD260" s="488">
        <f t="shared" si="289"/>
        <v>0</v>
      </c>
      <c r="AE260" s="488">
        <f t="shared" si="289"/>
        <v>0</v>
      </c>
      <c r="AF260" s="488">
        <f t="shared" si="289"/>
        <v>0</v>
      </c>
      <c r="AG260" s="488">
        <f t="shared" si="289"/>
        <v>0</v>
      </c>
      <c r="AH260" s="488">
        <f t="shared" si="289"/>
        <v>0</v>
      </c>
      <c r="AI260" s="488">
        <f t="shared" si="289"/>
        <v>0</v>
      </c>
    </row>
    <row r="261" spans="2:35" x14ac:dyDescent="0.25">
      <c r="B261" s="62" t="s">
        <v>169</v>
      </c>
      <c r="C261" s="62" t="s">
        <v>120</v>
      </c>
      <c r="D261" s="62" t="s">
        <v>177</v>
      </c>
      <c r="E261" s="62"/>
      <c r="F261" s="62" t="s">
        <v>12</v>
      </c>
      <c r="G261" s="62"/>
      <c r="H261" s="490">
        <f>SUM(H249:H260)</f>
        <v>0.54270447671657474</v>
      </c>
      <c r="I261" s="490">
        <f t="shared" ref="I261:AI261" si="290">SUM(I249:I260)</f>
        <v>9.3803398125374127</v>
      </c>
      <c r="J261" s="490">
        <f t="shared" si="290"/>
        <v>0.53321436248656495</v>
      </c>
      <c r="K261" s="490">
        <f t="shared" si="290"/>
        <v>1.4504366241713826</v>
      </c>
      <c r="L261" s="490">
        <f t="shared" si="290"/>
        <v>0</v>
      </c>
      <c r="M261" s="490">
        <f t="shared" si="290"/>
        <v>0</v>
      </c>
      <c r="N261" s="490">
        <f t="shared" si="290"/>
        <v>0</v>
      </c>
      <c r="O261" s="490">
        <f t="shared" si="290"/>
        <v>0</v>
      </c>
      <c r="P261" s="490">
        <f t="shared" si="290"/>
        <v>0</v>
      </c>
      <c r="Q261" s="490">
        <f t="shared" si="290"/>
        <v>0</v>
      </c>
      <c r="R261" s="490">
        <f t="shared" si="290"/>
        <v>16.902616149565542</v>
      </c>
      <c r="S261" s="490">
        <f t="shared" si="290"/>
        <v>0</v>
      </c>
      <c r="T261" s="490">
        <f t="shared" si="290"/>
        <v>7.7320722800393096</v>
      </c>
      <c r="U261" s="490">
        <f t="shared" si="290"/>
        <v>150.03058284941065</v>
      </c>
      <c r="V261" s="490">
        <f t="shared" si="290"/>
        <v>3.8102663407019661</v>
      </c>
      <c r="W261" s="490">
        <f t="shared" si="290"/>
        <v>51.528104519405545</v>
      </c>
      <c r="X261" s="490">
        <f t="shared" si="290"/>
        <v>130.97053075246228</v>
      </c>
      <c r="Y261" s="490">
        <f t="shared" si="290"/>
        <v>0</v>
      </c>
      <c r="Z261" s="490">
        <f t="shared" si="290"/>
        <v>0</v>
      </c>
      <c r="AA261" s="490">
        <f t="shared" si="290"/>
        <v>0</v>
      </c>
      <c r="AB261" s="490">
        <f t="shared" si="290"/>
        <v>0</v>
      </c>
      <c r="AC261" s="490">
        <f t="shared" si="290"/>
        <v>67.563048338906995</v>
      </c>
      <c r="AD261" s="490">
        <f t="shared" si="290"/>
        <v>246.42643020634745</v>
      </c>
      <c r="AE261" s="490">
        <f t="shared" si="290"/>
        <v>23.453770143065029</v>
      </c>
      <c r="AF261" s="490">
        <f t="shared" si="290"/>
        <v>0.38902694528457527</v>
      </c>
      <c r="AG261" s="490">
        <f t="shared" si="290"/>
        <v>0</v>
      </c>
      <c r="AH261" s="490">
        <f t="shared" si="290"/>
        <v>9.9598776260244808</v>
      </c>
      <c r="AI261" s="490">
        <f t="shared" si="290"/>
        <v>370.57832080454546</v>
      </c>
    </row>
    <row r="262" spans="2:35" x14ac:dyDescent="0.25">
      <c r="B262" s="63" t="s">
        <v>97</v>
      </c>
      <c r="C262" s="46"/>
      <c r="D262" s="46"/>
      <c r="E262" s="46"/>
      <c r="F262" s="46"/>
      <c r="G262" s="46"/>
      <c r="H262" s="362">
        <f>SUM(H212,H225,H228,H231,H244,H246,H248,H261)-(H18/1000)</f>
        <v>0</v>
      </c>
      <c r="I262" s="362">
        <f t="shared" ref="I262:AI262" si="291">SUM(I212,I225,I228,I231,I244,I246,I248,I261)-(I18/1000)</f>
        <v>0</v>
      </c>
      <c r="J262" s="362">
        <f t="shared" si="291"/>
        <v>0</v>
      </c>
      <c r="K262" s="362">
        <f t="shared" si="291"/>
        <v>0</v>
      </c>
      <c r="L262" s="496">
        <f t="shared" si="291"/>
        <v>0</v>
      </c>
      <c r="M262" s="362">
        <f>SUM(M212,M225,M228,M231,M244,M246,M248,M261)-(M18/1000)</f>
        <v>0</v>
      </c>
      <c r="N262" s="362">
        <f t="shared" si="291"/>
        <v>0</v>
      </c>
      <c r="O262" s="362">
        <f t="shared" si="291"/>
        <v>0</v>
      </c>
      <c r="P262" s="362">
        <f t="shared" si="291"/>
        <v>0</v>
      </c>
      <c r="Q262" s="362">
        <f t="shared" si="291"/>
        <v>0</v>
      </c>
      <c r="R262" s="362">
        <f t="shared" si="291"/>
        <v>0</v>
      </c>
      <c r="S262" s="362">
        <f t="shared" si="291"/>
        <v>0</v>
      </c>
      <c r="T262" s="362">
        <f t="shared" si="291"/>
        <v>0</v>
      </c>
      <c r="U262" s="362">
        <f t="shared" si="291"/>
        <v>0</v>
      </c>
      <c r="V262" s="362">
        <f t="shared" si="291"/>
        <v>0</v>
      </c>
      <c r="W262" s="362">
        <f t="shared" si="291"/>
        <v>0</v>
      </c>
      <c r="X262" s="362">
        <f t="shared" si="291"/>
        <v>0</v>
      </c>
      <c r="Y262" s="362">
        <f t="shared" si="291"/>
        <v>0</v>
      </c>
      <c r="Z262" s="362">
        <f t="shared" si="291"/>
        <v>0</v>
      </c>
      <c r="AA262" s="362">
        <f t="shared" si="291"/>
        <v>0</v>
      </c>
      <c r="AB262" s="362">
        <f t="shared" si="291"/>
        <v>0</v>
      </c>
      <c r="AC262" s="362">
        <f t="shared" si="291"/>
        <v>0</v>
      </c>
      <c r="AD262" s="362">
        <f t="shared" si="291"/>
        <v>0</v>
      </c>
      <c r="AE262" s="362">
        <f t="shared" si="291"/>
        <v>0</v>
      </c>
      <c r="AF262" s="362">
        <f t="shared" si="291"/>
        <v>0</v>
      </c>
      <c r="AG262" s="362">
        <f t="shared" si="291"/>
        <v>0</v>
      </c>
      <c r="AH262" s="362">
        <f t="shared" si="291"/>
        <v>0</v>
      </c>
      <c r="AI262" s="362">
        <f t="shared" si="291"/>
        <v>0</v>
      </c>
    </row>
    <row r="263" spans="2:35" x14ac:dyDescent="0.25">
      <c r="B263" s="341"/>
      <c r="C263" s="46"/>
      <c r="D263" s="46"/>
      <c r="E263" s="46"/>
      <c r="F263" s="46"/>
      <c r="G263" s="46"/>
      <c r="H263" s="491"/>
      <c r="I263" s="491"/>
      <c r="J263" s="491"/>
      <c r="K263" s="491"/>
      <c r="L263" s="344"/>
      <c r="M263" s="344"/>
      <c r="N263" s="344"/>
      <c r="O263" s="344"/>
      <c r="P263" s="344"/>
      <c r="Q263" s="344"/>
      <c r="R263" s="344"/>
      <c r="S263" s="344"/>
      <c r="T263" s="344"/>
      <c r="U263" s="344"/>
      <c r="V263" s="344"/>
      <c r="W263" s="344"/>
      <c r="X263" s="344"/>
      <c r="Y263" s="362"/>
      <c r="Z263" s="362"/>
      <c r="AA263" s="362"/>
      <c r="AB263" s="362"/>
      <c r="AC263" s="362"/>
      <c r="AD263" s="362"/>
      <c r="AE263" s="362"/>
      <c r="AF263" s="362"/>
      <c r="AG263" s="362"/>
      <c r="AH263" s="362"/>
      <c r="AI263" s="362"/>
    </row>
    <row r="264" spans="2:35" x14ac:dyDescent="0.25">
      <c r="B264" s="341"/>
      <c r="C264" s="46"/>
      <c r="D264" s="46"/>
      <c r="E264" s="46"/>
      <c r="F264" s="46"/>
      <c r="G264" s="46"/>
      <c r="H264" s="46"/>
      <c r="I264" s="46"/>
      <c r="J264" s="341"/>
      <c r="K264" s="341"/>
      <c r="L264" s="341"/>
      <c r="M264" s="341"/>
      <c r="N264" s="345"/>
      <c r="O264" s="341"/>
      <c r="P264" s="341"/>
      <c r="Q264" s="341"/>
      <c r="R264" s="341"/>
      <c r="S264" s="341"/>
      <c r="T264" s="341"/>
      <c r="U264" s="341"/>
      <c r="V264" s="341"/>
      <c r="W264" s="341"/>
      <c r="X264" s="341"/>
      <c r="Y264" s="341"/>
      <c r="Z264" s="341"/>
      <c r="AA264" s="341"/>
      <c r="AB264" s="341"/>
      <c r="AC264" s="341"/>
      <c r="AD264" s="341"/>
      <c r="AE264" s="341"/>
      <c r="AF264" s="341"/>
      <c r="AG264" s="341"/>
      <c r="AH264" s="341"/>
      <c r="AI264" s="341"/>
    </row>
    <row r="265" spans="2:35" ht="18.75" x14ac:dyDescent="0.25">
      <c r="B265" s="55" t="s">
        <v>179</v>
      </c>
      <c r="C265" s="55" t="s">
        <v>202</v>
      </c>
      <c r="D265" s="46"/>
      <c r="E265" s="46"/>
      <c r="F265" s="46"/>
      <c r="G265" s="46"/>
      <c r="H265" s="46"/>
      <c r="I265" s="46"/>
      <c r="J265" s="341"/>
      <c r="K265" s="341"/>
      <c r="L265" s="341"/>
      <c r="M265" s="341"/>
      <c r="N265" s="341"/>
      <c r="O265" s="341"/>
      <c r="P265" s="341"/>
      <c r="Q265" s="341"/>
      <c r="R265" s="341"/>
      <c r="S265" s="341"/>
      <c r="T265" s="341"/>
      <c r="U265" s="341"/>
      <c r="V265" s="341"/>
      <c r="W265" s="341"/>
      <c r="X265" s="341"/>
      <c r="Y265" s="341"/>
      <c r="Z265" s="341"/>
      <c r="AA265" s="341"/>
      <c r="AB265" s="341"/>
      <c r="AC265" s="341"/>
      <c r="AD265" s="341"/>
      <c r="AE265" s="341"/>
      <c r="AF265" s="341"/>
      <c r="AG265" s="341"/>
      <c r="AH265" s="341"/>
      <c r="AI265" s="341"/>
    </row>
    <row r="266" spans="2:35" x14ac:dyDescent="0.25">
      <c r="B266" s="56" t="s">
        <v>95</v>
      </c>
      <c r="C266" s="56"/>
      <c r="D266" s="57" t="s">
        <v>96</v>
      </c>
      <c r="E266" s="57"/>
      <c r="F266" s="56" t="s">
        <v>46</v>
      </c>
      <c r="G266" s="56"/>
      <c r="H266" s="334" t="s">
        <v>314</v>
      </c>
      <c r="I266" s="334" t="s">
        <v>315</v>
      </c>
      <c r="J266" s="334" t="s">
        <v>317</v>
      </c>
      <c r="K266" s="334" t="s">
        <v>316</v>
      </c>
      <c r="L266" s="334" t="s">
        <v>318</v>
      </c>
      <c r="M266" s="334" t="s">
        <v>319</v>
      </c>
      <c r="N266" s="334" t="s">
        <v>320</v>
      </c>
      <c r="O266" s="334" t="s">
        <v>321</v>
      </c>
      <c r="P266" s="334" t="s">
        <v>1</v>
      </c>
      <c r="Q266" s="334" t="s">
        <v>2</v>
      </c>
      <c r="R266" s="334" t="s">
        <v>416</v>
      </c>
      <c r="S266" s="334" t="s">
        <v>3</v>
      </c>
      <c r="T266" s="334" t="s">
        <v>322</v>
      </c>
      <c r="U266" s="334" t="s">
        <v>323</v>
      </c>
      <c r="V266" s="334" t="s">
        <v>324</v>
      </c>
      <c r="W266" s="334" t="s">
        <v>417</v>
      </c>
      <c r="X266" s="334" t="s">
        <v>325</v>
      </c>
      <c r="Y266" s="334" t="s">
        <v>4</v>
      </c>
      <c r="Z266" s="334" t="s">
        <v>5</v>
      </c>
      <c r="AA266" s="334" t="s">
        <v>6</v>
      </c>
      <c r="AB266" s="334" t="s">
        <v>7</v>
      </c>
      <c r="AC266" s="334" t="s">
        <v>418</v>
      </c>
      <c r="AD266" s="334" t="s">
        <v>8</v>
      </c>
      <c r="AE266" s="334" t="s">
        <v>9</v>
      </c>
      <c r="AF266" s="334" t="s">
        <v>419</v>
      </c>
      <c r="AG266" s="334" t="s">
        <v>10</v>
      </c>
      <c r="AH266" s="334" t="s">
        <v>420</v>
      </c>
      <c r="AI266" s="334" t="s">
        <v>11</v>
      </c>
    </row>
    <row r="267" spans="2:35" ht="16.5" thickBot="1" x14ac:dyDescent="0.3">
      <c r="B267" s="58" t="s">
        <v>27</v>
      </c>
      <c r="C267" s="58" t="s">
        <v>32</v>
      </c>
      <c r="D267" s="58" t="s">
        <v>27</v>
      </c>
      <c r="E267" s="58" t="s">
        <v>32</v>
      </c>
      <c r="F267" s="58"/>
      <c r="G267" s="58"/>
      <c r="H267" s="334" t="s">
        <v>327</v>
      </c>
      <c r="I267" s="334" t="s">
        <v>328</v>
      </c>
      <c r="J267" s="334" t="s">
        <v>330</v>
      </c>
      <c r="K267" s="334" t="s">
        <v>329</v>
      </c>
      <c r="L267" s="334" t="s">
        <v>331</v>
      </c>
      <c r="M267" s="334" t="s">
        <v>332</v>
      </c>
      <c r="N267" s="334" t="s">
        <v>333</v>
      </c>
      <c r="O267" s="334" t="s">
        <v>334</v>
      </c>
      <c r="P267" s="334" t="s">
        <v>87</v>
      </c>
      <c r="Q267" s="334" t="s">
        <v>88</v>
      </c>
      <c r="R267" s="334" t="s">
        <v>425</v>
      </c>
      <c r="S267" s="334" t="s">
        <v>463</v>
      </c>
      <c r="T267" s="334" t="s">
        <v>335</v>
      </c>
      <c r="U267" s="334" t="s">
        <v>336</v>
      </c>
      <c r="V267" s="334" t="s">
        <v>337</v>
      </c>
      <c r="W267" s="334">
        <v>0</v>
      </c>
      <c r="X267" s="334" t="s">
        <v>338</v>
      </c>
      <c r="Y267" s="334" t="s">
        <v>464</v>
      </c>
      <c r="Z267" s="334" t="s">
        <v>89</v>
      </c>
      <c r="AA267" s="334" t="s">
        <v>90</v>
      </c>
      <c r="AB267" s="334" t="s">
        <v>91</v>
      </c>
      <c r="AC267" s="334" t="s">
        <v>429</v>
      </c>
      <c r="AD267" s="334" t="s">
        <v>465</v>
      </c>
      <c r="AE267" s="334" t="s">
        <v>92</v>
      </c>
      <c r="AF267" s="334" t="s">
        <v>431</v>
      </c>
      <c r="AG267" s="334" t="s">
        <v>466</v>
      </c>
      <c r="AH267" s="334" t="s">
        <v>587</v>
      </c>
      <c r="AI267" s="334" t="s">
        <v>339</v>
      </c>
    </row>
    <row r="268" spans="2:35" x14ac:dyDescent="0.25">
      <c r="B268" s="46" t="s">
        <v>122</v>
      </c>
      <c r="C268" s="46" t="s">
        <v>468</v>
      </c>
      <c r="D268" s="46" t="s">
        <v>22</v>
      </c>
      <c r="E268" s="46" t="s">
        <v>111</v>
      </c>
      <c r="F268" s="46" t="s">
        <v>12</v>
      </c>
      <c r="G268" s="46"/>
      <c r="H268" s="65">
        <f>SUMIFS(H$200:H$261,$E$200:$E$261,$E268,$C$200:$C$261,$C268)</f>
        <v>0</v>
      </c>
      <c r="I268" s="65">
        <f t="shared" ref="I268:AI275" si="292">SUMIFS(I$200:I$261,$E$200:$E$261,$E268,$C$200:$C$261,$C268)</f>
        <v>2.4620000000000002</v>
      </c>
      <c r="J268" s="65">
        <f t="shared" si="292"/>
        <v>0</v>
      </c>
      <c r="K268" s="65">
        <f t="shared" si="292"/>
        <v>0</v>
      </c>
      <c r="L268" s="65">
        <f t="shared" si="292"/>
        <v>17.373928026772557</v>
      </c>
      <c r="M268" s="65">
        <f t="shared" si="292"/>
        <v>0.182</v>
      </c>
      <c r="N268" s="65">
        <f t="shared" si="292"/>
        <v>9.4138088703905484E-2</v>
      </c>
      <c r="O268" s="65">
        <f t="shared" si="292"/>
        <v>0</v>
      </c>
      <c r="P268" s="65">
        <f t="shared" si="292"/>
        <v>0</v>
      </c>
      <c r="Q268" s="65">
        <f t="shared" si="292"/>
        <v>0</v>
      </c>
      <c r="R268" s="65">
        <f t="shared" si="292"/>
        <v>0</v>
      </c>
      <c r="S268" s="65">
        <f t="shared" si="292"/>
        <v>0</v>
      </c>
      <c r="T268" s="65">
        <f t="shared" si="292"/>
        <v>0.33035466753714637</v>
      </c>
      <c r="U268" s="65">
        <f t="shared" si="292"/>
        <v>3.1608534452387511</v>
      </c>
      <c r="V268" s="65">
        <f t="shared" si="292"/>
        <v>5.531171259944724</v>
      </c>
      <c r="W268" s="65">
        <f t="shared" si="292"/>
        <v>39.050504212841965</v>
      </c>
      <c r="X268" s="65">
        <f t="shared" si="292"/>
        <v>37.090483412103531</v>
      </c>
      <c r="Y268" s="65">
        <f t="shared" si="292"/>
        <v>0</v>
      </c>
      <c r="Z268" s="65">
        <f t="shared" si="292"/>
        <v>0</v>
      </c>
      <c r="AA268" s="65">
        <f t="shared" si="292"/>
        <v>6.7536041825395925</v>
      </c>
      <c r="AB268" s="65">
        <f t="shared" si="292"/>
        <v>0.88615775029835298</v>
      </c>
      <c r="AC268" s="65">
        <f t="shared" si="292"/>
        <v>43.637286942238262</v>
      </c>
      <c r="AD268" s="65">
        <f t="shared" si="292"/>
        <v>0</v>
      </c>
      <c r="AE268" s="65">
        <f t="shared" si="292"/>
        <v>7.7204719231631307</v>
      </c>
      <c r="AF268" s="65">
        <f t="shared" si="292"/>
        <v>0</v>
      </c>
      <c r="AG268" s="65">
        <f t="shared" si="292"/>
        <v>0</v>
      </c>
      <c r="AH268" s="65">
        <f t="shared" si="292"/>
        <v>0.65177012602483242</v>
      </c>
      <c r="AI268" s="65">
        <f t="shared" si="292"/>
        <v>28.053714341774175</v>
      </c>
    </row>
    <row r="269" spans="2:35" x14ac:dyDescent="0.25">
      <c r="B269" s="46" t="s">
        <v>122</v>
      </c>
      <c r="C269" s="46" t="s">
        <v>468</v>
      </c>
      <c r="D269" s="46" t="s">
        <v>115</v>
      </c>
      <c r="E269" s="46" t="s">
        <v>368</v>
      </c>
      <c r="F269" s="46" t="s">
        <v>12</v>
      </c>
      <c r="G269" s="46"/>
      <c r="H269" s="65">
        <f t="shared" ref="H269:W270" si="293">SUMIFS(H$200:H$261,$E$200:$E$261,$E269,$C$200:$C$261,$C269)</f>
        <v>576.95619511033249</v>
      </c>
      <c r="I269" s="65">
        <f t="shared" si="293"/>
        <v>26.988447900907719</v>
      </c>
      <c r="J269" s="65">
        <f t="shared" si="293"/>
        <v>408.29056819755783</v>
      </c>
      <c r="K269" s="65">
        <f t="shared" si="293"/>
        <v>214.70989646369139</v>
      </c>
      <c r="L269" s="65">
        <f t="shared" si="293"/>
        <v>14.093690518346218</v>
      </c>
      <c r="M269" s="65">
        <f t="shared" si="293"/>
        <v>81.084483853557614</v>
      </c>
      <c r="N269" s="65">
        <f t="shared" si="293"/>
        <v>846.69878029466111</v>
      </c>
      <c r="O269" s="65">
        <f t="shared" si="293"/>
        <v>1457.9198605738959</v>
      </c>
      <c r="P269" s="65">
        <f t="shared" si="293"/>
        <v>0</v>
      </c>
      <c r="Q269" s="65">
        <f t="shared" si="293"/>
        <v>101.89935410550504</v>
      </c>
      <c r="R269" s="65">
        <f t="shared" si="293"/>
        <v>70.381853953399997</v>
      </c>
      <c r="S269" s="65">
        <f t="shared" si="293"/>
        <v>598.12862706189344</v>
      </c>
      <c r="T269" s="65">
        <f t="shared" si="293"/>
        <v>252.03246965683229</v>
      </c>
      <c r="U269" s="65">
        <f t="shared" si="293"/>
        <v>57.059212095333116</v>
      </c>
      <c r="V269" s="65">
        <f t="shared" si="293"/>
        <v>640.10736143544443</v>
      </c>
      <c r="W269" s="65">
        <f t="shared" si="293"/>
        <v>609.61435043566757</v>
      </c>
      <c r="X269" s="65">
        <f t="shared" si="292"/>
        <v>462.20671027561525</v>
      </c>
      <c r="Y269" s="65">
        <f t="shared" si="292"/>
        <v>1084.4117985967437</v>
      </c>
      <c r="Z269" s="65">
        <f t="shared" si="292"/>
        <v>3881.9734225960242</v>
      </c>
      <c r="AA269" s="65">
        <f t="shared" si="292"/>
        <v>0.26874514125936599</v>
      </c>
      <c r="AB269" s="65">
        <f t="shared" si="292"/>
        <v>0</v>
      </c>
      <c r="AC269" s="65">
        <f t="shared" si="292"/>
        <v>69.029490268917996</v>
      </c>
      <c r="AD269" s="65">
        <f t="shared" si="292"/>
        <v>84.873979493775721</v>
      </c>
      <c r="AE269" s="65">
        <f t="shared" si="292"/>
        <v>242.58829204046305</v>
      </c>
      <c r="AF269" s="65">
        <f t="shared" si="292"/>
        <v>824.81335242478758</v>
      </c>
      <c r="AG269" s="65">
        <f t="shared" si="292"/>
        <v>37.089233787501591</v>
      </c>
      <c r="AH269" s="65">
        <f t="shared" si="292"/>
        <v>3.3765972409419116</v>
      </c>
      <c r="AI269" s="65">
        <f t="shared" si="292"/>
        <v>386.97244043247991</v>
      </c>
    </row>
    <row r="270" spans="2:35" x14ac:dyDescent="0.25">
      <c r="B270" s="46" t="s">
        <v>122</v>
      </c>
      <c r="C270" s="46" t="s">
        <v>468</v>
      </c>
      <c r="D270" s="46" t="s">
        <v>19</v>
      </c>
      <c r="E270" s="46" t="s">
        <v>105</v>
      </c>
      <c r="F270" s="46" t="s">
        <v>12</v>
      </c>
      <c r="G270" s="46"/>
      <c r="H270" s="65">
        <f t="shared" si="293"/>
        <v>1.2643837180021618</v>
      </c>
      <c r="I270" s="65">
        <f t="shared" si="292"/>
        <v>6.5193537131002008</v>
      </c>
      <c r="J270" s="65">
        <f t="shared" si="292"/>
        <v>1.2101954500467298</v>
      </c>
      <c r="K270" s="65">
        <f t="shared" si="292"/>
        <v>3.3975057364961101</v>
      </c>
      <c r="L270" s="65">
        <f t="shared" si="292"/>
        <v>78.664466327456637</v>
      </c>
      <c r="M270" s="65">
        <f t="shared" si="292"/>
        <v>29.587603668083212</v>
      </c>
      <c r="N270" s="65">
        <f t="shared" si="292"/>
        <v>50.129187579945075</v>
      </c>
      <c r="O270" s="65">
        <f t="shared" si="292"/>
        <v>47.061247595616209</v>
      </c>
      <c r="P270" s="65">
        <f t="shared" si="292"/>
        <v>73.211239561388183</v>
      </c>
      <c r="Q270" s="65">
        <f t="shared" si="292"/>
        <v>314.22228097759711</v>
      </c>
      <c r="R270" s="65">
        <f t="shared" si="292"/>
        <v>3.591051070670424</v>
      </c>
      <c r="S270" s="65">
        <f t="shared" si="292"/>
        <v>612.75046942032759</v>
      </c>
      <c r="T270" s="65">
        <f t="shared" si="292"/>
        <v>51.144624219615977</v>
      </c>
      <c r="U270" s="65">
        <f t="shared" si="292"/>
        <v>127.78807062589482</v>
      </c>
      <c r="V270" s="65">
        <f t="shared" si="292"/>
        <v>72.717571417519125</v>
      </c>
      <c r="W270" s="65">
        <f t="shared" si="292"/>
        <v>278.97710926518397</v>
      </c>
      <c r="X270" s="65">
        <f t="shared" si="292"/>
        <v>199.78244195610307</v>
      </c>
      <c r="Y270" s="65">
        <f t="shared" si="292"/>
        <v>97.484553791098222</v>
      </c>
      <c r="Z270" s="65">
        <f t="shared" si="292"/>
        <v>148.3397754417357</v>
      </c>
      <c r="AA270" s="65">
        <f t="shared" si="292"/>
        <v>209.51693464837805</v>
      </c>
      <c r="AB270" s="65">
        <f t="shared" si="292"/>
        <v>17.447986662436762</v>
      </c>
      <c r="AC270" s="65">
        <f t="shared" si="292"/>
        <v>65.648938645865869</v>
      </c>
      <c r="AD270" s="65">
        <f t="shared" si="292"/>
        <v>235.12786101584103</v>
      </c>
      <c r="AE270" s="65">
        <f t="shared" si="292"/>
        <v>60.860137803851636</v>
      </c>
      <c r="AF270" s="65">
        <f t="shared" si="292"/>
        <v>0.88259030395884186</v>
      </c>
      <c r="AG270" s="65">
        <f t="shared" si="292"/>
        <v>69.980109792415504</v>
      </c>
      <c r="AH270" s="65">
        <f t="shared" si="292"/>
        <v>25.955632915582946</v>
      </c>
      <c r="AI270" s="65">
        <f t="shared" si="292"/>
        <v>1038.914744129293</v>
      </c>
    </row>
    <row r="271" spans="2:35" x14ac:dyDescent="0.25">
      <c r="B271" s="46" t="s">
        <v>122</v>
      </c>
      <c r="C271" s="46" t="s">
        <v>468</v>
      </c>
      <c r="D271" s="46" t="s">
        <v>473</v>
      </c>
      <c r="E271" s="46" t="s">
        <v>482</v>
      </c>
      <c r="F271" s="46" t="s">
        <v>12</v>
      </c>
      <c r="G271" s="46"/>
      <c r="H271" s="65">
        <f>H205+H206+H200</f>
        <v>0</v>
      </c>
      <c r="I271" s="65">
        <f t="shared" ref="I271:AI271" si="294">I205+I206+I200</f>
        <v>403.36861737811154</v>
      </c>
      <c r="J271" s="65">
        <f t="shared" si="294"/>
        <v>0</v>
      </c>
      <c r="K271" s="65">
        <f t="shared" si="294"/>
        <v>0.16845372914462364</v>
      </c>
      <c r="L271" s="65">
        <f t="shared" si="294"/>
        <v>148.58954966875154</v>
      </c>
      <c r="M271" s="65">
        <f t="shared" si="294"/>
        <v>450.29752478519504</v>
      </c>
      <c r="N271" s="65">
        <f t="shared" si="294"/>
        <v>2.4193701840264561</v>
      </c>
      <c r="O271" s="65">
        <f t="shared" si="294"/>
        <v>354.99689823871211</v>
      </c>
      <c r="P271" s="65">
        <f t="shared" si="294"/>
        <v>6.4363825990736609</v>
      </c>
      <c r="Q271" s="65">
        <f t="shared" si="294"/>
        <v>552.40721354948926</v>
      </c>
      <c r="R271" s="65">
        <f t="shared" si="294"/>
        <v>17.286192820214502</v>
      </c>
      <c r="S271" s="65">
        <f t="shared" si="294"/>
        <v>756.07755564242018</v>
      </c>
      <c r="T271" s="65">
        <f t="shared" si="294"/>
        <v>302.86994432605815</v>
      </c>
      <c r="U271" s="65">
        <f t="shared" si="294"/>
        <v>844.35997467661264</v>
      </c>
      <c r="V271" s="65">
        <f t="shared" si="294"/>
        <v>455.77507874107744</v>
      </c>
      <c r="W271" s="65">
        <f t="shared" si="294"/>
        <v>1022.5078436231727</v>
      </c>
      <c r="X271" s="65">
        <f t="shared" si="294"/>
        <v>1420.6788303194708</v>
      </c>
      <c r="Y271" s="65">
        <f t="shared" si="294"/>
        <v>1.0087143957786973</v>
      </c>
      <c r="Z271" s="65">
        <f t="shared" si="294"/>
        <v>44.950674157303375</v>
      </c>
      <c r="AA271" s="65">
        <f t="shared" si="294"/>
        <v>297.10075989448035</v>
      </c>
      <c r="AB271" s="65">
        <f t="shared" si="294"/>
        <v>338.81379657716479</v>
      </c>
      <c r="AC271" s="65">
        <f t="shared" si="294"/>
        <v>432.3791333967755</v>
      </c>
      <c r="AD271" s="65">
        <f t="shared" si="294"/>
        <v>1553.1071943506172</v>
      </c>
      <c r="AE271" s="65">
        <f t="shared" si="294"/>
        <v>24.63246049095515</v>
      </c>
      <c r="AF271" s="65">
        <f t="shared" si="294"/>
        <v>0</v>
      </c>
      <c r="AG271" s="65">
        <f t="shared" si="294"/>
        <v>1905.6837973836421</v>
      </c>
      <c r="AH271" s="65">
        <f t="shared" si="294"/>
        <v>216.92945760589555</v>
      </c>
      <c r="AI271" s="65">
        <f t="shared" si="294"/>
        <v>3463.0831639824469</v>
      </c>
    </row>
    <row r="272" spans="2:35" x14ac:dyDescent="0.25">
      <c r="B272" s="46" t="s">
        <v>122</v>
      </c>
      <c r="C272" s="46" t="s">
        <v>468</v>
      </c>
      <c r="D272" s="46" t="s">
        <v>21</v>
      </c>
      <c r="E272" s="46" t="s">
        <v>107</v>
      </c>
      <c r="F272" s="46" t="s">
        <v>12</v>
      </c>
      <c r="G272" s="46"/>
      <c r="H272" s="65">
        <f>SUMIFS(H$200:H$261,$E$200:$E$261,$E272,$C$200:$C$261,$C272)</f>
        <v>0</v>
      </c>
      <c r="I272" s="65">
        <f t="shared" si="292"/>
        <v>0</v>
      </c>
      <c r="J272" s="65">
        <f t="shared" si="292"/>
        <v>0</v>
      </c>
      <c r="K272" s="65">
        <f t="shared" si="292"/>
        <v>0</v>
      </c>
      <c r="L272" s="65">
        <f t="shared" si="292"/>
        <v>0.20784362049627259</v>
      </c>
      <c r="M272" s="65">
        <f t="shared" si="292"/>
        <v>0.26500000000000001</v>
      </c>
      <c r="N272" s="65">
        <f t="shared" si="292"/>
        <v>0</v>
      </c>
      <c r="O272" s="65">
        <f t="shared" si="292"/>
        <v>0</v>
      </c>
      <c r="P272" s="65">
        <f t="shared" si="292"/>
        <v>0</v>
      </c>
      <c r="Q272" s="65">
        <f t="shared" si="292"/>
        <v>0</v>
      </c>
      <c r="R272" s="65">
        <f t="shared" si="292"/>
        <v>0</v>
      </c>
      <c r="S272" s="65">
        <f t="shared" si="292"/>
        <v>0</v>
      </c>
      <c r="T272" s="65">
        <f t="shared" si="292"/>
        <v>0</v>
      </c>
      <c r="U272" s="65">
        <f t="shared" si="292"/>
        <v>0.43891198655353314</v>
      </c>
      <c r="V272" s="65">
        <f t="shared" si="292"/>
        <v>0.93331667037064758</v>
      </c>
      <c r="W272" s="65">
        <f t="shared" si="292"/>
        <v>4.1363076200410361E-2</v>
      </c>
      <c r="X272" s="65">
        <f t="shared" si="292"/>
        <v>1.0451078555206077</v>
      </c>
      <c r="Y272" s="65">
        <f t="shared" si="292"/>
        <v>0</v>
      </c>
      <c r="Z272" s="65">
        <f t="shared" si="292"/>
        <v>0</v>
      </c>
      <c r="AA272" s="65">
        <f t="shared" si="292"/>
        <v>2.390407678382378</v>
      </c>
      <c r="AB272" s="65">
        <f t="shared" si="292"/>
        <v>0</v>
      </c>
      <c r="AC272" s="65">
        <f t="shared" si="292"/>
        <v>53.747539798346537</v>
      </c>
      <c r="AD272" s="65">
        <f t="shared" si="292"/>
        <v>0</v>
      </c>
      <c r="AE272" s="65">
        <f t="shared" si="292"/>
        <v>0</v>
      </c>
      <c r="AF272" s="65">
        <f t="shared" si="292"/>
        <v>0</v>
      </c>
      <c r="AG272" s="65">
        <f t="shared" si="292"/>
        <v>0</v>
      </c>
      <c r="AH272" s="65">
        <f t="shared" si="292"/>
        <v>1.156834666824849</v>
      </c>
      <c r="AI272" s="65">
        <f t="shared" si="292"/>
        <v>10.576227797850997</v>
      </c>
    </row>
    <row r="273" spans="2:35" x14ac:dyDescent="0.25">
      <c r="B273" s="46" t="s">
        <v>122</v>
      </c>
      <c r="C273" s="46" t="s">
        <v>468</v>
      </c>
      <c r="D273" s="46" t="s">
        <v>20</v>
      </c>
      <c r="E273" s="46" t="s">
        <v>108</v>
      </c>
      <c r="F273" s="46" t="s">
        <v>12</v>
      </c>
      <c r="G273" s="46"/>
      <c r="H273" s="65">
        <f t="shared" ref="H273:W274" si="295">SUMIFS(H$200:H$261,$E$200:$E$261,$E273,$C$200:$C$261,$C273)</f>
        <v>0</v>
      </c>
      <c r="I273" s="65">
        <f t="shared" si="295"/>
        <v>0</v>
      </c>
      <c r="J273" s="65">
        <f t="shared" si="295"/>
        <v>0</v>
      </c>
      <c r="K273" s="65">
        <f t="shared" si="295"/>
        <v>0</v>
      </c>
      <c r="L273" s="65">
        <f t="shared" si="295"/>
        <v>0</v>
      </c>
      <c r="M273" s="65">
        <f t="shared" si="295"/>
        <v>124.96</v>
      </c>
      <c r="N273" s="65">
        <f t="shared" si="295"/>
        <v>0</v>
      </c>
      <c r="O273" s="65">
        <f t="shared" si="295"/>
        <v>0</v>
      </c>
      <c r="P273" s="65">
        <f t="shared" si="295"/>
        <v>0</v>
      </c>
      <c r="Q273" s="65">
        <f t="shared" si="295"/>
        <v>0</v>
      </c>
      <c r="R273" s="65">
        <f t="shared" si="295"/>
        <v>0</v>
      </c>
      <c r="S273" s="65">
        <f t="shared" si="295"/>
        <v>1175.51132450971</v>
      </c>
      <c r="T273" s="65">
        <f t="shared" si="295"/>
        <v>201.00833956691486</v>
      </c>
      <c r="U273" s="65">
        <f t="shared" si="295"/>
        <v>35.384380035341195</v>
      </c>
      <c r="V273" s="65">
        <f t="shared" si="295"/>
        <v>325.10696696080646</v>
      </c>
      <c r="W273" s="65">
        <f t="shared" si="295"/>
        <v>87.74894594942964</v>
      </c>
      <c r="X273" s="65">
        <f t="shared" si="292"/>
        <v>447.64730114207498</v>
      </c>
      <c r="Y273" s="65">
        <f t="shared" si="292"/>
        <v>0</v>
      </c>
      <c r="Z273" s="65">
        <f t="shared" si="292"/>
        <v>0</v>
      </c>
      <c r="AA273" s="65">
        <f t="shared" si="292"/>
        <v>1.0435626548916987</v>
      </c>
      <c r="AB273" s="65">
        <f t="shared" si="292"/>
        <v>0</v>
      </c>
      <c r="AC273" s="65">
        <f t="shared" si="292"/>
        <v>2.8663935712035995</v>
      </c>
      <c r="AD273" s="65">
        <f t="shared" si="292"/>
        <v>0</v>
      </c>
      <c r="AE273" s="65">
        <f t="shared" si="292"/>
        <v>0</v>
      </c>
      <c r="AF273" s="65">
        <f t="shared" si="292"/>
        <v>0</v>
      </c>
      <c r="AG273" s="65">
        <f t="shared" si="292"/>
        <v>1815.4741472025505</v>
      </c>
      <c r="AH273" s="65">
        <f t="shared" si="292"/>
        <v>63.789422275565194</v>
      </c>
      <c r="AI273" s="65">
        <f t="shared" si="292"/>
        <v>0</v>
      </c>
    </row>
    <row r="274" spans="2:35" x14ac:dyDescent="0.25">
      <c r="B274" s="46" t="s">
        <v>122</v>
      </c>
      <c r="C274" s="46" t="s">
        <v>468</v>
      </c>
      <c r="D274" s="46" t="s">
        <v>0</v>
      </c>
      <c r="E274" s="46" t="s">
        <v>109</v>
      </c>
      <c r="F274" s="46" t="s">
        <v>12</v>
      </c>
      <c r="G274" s="46"/>
      <c r="H274" s="65">
        <f t="shared" si="295"/>
        <v>6.1628919992502142</v>
      </c>
      <c r="I274" s="65">
        <f t="shared" si="292"/>
        <v>73.590610235267818</v>
      </c>
      <c r="J274" s="65">
        <f t="shared" si="292"/>
        <v>8.4453828722611544</v>
      </c>
      <c r="K274" s="65">
        <f t="shared" si="292"/>
        <v>5.0928511986747553</v>
      </c>
      <c r="L274" s="65">
        <f t="shared" si="292"/>
        <v>14.395015581564051</v>
      </c>
      <c r="M274" s="65">
        <f t="shared" si="292"/>
        <v>1.575912658227846</v>
      </c>
      <c r="N274" s="65">
        <f t="shared" si="292"/>
        <v>1.843050991722947</v>
      </c>
      <c r="O274" s="65">
        <f t="shared" si="292"/>
        <v>0.81794683544303681</v>
      </c>
      <c r="P274" s="65">
        <f t="shared" si="292"/>
        <v>27.02959704631872</v>
      </c>
      <c r="Q274" s="65">
        <f t="shared" si="292"/>
        <v>13.233168571597179</v>
      </c>
      <c r="R274" s="65">
        <f t="shared" si="292"/>
        <v>31.60341425148939</v>
      </c>
      <c r="S274" s="65">
        <f t="shared" si="292"/>
        <v>424.78488422795294</v>
      </c>
      <c r="T274" s="65">
        <f t="shared" si="292"/>
        <v>3.0556853003663784</v>
      </c>
      <c r="U274" s="65">
        <f t="shared" si="292"/>
        <v>8.6760273506403891</v>
      </c>
      <c r="V274" s="65">
        <f t="shared" si="292"/>
        <v>17.105902318469937</v>
      </c>
      <c r="W274" s="65">
        <f t="shared" si="292"/>
        <v>115.61972742350812</v>
      </c>
      <c r="X274" s="65">
        <f t="shared" si="292"/>
        <v>40.162170995702567</v>
      </c>
      <c r="Y274" s="65">
        <f t="shared" si="292"/>
        <v>6.7246860759493572</v>
      </c>
      <c r="Z274" s="65">
        <f t="shared" si="292"/>
        <v>17.931706329113897</v>
      </c>
      <c r="AA274" s="65">
        <f t="shared" si="292"/>
        <v>165.55508177089757</v>
      </c>
      <c r="AB274" s="65">
        <f t="shared" si="292"/>
        <v>95.597478478616353</v>
      </c>
      <c r="AC274" s="65">
        <f t="shared" si="292"/>
        <v>22.851805600547653</v>
      </c>
      <c r="AD274" s="65">
        <f t="shared" si="292"/>
        <v>100.58219915181438</v>
      </c>
      <c r="AE274" s="65">
        <f t="shared" si="292"/>
        <v>199.52882718775828</v>
      </c>
      <c r="AF274" s="65">
        <f t="shared" si="292"/>
        <v>2.9998754818987452</v>
      </c>
      <c r="AG274" s="65">
        <f t="shared" si="292"/>
        <v>7.7582806461678739</v>
      </c>
      <c r="AH274" s="65">
        <f t="shared" si="292"/>
        <v>18.669633885236969</v>
      </c>
      <c r="AI274" s="65">
        <f t="shared" si="292"/>
        <v>127.37317198093859</v>
      </c>
    </row>
    <row r="275" spans="2:35" x14ac:dyDescent="0.25">
      <c r="B275" s="46" t="s">
        <v>122</v>
      </c>
      <c r="C275" s="46" t="s">
        <v>468</v>
      </c>
      <c r="D275" s="46" t="s">
        <v>18</v>
      </c>
      <c r="E275" s="46" t="s">
        <v>104</v>
      </c>
      <c r="F275" s="46" t="s">
        <v>12</v>
      </c>
      <c r="G275" s="46"/>
      <c r="H275" s="65">
        <f>SUMIFS(H$200:H$261,$E$200:$E$261,$E275,$C$200:$C$261,$C275)</f>
        <v>0.17986238698650309</v>
      </c>
      <c r="I275" s="65">
        <f t="shared" si="292"/>
        <v>0.10399627733829687</v>
      </c>
      <c r="J275" s="65">
        <f t="shared" si="292"/>
        <v>0</v>
      </c>
      <c r="K275" s="65">
        <f t="shared" si="292"/>
        <v>160.33951046998604</v>
      </c>
      <c r="L275" s="65">
        <f t="shared" si="292"/>
        <v>0.22650896263653769</v>
      </c>
      <c r="M275" s="65">
        <f t="shared" si="292"/>
        <v>154.72214285714287</v>
      </c>
      <c r="N275" s="65">
        <f t="shared" si="292"/>
        <v>38.764720098429649</v>
      </c>
      <c r="O275" s="65">
        <f t="shared" si="292"/>
        <v>7.571428571428572E-2</v>
      </c>
      <c r="P275" s="65">
        <f t="shared" si="292"/>
        <v>0</v>
      </c>
      <c r="Q275" s="65">
        <f t="shared" si="292"/>
        <v>0</v>
      </c>
      <c r="R275" s="65">
        <f t="shared" si="292"/>
        <v>0</v>
      </c>
      <c r="S275" s="65">
        <f t="shared" si="292"/>
        <v>933.48528159073464</v>
      </c>
      <c r="T275" s="65">
        <f t="shared" si="292"/>
        <v>22.035851152158358</v>
      </c>
      <c r="U275" s="65">
        <f t="shared" si="292"/>
        <v>13.24177333990856</v>
      </c>
      <c r="V275" s="65">
        <f t="shared" si="292"/>
        <v>196.10969389424147</v>
      </c>
      <c r="W275" s="65">
        <f t="shared" si="292"/>
        <v>2.8611178740429288</v>
      </c>
      <c r="X275" s="65">
        <f t="shared" si="292"/>
        <v>24.118204768461524</v>
      </c>
      <c r="Y275" s="65">
        <f t="shared" si="292"/>
        <v>39.113571428571426</v>
      </c>
      <c r="Z275" s="65">
        <f t="shared" si="292"/>
        <v>6.7857142857142865</v>
      </c>
      <c r="AA275" s="65">
        <f t="shared" si="292"/>
        <v>0</v>
      </c>
      <c r="AB275" s="65">
        <f t="shared" si="292"/>
        <v>3.7722646611716897</v>
      </c>
      <c r="AC275" s="65">
        <f t="shared" si="292"/>
        <v>35.369922966704699</v>
      </c>
      <c r="AD275" s="65">
        <f t="shared" si="292"/>
        <v>0.38881666183525398</v>
      </c>
      <c r="AE275" s="65">
        <f t="shared" si="292"/>
        <v>0</v>
      </c>
      <c r="AF275" s="65">
        <f t="shared" si="292"/>
        <v>0</v>
      </c>
      <c r="AG275" s="65">
        <f t="shared" si="292"/>
        <v>49.547300271771007</v>
      </c>
      <c r="AH275" s="65">
        <f t="shared" si="292"/>
        <v>6.8939827680630064</v>
      </c>
      <c r="AI275" s="65">
        <f t="shared" si="292"/>
        <v>0</v>
      </c>
    </row>
    <row r="276" spans="2:35" x14ac:dyDescent="0.25">
      <c r="B276" s="48" t="s">
        <v>122</v>
      </c>
      <c r="C276" s="46" t="s">
        <v>468</v>
      </c>
      <c r="D276" s="48" t="s">
        <v>474</v>
      </c>
      <c r="E276" s="48" t="s">
        <v>475</v>
      </c>
      <c r="F276" s="48" t="s">
        <v>12</v>
      </c>
      <c r="G276" s="48"/>
      <c r="H276" s="89">
        <f>H209+H202</f>
        <v>1.9731580118539813</v>
      </c>
      <c r="I276" s="89">
        <f t="shared" ref="I276:AI276" si="296">I209+I202</f>
        <v>0.91488564196106137</v>
      </c>
      <c r="J276" s="89">
        <f t="shared" si="296"/>
        <v>2.610581045965477</v>
      </c>
      <c r="K276" s="89">
        <f t="shared" si="296"/>
        <v>4.695656051073966</v>
      </c>
      <c r="L276" s="89">
        <f t="shared" si="296"/>
        <v>9.623153455417395E-2</v>
      </c>
      <c r="M276" s="89">
        <f t="shared" si="296"/>
        <v>1.4879569620253144</v>
      </c>
      <c r="N276" s="89">
        <f t="shared" si="296"/>
        <v>0.41635499131851467</v>
      </c>
      <c r="O276" s="89">
        <f t="shared" si="296"/>
        <v>0.33546582278480963</v>
      </c>
      <c r="P276" s="89">
        <f t="shared" si="296"/>
        <v>8.8620650245985946E-3</v>
      </c>
      <c r="Q276" s="89">
        <f t="shared" si="296"/>
        <v>47.243976259992785</v>
      </c>
      <c r="R276" s="89">
        <f t="shared" si="296"/>
        <v>3.1633919477600867</v>
      </c>
      <c r="S276" s="89">
        <f t="shared" si="296"/>
        <v>664.26112595929487</v>
      </c>
      <c r="T276" s="89">
        <f t="shared" si="296"/>
        <v>0.14961924257914469</v>
      </c>
      <c r="U276" s="89">
        <f t="shared" si="296"/>
        <v>131.52328364189779</v>
      </c>
      <c r="V276" s="89">
        <f t="shared" si="296"/>
        <v>4.6263489612319599</v>
      </c>
      <c r="W276" s="89">
        <f t="shared" si="296"/>
        <v>250.07062067875916</v>
      </c>
      <c r="X276" s="89">
        <f t="shared" si="296"/>
        <v>595.66152980257459</v>
      </c>
      <c r="Y276" s="89">
        <f t="shared" si="296"/>
        <v>12.436688607594919</v>
      </c>
      <c r="Z276" s="89">
        <f t="shared" si="296"/>
        <v>1.5965316455696179</v>
      </c>
      <c r="AA276" s="89">
        <f t="shared" si="296"/>
        <v>251.690023689957</v>
      </c>
      <c r="AB276" s="89">
        <f t="shared" si="296"/>
        <v>5.2599776893595331</v>
      </c>
      <c r="AC276" s="89">
        <f t="shared" si="296"/>
        <v>14.282670910951964</v>
      </c>
      <c r="AD276" s="89">
        <f t="shared" si="296"/>
        <v>66.225773093710487</v>
      </c>
      <c r="AE276" s="89">
        <f t="shared" si="296"/>
        <v>0</v>
      </c>
      <c r="AF276" s="89">
        <f t="shared" si="296"/>
        <v>4.2638381244549262</v>
      </c>
      <c r="AG276" s="89">
        <f t="shared" si="296"/>
        <v>1.5677657098711186</v>
      </c>
      <c r="AH276" s="89">
        <f t="shared" si="296"/>
        <v>61.851439430017962</v>
      </c>
      <c r="AI276" s="89">
        <f t="shared" si="296"/>
        <v>304.05921591086894</v>
      </c>
    </row>
    <row r="277" spans="2:35" x14ac:dyDescent="0.25">
      <c r="B277" s="346" t="s">
        <v>122</v>
      </c>
      <c r="C277" s="346" t="s">
        <v>468</v>
      </c>
      <c r="D277" s="346" t="s">
        <v>177</v>
      </c>
      <c r="E277" s="346"/>
      <c r="F277" s="346" t="s">
        <v>12</v>
      </c>
      <c r="G277" s="346"/>
      <c r="H277" s="347">
        <f>SUM(H268:H276)</f>
        <v>586.53649122642537</v>
      </c>
      <c r="I277" s="347">
        <f t="shared" ref="I277:AI277" si="297">SUM(I268:I276)</f>
        <v>513.94791114668658</v>
      </c>
      <c r="J277" s="347">
        <f t="shared" si="297"/>
        <v>420.55672756583124</v>
      </c>
      <c r="K277" s="347">
        <f t="shared" si="297"/>
        <v>388.4038736490669</v>
      </c>
      <c r="L277" s="347">
        <f t="shared" si="297"/>
        <v>273.64723424057797</v>
      </c>
      <c r="M277" s="347">
        <f t="shared" si="297"/>
        <v>844.16262478423198</v>
      </c>
      <c r="N277" s="347">
        <f t="shared" si="297"/>
        <v>940.36560222880757</v>
      </c>
      <c r="O277" s="347">
        <f t="shared" si="297"/>
        <v>1861.2071333521662</v>
      </c>
      <c r="P277" s="347">
        <f t="shared" si="297"/>
        <v>106.68608127180516</v>
      </c>
      <c r="Q277" s="347">
        <f t="shared" si="297"/>
        <v>1029.0059934641813</v>
      </c>
      <c r="R277" s="347">
        <f t="shared" si="297"/>
        <v>126.02590404353441</v>
      </c>
      <c r="S277" s="347">
        <f t="shared" si="297"/>
        <v>5164.9992684123335</v>
      </c>
      <c r="T277" s="347">
        <f t="shared" si="297"/>
        <v>832.62688813206216</v>
      </c>
      <c r="U277" s="347">
        <f t="shared" si="297"/>
        <v>1221.6324871974205</v>
      </c>
      <c r="V277" s="347">
        <f t="shared" si="297"/>
        <v>1718.0134116591062</v>
      </c>
      <c r="W277" s="347">
        <f t="shared" si="297"/>
        <v>2406.4915825388066</v>
      </c>
      <c r="X277" s="347">
        <f t="shared" si="297"/>
        <v>3228.3927805276267</v>
      </c>
      <c r="Y277" s="347">
        <f t="shared" si="297"/>
        <v>1241.1800128957366</v>
      </c>
      <c r="Z277" s="347">
        <f t="shared" si="297"/>
        <v>4101.5778244554604</v>
      </c>
      <c r="AA277" s="347">
        <f t="shared" si="297"/>
        <v>934.3191196607861</v>
      </c>
      <c r="AB277" s="347">
        <f t="shared" si="297"/>
        <v>461.77766181904747</v>
      </c>
      <c r="AC277" s="347">
        <f t="shared" si="297"/>
        <v>739.81318210155223</v>
      </c>
      <c r="AD277" s="347">
        <f t="shared" si="297"/>
        <v>2040.3058237675941</v>
      </c>
      <c r="AE277" s="347">
        <f t="shared" si="297"/>
        <v>535.3301894461913</v>
      </c>
      <c r="AF277" s="347">
        <f t="shared" si="297"/>
        <v>832.95965633510002</v>
      </c>
      <c r="AG277" s="347">
        <f t="shared" si="297"/>
        <v>3887.1006347939197</v>
      </c>
      <c r="AH277" s="347">
        <f t="shared" si="297"/>
        <v>399.27477091415324</v>
      </c>
      <c r="AI277" s="347">
        <f t="shared" si="297"/>
        <v>5359.0326785756524</v>
      </c>
    </row>
    <row r="278" spans="2:35" x14ac:dyDescent="0.25">
      <c r="B278" s="46" t="s">
        <v>122</v>
      </c>
      <c r="C278" s="46" t="s">
        <v>469</v>
      </c>
      <c r="D278" s="46" t="s">
        <v>22</v>
      </c>
      <c r="E278" s="46" t="s">
        <v>111</v>
      </c>
      <c r="F278" s="46" t="s">
        <v>12</v>
      </c>
      <c r="G278" s="46"/>
      <c r="H278" s="65">
        <f>SUMIFS(H$200:H$261,$E$200:$E$261,$E278,$C$200:$C$261,$C278)</f>
        <v>0</v>
      </c>
      <c r="I278" s="65">
        <f t="shared" ref="I278:AI280" si="298">SUMIFS(I$200:I$261,$E$200:$E$261,$E278,$C$200:$C$261,$C278)</f>
        <v>0</v>
      </c>
      <c r="J278" s="65">
        <f t="shared" si="298"/>
        <v>0</v>
      </c>
      <c r="K278" s="65">
        <f t="shared" si="298"/>
        <v>0</v>
      </c>
      <c r="L278" s="65">
        <f t="shared" si="298"/>
        <v>1.3071973227443513E-2</v>
      </c>
      <c r="M278" s="65">
        <f t="shared" si="298"/>
        <v>0</v>
      </c>
      <c r="N278" s="65">
        <f t="shared" si="298"/>
        <v>1.8619112960945258E-3</v>
      </c>
      <c r="O278" s="65">
        <f t="shared" si="298"/>
        <v>0</v>
      </c>
      <c r="P278" s="65">
        <f t="shared" si="298"/>
        <v>0</v>
      </c>
      <c r="Q278" s="65">
        <f t="shared" si="298"/>
        <v>0</v>
      </c>
      <c r="R278" s="65">
        <f t="shared" si="298"/>
        <v>0</v>
      </c>
      <c r="S278" s="65">
        <f t="shared" si="298"/>
        <v>0</v>
      </c>
      <c r="T278" s="65">
        <f t="shared" si="298"/>
        <v>6.453324628535994E-4</v>
      </c>
      <c r="U278" s="65">
        <f t="shared" si="298"/>
        <v>0.51914655476124871</v>
      </c>
      <c r="V278" s="65">
        <f t="shared" si="298"/>
        <v>2.1828740055276432E-2</v>
      </c>
      <c r="W278" s="65">
        <f t="shared" si="298"/>
        <v>2.4894957871580359</v>
      </c>
      <c r="X278" s="65">
        <f t="shared" si="298"/>
        <v>0.5285165878964676</v>
      </c>
      <c r="Y278" s="65">
        <f t="shared" si="298"/>
        <v>0</v>
      </c>
      <c r="Z278" s="65">
        <f t="shared" si="298"/>
        <v>0</v>
      </c>
      <c r="AA278" s="65">
        <f t="shared" si="298"/>
        <v>0.21639581746040804</v>
      </c>
      <c r="AB278" s="65">
        <f t="shared" si="298"/>
        <v>1.1842249701646969E-2</v>
      </c>
      <c r="AC278" s="65">
        <f t="shared" si="298"/>
        <v>1.4707130577617369</v>
      </c>
      <c r="AD278" s="65">
        <f t="shared" si="298"/>
        <v>0</v>
      </c>
      <c r="AE278" s="65">
        <f t="shared" si="298"/>
        <v>0.16452807683686907</v>
      </c>
      <c r="AF278" s="65">
        <f t="shared" si="298"/>
        <v>0</v>
      </c>
      <c r="AG278" s="65">
        <f t="shared" si="298"/>
        <v>0</v>
      </c>
      <c r="AH278" s="65">
        <f t="shared" si="298"/>
        <v>0.20122987397516762</v>
      </c>
      <c r="AI278" s="65">
        <f t="shared" si="298"/>
        <v>9.3362856582258242</v>
      </c>
    </row>
    <row r="279" spans="2:35" x14ac:dyDescent="0.25">
      <c r="B279" s="46" t="s">
        <v>122</v>
      </c>
      <c r="C279" s="46" t="s">
        <v>469</v>
      </c>
      <c r="D279" s="46" t="s">
        <v>115</v>
      </c>
      <c r="E279" s="46" t="s">
        <v>368</v>
      </c>
      <c r="F279" s="46" t="s">
        <v>12</v>
      </c>
      <c r="G279" s="46"/>
      <c r="H279" s="65">
        <f t="shared" ref="H279:W280" si="299">SUMIFS(H$200:H$261,$E$200:$E$261,$E279,$C$200:$C$261,$C279)</f>
        <v>4.2298463987446873</v>
      </c>
      <c r="I279" s="65">
        <f t="shared" si="299"/>
        <v>0</v>
      </c>
      <c r="J279" s="65">
        <f t="shared" si="299"/>
        <v>13.895108806980758</v>
      </c>
      <c r="K279" s="65">
        <f t="shared" si="299"/>
        <v>0</v>
      </c>
      <c r="L279" s="65">
        <f t="shared" si="299"/>
        <v>1.0603954664011078E-2</v>
      </c>
      <c r="M279" s="65">
        <f t="shared" si="299"/>
        <v>0</v>
      </c>
      <c r="N279" s="65">
        <f t="shared" si="299"/>
        <v>16.746441797630045</v>
      </c>
      <c r="O279" s="65">
        <f t="shared" si="299"/>
        <v>0</v>
      </c>
      <c r="P279" s="65">
        <f t="shared" si="299"/>
        <v>0</v>
      </c>
      <c r="Q279" s="65">
        <f t="shared" si="299"/>
        <v>11.433645894494957</v>
      </c>
      <c r="R279" s="65">
        <f t="shared" si="299"/>
        <v>0</v>
      </c>
      <c r="S279" s="65">
        <f t="shared" si="299"/>
        <v>57.40029458963123</v>
      </c>
      <c r="T279" s="65">
        <f t="shared" si="299"/>
        <v>0.49233369570728835</v>
      </c>
      <c r="U279" s="65">
        <f t="shared" si="299"/>
        <v>9.3715491369281363</v>
      </c>
      <c r="V279" s="65">
        <f t="shared" si="299"/>
        <v>2.526180539993415</v>
      </c>
      <c r="W279" s="65">
        <f t="shared" si="299"/>
        <v>38.863322965791482</v>
      </c>
      <c r="X279" s="65">
        <f t="shared" si="298"/>
        <v>6.5861614879358514</v>
      </c>
      <c r="Y279" s="65">
        <f t="shared" si="298"/>
        <v>0</v>
      </c>
      <c r="Z279" s="65">
        <f t="shared" si="298"/>
        <v>0</v>
      </c>
      <c r="AA279" s="65">
        <f t="shared" si="298"/>
        <v>8.6110057621802735E-3</v>
      </c>
      <c r="AB279" s="65">
        <f t="shared" si="298"/>
        <v>0</v>
      </c>
      <c r="AC279" s="65">
        <f t="shared" si="298"/>
        <v>2.326509731081992</v>
      </c>
      <c r="AD279" s="65">
        <f t="shared" si="298"/>
        <v>4.0020506224277684E-2</v>
      </c>
      <c r="AE279" s="65">
        <f t="shared" si="298"/>
        <v>5.1697079595369706</v>
      </c>
      <c r="AF279" s="65">
        <f t="shared" si="298"/>
        <v>28.412564273397074</v>
      </c>
      <c r="AG279" s="65">
        <f t="shared" si="298"/>
        <v>3.6913629562242329</v>
      </c>
      <c r="AH279" s="65">
        <f t="shared" si="298"/>
        <v>1.042502885800801</v>
      </c>
      <c r="AI279" s="65">
        <f t="shared" si="298"/>
        <v>128.78455956752009</v>
      </c>
    </row>
    <row r="280" spans="2:35" x14ac:dyDescent="0.25">
      <c r="B280" s="46" t="s">
        <v>122</v>
      </c>
      <c r="C280" s="46" t="s">
        <v>469</v>
      </c>
      <c r="D280" s="46" t="s">
        <v>19</v>
      </c>
      <c r="E280" s="46" t="s">
        <v>105</v>
      </c>
      <c r="F280" s="46" t="s">
        <v>12</v>
      </c>
      <c r="G280" s="46"/>
      <c r="H280" s="65">
        <f t="shared" si="299"/>
        <v>9.2695926684697189E-3</v>
      </c>
      <c r="I280" s="65">
        <f t="shared" si="298"/>
        <v>0</v>
      </c>
      <c r="J280" s="65">
        <f t="shared" si="298"/>
        <v>4.1185858224321678E-2</v>
      </c>
      <c r="K280" s="65">
        <f t="shared" si="298"/>
        <v>0</v>
      </c>
      <c r="L280" s="65">
        <f t="shared" si="298"/>
        <v>5.91863737549196E-2</v>
      </c>
      <c r="M280" s="65">
        <f t="shared" si="298"/>
        <v>0</v>
      </c>
      <c r="N280" s="65">
        <f t="shared" si="298"/>
        <v>0.99148072692141898</v>
      </c>
      <c r="O280" s="65">
        <f t="shared" si="298"/>
        <v>0</v>
      </c>
      <c r="P280" s="65">
        <f t="shared" si="298"/>
        <v>0.31392593592922702</v>
      </c>
      <c r="Q280" s="65">
        <f t="shared" si="298"/>
        <v>35.257400053179033</v>
      </c>
      <c r="R280" s="65">
        <f t="shared" si="298"/>
        <v>0</v>
      </c>
      <c r="S280" s="65">
        <f t="shared" si="298"/>
        <v>58.803501225869375</v>
      </c>
      <c r="T280" s="65">
        <f t="shared" si="298"/>
        <v>9.9908642294743791E-2</v>
      </c>
      <c r="U280" s="65">
        <f t="shared" si="298"/>
        <v>20.988235536497477</v>
      </c>
      <c r="V280" s="65">
        <f t="shared" si="298"/>
        <v>0.28697953639929408</v>
      </c>
      <c r="W280" s="65">
        <f t="shared" si="298"/>
        <v>17.784977485663504</v>
      </c>
      <c r="X280" s="65">
        <f t="shared" si="298"/>
        <v>2.8467769851122293</v>
      </c>
      <c r="Y280" s="65">
        <f t="shared" si="298"/>
        <v>0</v>
      </c>
      <c r="Z280" s="65">
        <f t="shared" si="298"/>
        <v>0</v>
      </c>
      <c r="AA280" s="65">
        <f t="shared" si="298"/>
        <v>6.7132433467526287</v>
      </c>
      <c r="AB280" s="65">
        <f t="shared" si="298"/>
        <v>0.23316775684466462</v>
      </c>
      <c r="AC280" s="65">
        <f t="shared" si="298"/>
        <v>2.2125745677653246</v>
      </c>
      <c r="AD280" s="65">
        <f t="shared" si="298"/>
        <v>0.11086950419209074</v>
      </c>
      <c r="AE280" s="65">
        <f t="shared" si="298"/>
        <v>1.2969675336623825</v>
      </c>
      <c r="AF280" s="65">
        <f t="shared" si="298"/>
        <v>3.0402822244071682E-2</v>
      </c>
      <c r="AG280" s="65">
        <f t="shared" si="298"/>
        <v>6.9648779060859827</v>
      </c>
      <c r="AH280" s="65">
        <f t="shared" si="298"/>
        <v>8.0136362990492014</v>
      </c>
      <c r="AI280" s="65">
        <f t="shared" si="298"/>
        <v>345.75117959657121</v>
      </c>
    </row>
    <row r="281" spans="2:35" x14ac:dyDescent="0.25">
      <c r="B281" s="46" t="s">
        <v>122</v>
      </c>
      <c r="C281" s="46" t="s">
        <v>469</v>
      </c>
      <c r="D281" s="46" t="s">
        <v>473</v>
      </c>
      <c r="E281" s="46" t="s">
        <v>482</v>
      </c>
      <c r="F281" s="46" t="s">
        <v>12</v>
      </c>
      <c r="G281" s="46"/>
      <c r="H281" s="65">
        <f>H218+H219+H213</f>
        <v>0</v>
      </c>
      <c r="I281" s="65">
        <f t="shared" ref="I281:AI281" si="300">I218+I219+I213</f>
        <v>0</v>
      </c>
      <c r="J281" s="65">
        <f t="shared" si="300"/>
        <v>0</v>
      </c>
      <c r="K281" s="65">
        <f t="shared" si="300"/>
        <v>0</v>
      </c>
      <c r="L281" s="65">
        <f t="shared" si="300"/>
        <v>0.11179732137457699</v>
      </c>
      <c r="M281" s="65">
        <f t="shared" si="300"/>
        <v>0</v>
      </c>
      <c r="N281" s="65">
        <f t="shared" si="300"/>
        <v>4.785154167769165E-2</v>
      </c>
      <c r="O281" s="65">
        <f t="shared" si="300"/>
        <v>0</v>
      </c>
      <c r="P281" s="65">
        <f t="shared" si="300"/>
        <v>2.7598869292720901E-2</v>
      </c>
      <c r="Q281" s="65">
        <f t="shared" si="300"/>
        <v>61.983007887861554</v>
      </c>
      <c r="R281" s="65">
        <f t="shared" si="300"/>
        <v>0</v>
      </c>
      <c r="S281" s="65">
        <f t="shared" si="300"/>
        <v>72.558096140067022</v>
      </c>
      <c r="T281" s="65">
        <f t="shared" si="300"/>
        <v>0.59164233565516533</v>
      </c>
      <c r="U281" s="65">
        <f t="shared" si="300"/>
        <v>138.6798152543098</v>
      </c>
      <c r="V281" s="65">
        <f t="shared" si="300"/>
        <v>1.7987140968785442</v>
      </c>
      <c r="W281" s="65">
        <f t="shared" si="300"/>
        <v>65.185559581041815</v>
      </c>
      <c r="X281" s="65">
        <f t="shared" si="300"/>
        <v>20.243799994587587</v>
      </c>
      <c r="Y281" s="65">
        <f t="shared" si="300"/>
        <v>0</v>
      </c>
      <c r="Z281" s="65">
        <f t="shared" si="300"/>
        <v>0</v>
      </c>
      <c r="AA281" s="65">
        <f t="shared" si="300"/>
        <v>9.5195631943740331</v>
      </c>
      <c r="AB281" s="65">
        <f t="shared" si="300"/>
        <v>4.5277689893012241</v>
      </c>
      <c r="AC281" s="65">
        <f t="shared" si="300"/>
        <v>14.572529182029031</v>
      </c>
      <c r="AD281" s="65">
        <f t="shared" si="300"/>
        <v>0.73233441520243681</v>
      </c>
      <c r="AE281" s="65">
        <f t="shared" si="300"/>
        <v>0.52493311194849579</v>
      </c>
      <c r="AF281" s="65">
        <f t="shared" si="300"/>
        <v>0</v>
      </c>
      <c r="AG281" s="65">
        <f t="shared" si="300"/>
        <v>189.66610678027084</v>
      </c>
      <c r="AH281" s="65">
        <f t="shared" si="300"/>
        <v>66.975587975740766</v>
      </c>
      <c r="AI281" s="65">
        <f t="shared" si="300"/>
        <v>1152.5152528193832</v>
      </c>
    </row>
    <row r="282" spans="2:35" x14ac:dyDescent="0.25">
      <c r="B282" s="46" t="s">
        <v>122</v>
      </c>
      <c r="C282" s="46" t="s">
        <v>469</v>
      </c>
      <c r="D282" s="46" t="s">
        <v>21</v>
      </c>
      <c r="E282" s="46" t="s">
        <v>107</v>
      </c>
      <c r="F282" s="46" t="s">
        <v>12</v>
      </c>
      <c r="G282" s="46"/>
      <c r="H282" s="65">
        <f>SUMIFS(H$200:H$261,$E$200:$E$261,$E282,$C$200:$C$261,$C282)</f>
        <v>0</v>
      </c>
      <c r="I282" s="65">
        <f t="shared" ref="I282:AI285" si="301">SUMIFS(I$200:I$261,$E$200:$E$261,$E282,$C$200:$C$261,$C282)</f>
        <v>0</v>
      </c>
      <c r="J282" s="65">
        <f t="shared" si="301"/>
        <v>0</v>
      </c>
      <c r="K282" s="65">
        <f t="shared" si="301"/>
        <v>0</v>
      </c>
      <c r="L282" s="65">
        <f t="shared" si="301"/>
        <v>1.5637950372739695E-4</v>
      </c>
      <c r="M282" s="65">
        <f t="shared" si="301"/>
        <v>0</v>
      </c>
      <c r="N282" s="65">
        <f t="shared" si="301"/>
        <v>0</v>
      </c>
      <c r="O282" s="65">
        <f t="shared" si="301"/>
        <v>0</v>
      </c>
      <c r="P282" s="65">
        <f t="shared" si="301"/>
        <v>0</v>
      </c>
      <c r="Q282" s="65">
        <f t="shared" si="301"/>
        <v>0</v>
      </c>
      <c r="R282" s="65">
        <f t="shared" si="301"/>
        <v>0</v>
      </c>
      <c r="S282" s="65">
        <f t="shared" si="301"/>
        <v>0</v>
      </c>
      <c r="T282" s="65">
        <f t="shared" si="301"/>
        <v>0</v>
      </c>
      <c r="U282" s="65">
        <f t="shared" si="301"/>
        <v>7.208801344646687E-2</v>
      </c>
      <c r="V282" s="65">
        <f t="shared" si="301"/>
        <v>3.6833296293524247E-3</v>
      </c>
      <c r="W282" s="65">
        <f t="shared" si="301"/>
        <v>2.6369237995896382E-3</v>
      </c>
      <c r="X282" s="65">
        <f t="shared" si="301"/>
        <v>1.4892144479392213E-2</v>
      </c>
      <c r="Y282" s="65">
        <f t="shared" si="301"/>
        <v>0</v>
      </c>
      <c r="Z282" s="65">
        <f t="shared" si="301"/>
        <v>0</v>
      </c>
      <c r="AA282" s="65">
        <f t="shared" si="301"/>
        <v>7.6592321617622194E-2</v>
      </c>
      <c r="AB282" s="65">
        <f t="shared" si="301"/>
        <v>0</v>
      </c>
      <c r="AC282" s="65">
        <f t="shared" si="301"/>
        <v>1.8114602016534616</v>
      </c>
      <c r="AD282" s="65">
        <f t="shared" si="301"/>
        <v>0</v>
      </c>
      <c r="AE282" s="65">
        <f t="shared" si="301"/>
        <v>0</v>
      </c>
      <c r="AF282" s="65">
        <f t="shared" si="301"/>
        <v>0</v>
      </c>
      <c r="AG282" s="65">
        <f t="shared" si="301"/>
        <v>0</v>
      </c>
      <c r="AH282" s="65">
        <f t="shared" si="301"/>
        <v>0.35716533317515092</v>
      </c>
      <c r="AI282" s="65">
        <f t="shared" si="301"/>
        <v>3.519772202149003</v>
      </c>
    </row>
    <row r="283" spans="2:35" x14ac:dyDescent="0.25">
      <c r="B283" s="46" t="s">
        <v>122</v>
      </c>
      <c r="C283" s="46" t="s">
        <v>469</v>
      </c>
      <c r="D283" s="46" t="s">
        <v>20</v>
      </c>
      <c r="E283" s="46" t="s">
        <v>108</v>
      </c>
      <c r="F283" s="46" t="s">
        <v>12</v>
      </c>
      <c r="G283" s="46"/>
      <c r="H283" s="65">
        <f t="shared" ref="H283:W284" si="302">SUMIFS(H$200:H$261,$E$200:$E$261,$E283,$C$200:$C$261,$C283)</f>
        <v>0</v>
      </c>
      <c r="I283" s="65">
        <f t="shared" si="302"/>
        <v>0</v>
      </c>
      <c r="J283" s="65">
        <f t="shared" si="302"/>
        <v>0</v>
      </c>
      <c r="K283" s="65">
        <f t="shared" si="302"/>
        <v>0</v>
      </c>
      <c r="L283" s="65">
        <f t="shared" si="302"/>
        <v>0</v>
      </c>
      <c r="M283" s="65">
        <f t="shared" si="302"/>
        <v>0</v>
      </c>
      <c r="N283" s="65">
        <f t="shared" si="302"/>
        <v>0</v>
      </c>
      <c r="O283" s="65">
        <f t="shared" si="302"/>
        <v>0</v>
      </c>
      <c r="P283" s="65">
        <f t="shared" si="302"/>
        <v>0</v>
      </c>
      <c r="Q283" s="65">
        <f t="shared" si="302"/>
        <v>0</v>
      </c>
      <c r="R283" s="65">
        <f t="shared" si="302"/>
        <v>0</v>
      </c>
      <c r="S283" s="65">
        <f t="shared" si="302"/>
        <v>112.80967549029003</v>
      </c>
      <c r="T283" s="65">
        <f t="shared" si="302"/>
        <v>0.39266043308512916</v>
      </c>
      <c r="U283" s="65">
        <f t="shared" si="302"/>
        <v>5.8116199646588047</v>
      </c>
      <c r="V283" s="65">
        <f t="shared" si="302"/>
        <v>1.2830330391935303</v>
      </c>
      <c r="W283" s="65">
        <f t="shared" si="302"/>
        <v>5.5940540505703549</v>
      </c>
      <c r="X283" s="65">
        <f t="shared" si="301"/>
        <v>6.378698857925027</v>
      </c>
      <c r="Y283" s="65">
        <f t="shared" si="301"/>
        <v>0</v>
      </c>
      <c r="Z283" s="65">
        <f t="shared" si="301"/>
        <v>0</v>
      </c>
      <c r="AA283" s="65">
        <f t="shared" si="301"/>
        <v>3.3437345108301215E-2</v>
      </c>
      <c r="AB283" s="65">
        <f t="shared" si="301"/>
        <v>0</v>
      </c>
      <c r="AC283" s="65">
        <f t="shared" si="301"/>
        <v>9.6606428796400343E-2</v>
      </c>
      <c r="AD283" s="65">
        <f t="shared" si="301"/>
        <v>0</v>
      </c>
      <c r="AE283" s="65">
        <f t="shared" si="301"/>
        <v>0</v>
      </c>
      <c r="AF283" s="65">
        <f t="shared" si="301"/>
        <v>0</v>
      </c>
      <c r="AG283" s="65">
        <f t="shared" si="301"/>
        <v>180.68785279744949</v>
      </c>
      <c r="AH283" s="65">
        <f t="shared" si="301"/>
        <v>19.694577724434808</v>
      </c>
      <c r="AI283" s="65">
        <f t="shared" si="301"/>
        <v>0</v>
      </c>
    </row>
    <row r="284" spans="2:35" x14ac:dyDescent="0.25">
      <c r="B284" s="46" t="s">
        <v>122</v>
      </c>
      <c r="C284" s="46" t="s">
        <v>469</v>
      </c>
      <c r="D284" s="46" t="s">
        <v>0</v>
      </c>
      <c r="E284" s="46" t="s">
        <v>109</v>
      </c>
      <c r="F284" s="46" t="s">
        <v>12</v>
      </c>
      <c r="G284" s="46"/>
      <c r="H284" s="65">
        <f t="shared" si="302"/>
        <v>4.5182089645291003E-2</v>
      </c>
      <c r="I284" s="65">
        <f t="shared" si="301"/>
        <v>0</v>
      </c>
      <c r="J284" s="65">
        <f t="shared" si="301"/>
        <v>0.28741666613738409</v>
      </c>
      <c r="K284" s="65">
        <f t="shared" si="301"/>
        <v>0</v>
      </c>
      <c r="L284" s="65">
        <f t="shared" si="301"/>
        <v>1.0830668689365204E-2</v>
      </c>
      <c r="M284" s="65">
        <f t="shared" si="301"/>
        <v>0</v>
      </c>
      <c r="N284" s="65">
        <f t="shared" si="301"/>
        <v>3.6452805745404847E-2</v>
      </c>
      <c r="O284" s="65">
        <f t="shared" si="301"/>
        <v>0</v>
      </c>
      <c r="P284" s="65">
        <f t="shared" si="301"/>
        <v>0.11590148727697218</v>
      </c>
      <c r="Q284" s="65">
        <f t="shared" si="301"/>
        <v>1.4848314284028199</v>
      </c>
      <c r="R284" s="65">
        <f t="shared" si="301"/>
        <v>0</v>
      </c>
      <c r="S284" s="65">
        <f t="shared" si="301"/>
        <v>40.765107016661474</v>
      </c>
      <c r="T284" s="65">
        <f t="shared" si="301"/>
        <v>5.9691389720389811E-3</v>
      </c>
      <c r="U284" s="65">
        <f t="shared" si="301"/>
        <v>1.4249726493596122</v>
      </c>
      <c r="V284" s="65">
        <f t="shared" si="301"/>
        <v>6.7508359002529925E-2</v>
      </c>
      <c r="W284" s="65">
        <f t="shared" si="301"/>
        <v>7.3708350285148914</v>
      </c>
      <c r="X284" s="65">
        <f t="shared" si="301"/>
        <v>0.57228624769653436</v>
      </c>
      <c r="Y284" s="65">
        <f t="shared" si="301"/>
        <v>0</v>
      </c>
      <c r="Z284" s="65">
        <f t="shared" si="301"/>
        <v>0</v>
      </c>
      <c r="AA284" s="65">
        <f t="shared" si="301"/>
        <v>5.3046382770194365</v>
      </c>
      <c r="AB284" s="65">
        <f t="shared" si="301"/>
        <v>1.2775255992631629</v>
      </c>
      <c r="AC284" s="65">
        <f t="shared" si="301"/>
        <v>0.77017732414585993</v>
      </c>
      <c r="AD284" s="65">
        <f t="shared" si="301"/>
        <v>4.7427380584898884E-2</v>
      </c>
      <c r="AE284" s="65">
        <f t="shared" si="301"/>
        <v>4.2520838800315106</v>
      </c>
      <c r="AF284" s="65">
        <f t="shared" si="301"/>
        <v>0.10333750622618398</v>
      </c>
      <c r="AG284" s="65">
        <f t="shared" si="301"/>
        <v>0.77215479687008859</v>
      </c>
      <c r="AH284" s="65">
        <f t="shared" si="301"/>
        <v>5.764130517613836</v>
      </c>
      <c r="AI284" s="65">
        <f t="shared" si="301"/>
        <v>42.389834883203619</v>
      </c>
    </row>
    <row r="285" spans="2:35" x14ac:dyDescent="0.25">
      <c r="B285" s="46" t="s">
        <v>122</v>
      </c>
      <c r="C285" s="46" t="s">
        <v>469</v>
      </c>
      <c r="D285" s="46" t="s">
        <v>18</v>
      </c>
      <c r="E285" s="46" t="s">
        <v>104</v>
      </c>
      <c r="F285" s="46" t="s">
        <v>12</v>
      </c>
      <c r="G285" s="46"/>
      <c r="H285" s="65">
        <f>SUMIFS(H$200:H$261,$E$200:$E$261,$E285,$C$200:$C$261,$C285)</f>
        <v>1.3186274388110189E-3</v>
      </c>
      <c r="I285" s="65">
        <f t="shared" si="301"/>
        <v>0</v>
      </c>
      <c r="J285" s="65">
        <f t="shared" si="301"/>
        <v>0</v>
      </c>
      <c r="K285" s="65">
        <f t="shared" si="301"/>
        <v>0</v>
      </c>
      <c r="L285" s="65">
        <f t="shared" si="301"/>
        <v>1.7042312428129303E-4</v>
      </c>
      <c r="M285" s="65">
        <f t="shared" si="301"/>
        <v>0</v>
      </c>
      <c r="N285" s="65">
        <f t="shared" si="301"/>
        <v>0.76670847299892264</v>
      </c>
      <c r="O285" s="65">
        <f t="shared" si="301"/>
        <v>0</v>
      </c>
      <c r="P285" s="65">
        <f t="shared" si="301"/>
        <v>0</v>
      </c>
      <c r="Q285" s="65">
        <f t="shared" si="301"/>
        <v>0</v>
      </c>
      <c r="R285" s="65">
        <f t="shared" si="301"/>
        <v>0</v>
      </c>
      <c r="S285" s="65">
        <f t="shared" si="301"/>
        <v>89.583289837836872</v>
      </c>
      <c r="T285" s="65">
        <f t="shared" si="301"/>
        <v>4.3046009312092529E-2</v>
      </c>
      <c r="U285" s="65">
        <f t="shared" si="301"/>
        <v>2.1748623045772466</v>
      </c>
      <c r="V285" s="65">
        <f t="shared" si="301"/>
        <v>0.77394593823875524</v>
      </c>
      <c r="W285" s="65">
        <f t="shared" si="301"/>
        <v>0.18239817993566593</v>
      </c>
      <c r="X285" s="65">
        <f t="shared" si="301"/>
        <v>0.34366959170599348</v>
      </c>
      <c r="Y285" s="65">
        <f t="shared" si="301"/>
        <v>0</v>
      </c>
      <c r="Z285" s="65">
        <f t="shared" si="301"/>
        <v>0</v>
      </c>
      <c r="AA285" s="65">
        <f t="shared" si="301"/>
        <v>0</v>
      </c>
      <c r="AB285" s="65">
        <f t="shared" si="301"/>
        <v>5.0411001927426181E-2</v>
      </c>
      <c r="AC285" s="65">
        <f t="shared" si="301"/>
        <v>1.1920770332953052</v>
      </c>
      <c r="AD285" s="65">
        <f t="shared" si="301"/>
        <v>1.8333816474602559E-4</v>
      </c>
      <c r="AE285" s="65">
        <f t="shared" si="301"/>
        <v>0</v>
      </c>
      <c r="AF285" s="65">
        <f t="shared" si="301"/>
        <v>0</v>
      </c>
      <c r="AG285" s="65">
        <f t="shared" si="301"/>
        <v>4.9312711568004239</v>
      </c>
      <c r="AH285" s="65">
        <f t="shared" si="301"/>
        <v>2.1284732579956267</v>
      </c>
      <c r="AI285" s="65">
        <f t="shared" si="301"/>
        <v>0</v>
      </c>
    </row>
    <row r="286" spans="2:35" x14ac:dyDescent="0.25">
      <c r="B286" s="48" t="s">
        <v>122</v>
      </c>
      <c r="C286" s="46" t="s">
        <v>469</v>
      </c>
      <c r="D286" s="48" t="s">
        <v>474</v>
      </c>
      <c r="E286" s="48" t="s">
        <v>475</v>
      </c>
      <c r="F286" s="48" t="s">
        <v>12</v>
      </c>
      <c r="G286" s="48"/>
      <c r="H286" s="89">
        <f>H222+H215</f>
        <v>1.4465838795610411E-2</v>
      </c>
      <c r="I286" s="89">
        <f t="shared" ref="I286:AI286" si="303">I222+I215</f>
        <v>0</v>
      </c>
      <c r="J286" s="89">
        <f t="shared" si="303"/>
        <v>8.8844343976077378E-2</v>
      </c>
      <c r="K286" s="89">
        <f t="shared" si="303"/>
        <v>0</v>
      </c>
      <c r="L286" s="89">
        <f t="shared" si="303"/>
        <v>7.240366377652885E-5</v>
      </c>
      <c r="M286" s="89">
        <f t="shared" si="303"/>
        <v>0</v>
      </c>
      <c r="N286" s="89">
        <f t="shared" si="303"/>
        <v>8.2348820992062029E-3</v>
      </c>
      <c r="O286" s="89">
        <f t="shared" si="303"/>
        <v>0</v>
      </c>
      <c r="P286" s="89">
        <f t="shared" si="303"/>
        <v>3.8000067664201623E-5</v>
      </c>
      <c r="Q286" s="89">
        <f t="shared" si="303"/>
        <v>5.3010237400072135</v>
      </c>
      <c r="R286" s="89">
        <f t="shared" si="303"/>
        <v>0</v>
      </c>
      <c r="S286" s="89">
        <f t="shared" si="303"/>
        <v>63.746797242925048</v>
      </c>
      <c r="T286" s="89">
        <f t="shared" si="303"/>
        <v>2.9227422461961113E-4</v>
      </c>
      <c r="U286" s="89">
        <f t="shared" si="303"/>
        <v>21.60171635810223</v>
      </c>
      <c r="V286" s="89">
        <f t="shared" si="303"/>
        <v>1.8257863322919073E-2</v>
      </c>
      <c r="W286" s="89">
        <f t="shared" si="303"/>
        <v>15.942169485920168</v>
      </c>
      <c r="X286" s="89">
        <f t="shared" si="303"/>
        <v>8.4878106271787104</v>
      </c>
      <c r="Y286" s="89">
        <f t="shared" si="303"/>
        <v>0</v>
      </c>
      <c r="Z286" s="89">
        <f t="shared" si="303"/>
        <v>0</v>
      </c>
      <c r="AA286" s="89">
        <f t="shared" si="303"/>
        <v>8.0645336846698488</v>
      </c>
      <c r="AB286" s="89">
        <f t="shared" si="303"/>
        <v>7.0292190303042429E-2</v>
      </c>
      <c r="AC286" s="89">
        <f t="shared" si="303"/>
        <v>0.48137068274330458</v>
      </c>
      <c r="AD286" s="89">
        <f t="shared" si="303"/>
        <v>3.1227344117857322E-2</v>
      </c>
      <c r="AE286" s="89">
        <f t="shared" si="303"/>
        <v>0</v>
      </c>
      <c r="AF286" s="89">
        <f t="shared" si="303"/>
        <v>0.14687756254950238</v>
      </c>
      <c r="AG286" s="89">
        <f t="shared" si="303"/>
        <v>0.1560342901288789</v>
      </c>
      <c r="AH286" s="89">
        <f t="shared" si="303"/>
        <v>19.096237867783184</v>
      </c>
      <c r="AI286" s="89">
        <f t="shared" si="303"/>
        <v>101.19101029459277</v>
      </c>
    </row>
    <row r="287" spans="2:35" x14ac:dyDescent="0.25">
      <c r="B287" s="346" t="s">
        <v>122</v>
      </c>
      <c r="C287" s="346" t="s">
        <v>469</v>
      </c>
      <c r="D287" s="346" t="s">
        <v>177</v>
      </c>
      <c r="E287" s="346"/>
      <c r="F287" s="346" t="s">
        <v>12</v>
      </c>
      <c r="G287" s="346"/>
      <c r="H287" s="347">
        <f>SUM(H278:H286)</f>
        <v>4.3000825472928685</v>
      </c>
      <c r="I287" s="347">
        <f t="shared" ref="I287:AI287" si="304">SUM(I278:I286)</f>
        <v>0</v>
      </c>
      <c r="J287" s="347">
        <f t="shared" si="304"/>
        <v>14.312555675318542</v>
      </c>
      <c r="K287" s="347">
        <f t="shared" si="304"/>
        <v>0</v>
      </c>
      <c r="L287" s="347">
        <f t="shared" si="304"/>
        <v>0.2058894980021016</v>
      </c>
      <c r="M287" s="347">
        <f t="shared" si="304"/>
        <v>0</v>
      </c>
      <c r="N287" s="347">
        <f t="shared" si="304"/>
        <v>18.599032138368784</v>
      </c>
      <c r="O287" s="347">
        <f t="shared" si="304"/>
        <v>0</v>
      </c>
      <c r="P287" s="347">
        <f t="shared" si="304"/>
        <v>0.45746429256658433</v>
      </c>
      <c r="Q287" s="347">
        <f t="shared" si="304"/>
        <v>115.45990900394557</v>
      </c>
      <c r="R287" s="347">
        <f t="shared" si="304"/>
        <v>0</v>
      </c>
      <c r="S287" s="347">
        <f t="shared" si="304"/>
        <v>495.66676154328104</v>
      </c>
      <c r="T287" s="347">
        <f t="shared" si="304"/>
        <v>1.6264978617139314</v>
      </c>
      <c r="U287" s="347">
        <f t="shared" si="304"/>
        <v>200.64400577264104</v>
      </c>
      <c r="V287" s="347">
        <f t="shared" si="304"/>
        <v>6.7801314427136168</v>
      </c>
      <c r="W287" s="347">
        <f t="shared" si="304"/>
        <v>153.41544948839552</v>
      </c>
      <c r="X287" s="347">
        <f t="shared" si="304"/>
        <v>46.002612524517794</v>
      </c>
      <c r="Y287" s="347">
        <f t="shared" si="304"/>
        <v>0</v>
      </c>
      <c r="Z287" s="347">
        <f t="shared" si="304"/>
        <v>0</v>
      </c>
      <c r="AA287" s="347">
        <f t="shared" si="304"/>
        <v>29.937014992764453</v>
      </c>
      <c r="AB287" s="347">
        <f t="shared" si="304"/>
        <v>6.1710077873411668</v>
      </c>
      <c r="AC287" s="347">
        <f t="shared" si="304"/>
        <v>24.934018209272413</v>
      </c>
      <c r="AD287" s="347">
        <f t="shared" si="304"/>
        <v>0.96206248848630749</v>
      </c>
      <c r="AE287" s="347">
        <f t="shared" si="304"/>
        <v>11.408220562016229</v>
      </c>
      <c r="AF287" s="347">
        <f t="shared" si="304"/>
        <v>28.693182164416829</v>
      </c>
      <c r="AG287" s="347">
        <f t="shared" si="304"/>
        <v>386.86966068382998</v>
      </c>
      <c r="AH287" s="347">
        <f t="shared" si="304"/>
        <v>123.27354173556854</v>
      </c>
      <c r="AI287" s="347">
        <f t="shared" si="304"/>
        <v>1783.4878950216457</v>
      </c>
    </row>
    <row r="288" spans="2:35" x14ac:dyDescent="0.25">
      <c r="B288" s="46" t="s">
        <v>124</v>
      </c>
      <c r="C288" s="46" t="s">
        <v>470</v>
      </c>
      <c r="D288" s="46" t="s">
        <v>476</v>
      </c>
      <c r="E288" s="46" t="s">
        <v>482</v>
      </c>
      <c r="F288" s="46" t="s">
        <v>12</v>
      </c>
      <c r="G288" s="46"/>
      <c r="H288" s="65">
        <f>H226</f>
        <v>0</v>
      </c>
      <c r="I288" s="65">
        <f t="shared" ref="I288:AI288" si="305">I226</f>
        <v>0</v>
      </c>
      <c r="J288" s="65">
        <f t="shared" si="305"/>
        <v>0</v>
      </c>
      <c r="K288" s="65">
        <f t="shared" si="305"/>
        <v>0</v>
      </c>
      <c r="L288" s="65">
        <f t="shared" si="305"/>
        <v>0</v>
      </c>
      <c r="M288" s="65">
        <f t="shared" si="305"/>
        <v>0</v>
      </c>
      <c r="N288" s="65">
        <f t="shared" si="305"/>
        <v>0</v>
      </c>
      <c r="O288" s="65">
        <f t="shared" si="305"/>
        <v>0</v>
      </c>
      <c r="P288" s="65">
        <f t="shared" si="305"/>
        <v>0</v>
      </c>
      <c r="Q288" s="65">
        <f t="shared" si="305"/>
        <v>0</v>
      </c>
      <c r="R288" s="65">
        <f t="shared" si="305"/>
        <v>0</v>
      </c>
      <c r="S288" s="65">
        <f t="shared" si="305"/>
        <v>0</v>
      </c>
      <c r="T288" s="65">
        <f t="shared" si="305"/>
        <v>0</v>
      </c>
      <c r="U288" s="65">
        <f t="shared" si="305"/>
        <v>0</v>
      </c>
      <c r="V288" s="65">
        <f t="shared" si="305"/>
        <v>0</v>
      </c>
      <c r="W288" s="65">
        <f t="shared" si="305"/>
        <v>0</v>
      </c>
      <c r="X288" s="65">
        <f t="shared" si="305"/>
        <v>0</v>
      </c>
      <c r="Y288" s="65">
        <f t="shared" si="305"/>
        <v>0</v>
      </c>
      <c r="Z288" s="65">
        <f t="shared" si="305"/>
        <v>0</v>
      </c>
      <c r="AA288" s="65">
        <f t="shared" si="305"/>
        <v>0</v>
      </c>
      <c r="AB288" s="65">
        <f t="shared" si="305"/>
        <v>0</v>
      </c>
      <c r="AC288" s="65">
        <f t="shared" si="305"/>
        <v>0</v>
      </c>
      <c r="AD288" s="65">
        <f t="shared" si="305"/>
        <v>0</v>
      </c>
      <c r="AE288" s="65">
        <f t="shared" si="305"/>
        <v>0</v>
      </c>
      <c r="AF288" s="65">
        <f t="shared" si="305"/>
        <v>0</v>
      </c>
      <c r="AG288" s="65">
        <f t="shared" si="305"/>
        <v>0</v>
      </c>
      <c r="AH288" s="65">
        <f t="shared" si="305"/>
        <v>0</v>
      </c>
      <c r="AI288" s="65">
        <f t="shared" si="305"/>
        <v>0</v>
      </c>
    </row>
    <row r="289" spans="2:35" x14ac:dyDescent="0.25">
      <c r="B289" s="48" t="s">
        <v>124</v>
      </c>
      <c r="C289" s="48" t="s">
        <v>470</v>
      </c>
      <c r="D289" s="48" t="s">
        <v>19</v>
      </c>
      <c r="E289" s="48" t="s">
        <v>105</v>
      </c>
      <c r="F289" s="48" t="s">
        <v>12</v>
      </c>
      <c r="G289" s="48"/>
      <c r="H289" s="65">
        <f t="shared" ref="H289:AI289" si="306">SUMIFS(H$200:H$261,$E$200:$E$261,$E289,$C$200:$C$261,$C289)</f>
        <v>0.60870194016816481</v>
      </c>
      <c r="I289" s="65">
        <f t="shared" si="306"/>
        <v>2.8728855062807042</v>
      </c>
      <c r="J289" s="65">
        <f t="shared" si="306"/>
        <v>0.57508725284275086</v>
      </c>
      <c r="K289" s="65">
        <f t="shared" si="306"/>
        <v>1.5058762149498719</v>
      </c>
      <c r="L289" s="65">
        <f t="shared" si="306"/>
        <v>15.934906445309093</v>
      </c>
      <c r="M289" s="65">
        <f t="shared" si="306"/>
        <v>4.3555404622136491</v>
      </c>
      <c r="N289" s="65">
        <f t="shared" si="306"/>
        <v>7.8742853049743777</v>
      </c>
      <c r="O289" s="65">
        <f t="shared" si="306"/>
        <v>7.18074643023939</v>
      </c>
      <c r="P289" s="65">
        <f t="shared" si="306"/>
        <v>90.589676964362639</v>
      </c>
      <c r="Q289" s="65">
        <f t="shared" si="306"/>
        <v>7.9320654881593642</v>
      </c>
      <c r="R289" s="65">
        <f t="shared" si="306"/>
        <v>0.24881781942977557</v>
      </c>
      <c r="S289" s="65">
        <f t="shared" si="306"/>
        <v>374.2739055352742</v>
      </c>
      <c r="T289" s="65">
        <f t="shared" si="306"/>
        <v>2.0727423018915356</v>
      </c>
      <c r="U289" s="65">
        <f t="shared" si="306"/>
        <v>4.6974777235419436E-3</v>
      </c>
      <c r="V289" s="65">
        <f t="shared" si="306"/>
        <v>3.4270375424050097</v>
      </c>
      <c r="W289" s="65">
        <f t="shared" si="306"/>
        <v>20.891161368782726</v>
      </c>
      <c r="X289" s="65">
        <f t="shared" si="306"/>
        <v>1.4598832178626138</v>
      </c>
      <c r="Y289" s="65">
        <f t="shared" si="306"/>
        <v>14.824599889652513</v>
      </c>
      <c r="Z289" s="65">
        <f t="shared" si="306"/>
        <v>22.777517428217987</v>
      </c>
      <c r="AA289" s="65">
        <f t="shared" si="306"/>
        <v>26.584180371770515</v>
      </c>
      <c r="AB289" s="65">
        <f t="shared" si="306"/>
        <v>90.030761837065569</v>
      </c>
      <c r="AC289" s="65">
        <f t="shared" si="306"/>
        <v>0</v>
      </c>
      <c r="AD289" s="65">
        <f t="shared" si="306"/>
        <v>0</v>
      </c>
      <c r="AE289" s="65">
        <f t="shared" si="306"/>
        <v>27.333987502781969</v>
      </c>
      <c r="AF289" s="65">
        <f t="shared" si="306"/>
        <v>0.401998846903933</v>
      </c>
      <c r="AG289" s="65">
        <f t="shared" si="306"/>
        <v>7.5294118462965214</v>
      </c>
      <c r="AH289" s="65">
        <f t="shared" si="306"/>
        <v>14.702630650706732</v>
      </c>
      <c r="AI289" s="65">
        <f t="shared" si="306"/>
        <v>260.88468558967918</v>
      </c>
    </row>
    <row r="290" spans="2:35" x14ac:dyDescent="0.25">
      <c r="B290" s="346" t="s">
        <v>124</v>
      </c>
      <c r="C290" s="346" t="s">
        <v>470</v>
      </c>
      <c r="D290" s="346" t="s">
        <v>177</v>
      </c>
      <c r="E290" s="346"/>
      <c r="F290" s="346" t="s">
        <v>12</v>
      </c>
      <c r="G290" s="346"/>
      <c r="H290" s="348">
        <f>SUM(H288:H289)</f>
        <v>0.60870194016816481</v>
      </c>
      <c r="I290" s="348">
        <f t="shared" ref="I290:AI290" si="307">SUM(I288:I289)</f>
        <v>2.8728855062807042</v>
      </c>
      <c r="J290" s="348">
        <f t="shared" si="307"/>
        <v>0.57508725284275086</v>
      </c>
      <c r="K290" s="348">
        <f t="shared" si="307"/>
        <v>1.5058762149498719</v>
      </c>
      <c r="L290" s="348">
        <f t="shared" si="307"/>
        <v>15.934906445309093</v>
      </c>
      <c r="M290" s="348">
        <f t="shared" si="307"/>
        <v>4.3555404622136491</v>
      </c>
      <c r="N290" s="348">
        <f t="shared" si="307"/>
        <v>7.8742853049743777</v>
      </c>
      <c r="O290" s="348">
        <f t="shared" si="307"/>
        <v>7.18074643023939</v>
      </c>
      <c r="P290" s="348">
        <f t="shared" si="307"/>
        <v>90.589676964362639</v>
      </c>
      <c r="Q290" s="348">
        <f t="shared" si="307"/>
        <v>7.9320654881593642</v>
      </c>
      <c r="R290" s="348">
        <f t="shared" si="307"/>
        <v>0.24881781942977557</v>
      </c>
      <c r="S290" s="348">
        <f t="shared" si="307"/>
        <v>374.2739055352742</v>
      </c>
      <c r="T290" s="348">
        <f t="shared" si="307"/>
        <v>2.0727423018915356</v>
      </c>
      <c r="U290" s="348">
        <f t="shared" si="307"/>
        <v>4.6974777235419436E-3</v>
      </c>
      <c r="V290" s="348">
        <f t="shared" si="307"/>
        <v>3.4270375424050097</v>
      </c>
      <c r="W290" s="348">
        <f t="shared" si="307"/>
        <v>20.891161368782726</v>
      </c>
      <c r="X290" s="348">
        <f t="shared" si="307"/>
        <v>1.4598832178626138</v>
      </c>
      <c r="Y290" s="348">
        <f t="shared" si="307"/>
        <v>14.824599889652513</v>
      </c>
      <c r="Z290" s="348">
        <f t="shared" si="307"/>
        <v>22.777517428217987</v>
      </c>
      <c r="AA290" s="348">
        <f t="shared" si="307"/>
        <v>26.584180371770515</v>
      </c>
      <c r="AB290" s="348">
        <f t="shared" si="307"/>
        <v>90.030761837065569</v>
      </c>
      <c r="AC290" s="348">
        <f t="shared" si="307"/>
        <v>0</v>
      </c>
      <c r="AD290" s="348">
        <f t="shared" si="307"/>
        <v>0</v>
      </c>
      <c r="AE290" s="348">
        <f t="shared" si="307"/>
        <v>27.333987502781969</v>
      </c>
      <c r="AF290" s="348">
        <f t="shared" si="307"/>
        <v>0.401998846903933</v>
      </c>
      <c r="AG290" s="348">
        <f t="shared" si="307"/>
        <v>7.5294118462965214</v>
      </c>
      <c r="AH290" s="348">
        <f t="shared" si="307"/>
        <v>14.702630650706732</v>
      </c>
      <c r="AI290" s="348">
        <f t="shared" si="307"/>
        <v>260.88468558967918</v>
      </c>
    </row>
    <row r="291" spans="2:35" x14ac:dyDescent="0.25">
      <c r="B291" s="46" t="s">
        <v>124</v>
      </c>
      <c r="C291" s="46" t="s">
        <v>471</v>
      </c>
      <c r="D291" s="46" t="s">
        <v>476</v>
      </c>
      <c r="E291" s="46" t="s">
        <v>482</v>
      </c>
      <c r="F291" s="46" t="s">
        <v>12</v>
      </c>
      <c r="G291" s="46"/>
      <c r="H291" s="65">
        <f>H229</f>
        <v>0</v>
      </c>
      <c r="I291" s="65">
        <f t="shared" ref="I291:AI291" si="308">I229</f>
        <v>0</v>
      </c>
      <c r="J291" s="65">
        <f t="shared" si="308"/>
        <v>0</v>
      </c>
      <c r="K291" s="65">
        <f t="shared" si="308"/>
        <v>0</v>
      </c>
      <c r="L291" s="65">
        <f t="shared" si="308"/>
        <v>0</v>
      </c>
      <c r="M291" s="65">
        <f t="shared" si="308"/>
        <v>0</v>
      </c>
      <c r="N291" s="65">
        <f t="shared" si="308"/>
        <v>0</v>
      </c>
      <c r="O291" s="65">
        <f t="shared" si="308"/>
        <v>0</v>
      </c>
      <c r="P291" s="65">
        <f t="shared" si="308"/>
        <v>0</v>
      </c>
      <c r="Q291" s="65">
        <f t="shared" si="308"/>
        <v>0</v>
      </c>
      <c r="R291" s="65">
        <f t="shared" si="308"/>
        <v>0</v>
      </c>
      <c r="S291" s="65">
        <f t="shared" si="308"/>
        <v>0</v>
      </c>
      <c r="T291" s="65">
        <f t="shared" si="308"/>
        <v>0</v>
      </c>
      <c r="U291" s="65">
        <f t="shared" si="308"/>
        <v>0</v>
      </c>
      <c r="V291" s="65">
        <f t="shared" si="308"/>
        <v>0</v>
      </c>
      <c r="W291" s="65">
        <f t="shared" si="308"/>
        <v>0</v>
      </c>
      <c r="X291" s="65">
        <f t="shared" si="308"/>
        <v>0</v>
      </c>
      <c r="Y291" s="65">
        <f t="shared" si="308"/>
        <v>0</v>
      </c>
      <c r="Z291" s="65">
        <f t="shared" si="308"/>
        <v>0</v>
      </c>
      <c r="AA291" s="65">
        <f t="shared" si="308"/>
        <v>0</v>
      </c>
      <c r="AB291" s="65">
        <f t="shared" si="308"/>
        <v>0</v>
      </c>
      <c r="AC291" s="65">
        <f t="shared" si="308"/>
        <v>0</v>
      </c>
      <c r="AD291" s="65">
        <f t="shared" si="308"/>
        <v>0</v>
      </c>
      <c r="AE291" s="65">
        <f t="shared" si="308"/>
        <v>0</v>
      </c>
      <c r="AF291" s="65">
        <f t="shared" si="308"/>
        <v>0</v>
      </c>
      <c r="AG291" s="65">
        <f t="shared" si="308"/>
        <v>0</v>
      </c>
      <c r="AH291" s="65">
        <f t="shared" si="308"/>
        <v>0</v>
      </c>
      <c r="AI291" s="65">
        <f t="shared" si="308"/>
        <v>0</v>
      </c>
    </row>
    <row r="292" spans="2:35" x14ac:dyDescent="0.25">
      <c r="B292" s="48" t="s">
        <v>124</v>
      </c>
      <c r="C292" s="48" t="s">
        <v>471</v>
      </c>
      <c r="D292" s="48" t="s">
        <v>19</v>
      </c>
      <c r="E292" s="48" t="s">
        <v>105</v>
      </c>
      <c r="F292" s="48" t="s">
        <v>12</v>
      </c>
      <c r="G292" s="48"/>
      <c r="H292" s="65">
        <f t="shared" ref="H292:AI292" si="309">SUMIFS(H$200:H$261,$E$200:$E$261,$E292,$C$200:$C$261,$C292)</f>
        <v>3.0127314712231193E-2</v>
      </c>
      <c r="I292" s="65">
        <f t="shared" si="309"/>
        <v>0.39704190642207338</v>
      </c>
      <c r="J292" s="65">
        <f t="shared" si="309"/>
        <v>5.2570981966157615E-2</v>
      </c>
      <c r="K292" s="65">
        <f t="shared" si="309"/>
        <v>0.1982186434499085</v>
      </c>
      <c r="L292" s="65">
        <f t="shared" si="309"/>
        <v>6.286172889411497</v>
      </c>
      <c r="M292" s="65">
        <f t="shared" si="309"/>
        <v>0.37648369345622285</v>
      </c>
      <c r="N292" s="65">
        <f t="shared" si="309"/>
        <v>0.30157915487800363</v>
      </c>
      <c r="O292" s="65">
        <f t="shared" si="309"/>
        <v>0.34588407747700445</v>
      </c>
      <c r="P292" s="65">
        <f t="shared" si="309"/>
        <v>16.800106499662675</v>
      </c>
      <c r="Q292" s="65">
        <f t="shared" si="309"/>
        <v>23.348949195238685</v>
      </c>
      <c r="R292" s="65">
        <f t="shared" si="309"/>
        <v>0.16944942568058896</v>
      </c>
      <c r="S292" s="65">
        <f t="shared" si="309"/>
        <v>127.09067633293428</v>
      </c>
      <c r="T292" s="65">
        <f t="shared" si="309"/>
        <v>1.1181448881555347</v>
      </c>
      <c r="U292" s="65">
        <f t="shared" si="309"/>
        <v>1.1326080999066662E-2</v>
      </c>
      <c r="V292" s="65">
        <f t="shared" si="309"/>
        <v>1.1187993194847885</v>
      </c>
      <c r="W292" s="65">
        <f t="shared" si="309"/>
        <v>10.572018809558992</v>
      </c>
      <c r="X292" s="65">
        <f t="shared" si="309"/>
        <v>0.97673584734173913</v>
      </c>
      <c r="Y292" s="65">
        <f t="shared" si="309"/>
        <v>0.76636410050628878</v>
      </c>
      <c r="Z292" s="65">
        <f t="shared" si="309"/>
        <v>0.94685743199225814</v>
      </c>
      <c r="AA292" s="65">
        <f t="shared" si="309"/>
        <v>20.078712923795131</v>
      </c>
      <c r="AB292" s="65">
        <f t="shared" si="309"/>
        <v>15.130842594445442</v>
      </c>
      <c r="AC292" s="65">
        <f t="shared" si="309"/>
        <v>0</v>
      </c>
      <c r="AD292" s="65">
        <f t="shared" si="309"/>
        <v>0</v>
      </c>
      <c r="AE292" s="65">
        <f t="shared" si="309"/>
        <v>7.7740440533094093</v>
      </c>
      <c r="AF292" s="65">
        <f t="shared" si="309"/>
        <v>5.5933239980862276E-2</v>
      </c>
      <c r="AG292" s="65">
        <f t="shared" si="309"/>
        <v>4.7766047048106133</v>
      </c>
      <c r="AH292" s="65">
        <f t="shared" si="309"/>
        <v>10.831867667683968</v>
      </c>
      <c r="AI292" s="65">
        <f t="shared" si="309"/>
        <v>521.21246454051607</v>
      </c>
    </row>
    <row r="293" spans="2:35" x14ac:dyDescent="0.25">
      <c r="B293" s="346" t="s">
        <v>124</v>
      </c>
      <c r="C293" s="346" t="s">
        <v>471</v>
      </c>
      <c r="D293" s="346" t="s">
        <v>177</v>
      </c>
      <c r="E293" s="346"/>
      <c r="F293" s="346" t="s">
        <v>12</v>
      </c>
      <c r="G293" s="346"/>
      <c r="H293" s="348">
        <f>SUM(H291:H292)</f>
        <v>3.0127314712231193E-2</v>
      </c>
      <c r="I293" s="348">
        <f t="shared" ref="I293" si="310">SUM(I291:I292)</f>
        <v>0.39704190642207338</v>
      </c>
      <c r="J293" s="348">
        <f t="shared" ref="J293" si="311">SUM(J291:J292)</f>
        <v>5.2570981966157615E-2</v>
      </c>
      <c r="K293" s="348">
        <f t="shared" ref="K293" si="312">SUM(K291:K292)</f>
        <v>0.1982186434499085</v>
      </c>
      <c r="L293" s="348">
        <f t="shared" ref="L293" si="313">SUM(L291:L292)</f>
        <v>6.286172889411497</v>
      </c>
      <c r="M293" s="348">
        <f t="shared" ref="M293" si="314">SUM(M291:M292)</f>
        <v>0.37648369345622285</v>
      </c>
      <c r="N293" s="348">
        <f t="shared" ref="N293" si="315">SUM(N291:N292)</f>
        <v>0.30157915487800363</v>
      </c>
      <c r="O293" s="348">
        <f t="shared" ref="O293" si="316">SUM(O291:O292)</f>
        <v>0.34588407747700445</v>
      </c>
      <c r="P293" s="348">
        <f t="shared" ref="P293" si="317">SUM(P291:P292)</f>
        <v>16.800106499662675</v>
      </c>
      <c r="Q293" s="348">
        <f t="shared" ref="Q293" si="318">SUM(Q291:Q292)</f>
        <v>23.348949195238685</v>
      </c>
      <c r="R293" s="348">
        <f t="shared" ref="R293" si="319">SUM(R291:R292)</f>
        <v>0.16944942568058896</v>
      </c>
      <c r="S293" s="348">
        <f t="shared" ref="S293" si="320">SUM(S291:S292)</f>
        <v>127.09067633293428</v>
      </c>
      <c r="T293" s="348">
        <f t="shared" ref="T293" si="321">SUM(T291:T292)</f>
        <v>1.1181448881555347</v>
      </c>
      <c r="U293" s="348">
        <f t="shared" ref="U293" si="322">SUM(U291:U292)</f>
        <v>1.1326080999066662E-2</v>
      </c>
      <c r="V293" s="348">
        <f t="shared" ref="V293" si="323">SUM(V291:V292)</f>
        <v>1.1187993194847885</v>
      </c>
      <c r="W293" s="348">
        <f t="shared" ref="W293" si="324">SUM(W291:W292)</f>
        <v>10.572018809558992</v>
      </c>
      <c r="X293" s="348">
        <f t="shared" ref="X293" si="325">SUM(X291:X292)</f>
        <v>0.97673584734173913</v>
      </c>
      <c r="Y293" s="348">
        <f t="shared" ref="Y293" si="326">SUM(Y291:Y292)</f>
        <v>0.76636410050628878</v>
      </c>
      <c r="Z293" s="348">
        <f t="shared" ref="Z293" si="327">SUM(Z291:Z292)</f>
        <v>0.94685743199225814</v>
      </c>
      <c r="AA293" s="348">
        <f t="shared" ref="AA293" si="328">SUM(AA291:AA292)</f>
        <v>20.078712923795131</v>
      </c>
      <c r="AB293" s="348">
        <f t="shared" ref="AB293" si="329">SUM(AB291:AB292)</f>
        <v>15.130842594445442</v>
      </c>
      <c r="AC293" s="348">
        <f t="shared" ref="AC293" si="330">SUM(AC291:AC292)</f>
        <v>0</v>
      </c>
      <c r="AD293" s="348">
        <f t="shared" ref="AD293" si="331">SUM(AD291:AD292)</f>
        <v>0</v>
      </c>
      <c r="AE293" s="348">
        <f t="shared" ref="AE293" si="332">SUM(AE291:AE292)</f>
        <v>7.7740440533094093</v>
      </c>
      <c r="AF293" s="348">
        <f t="shared" ref="AF293" si="333">SUM(AF291:AF292)</f>
        <v>5.5933239980862276E-2</v>
      </c>
      <c r="AG293" s="348">
        <f t="shared" ref="AG293" si="334">SUM(AG291:AG292)</f>
        <v>4.7766047048106133</v>
      </c>
      <c r="AH293" s="348">
        <f t="shared" ref="AH293" si="335">SUM(AH291:AH292)</f>
        <v>10.831867667683968</v>
      </c>
      <c r="AI293" s="348">
        <f t="shared" ref="AI293" si="336">SUM(AI291:AI292)</f>
        <v>521.21246454051607</v>
      </c>
    </row>
    <row r="294" spans="2:35" x14ac:dyDescent="0.25">
      <c r="B294" s="46" t="s">
        <v>119</v>
      </c>
      <c r="C294" s="46" t="s">
        <v>118</v>
      </c>
      <c r="D294" s="46" t="s">
        <v>22</v>
      </c>
      <c r="E294" s="46" t="s">
        <v>111</v>
      </c>
      <c r="F294" s="46" t="s">
        <v>12</v>
      </c>
      <c r="G294" s="46"/>
      <c r="H294" s="65">
        <f>SUMIFS(H$200:H$261,$E$200:$E$261,$E294,$C$200:$C$261,$C294)</f>
        <v>0</v>
      </c>
      <c r="I294" s="65">
        <f t="shared" ref="I294:AI296" si="337">SUMIFS(I$200:I$261,$E$200:$E$261,$E294,$C$200:$C$261,$C294)</f>
        <v>0</v>
      </c>
      <c r="J294" s="65">
        <f t="shared" si="337"/>
        <v>0</v>
      </c>
      <c r="K294" s="65">
        <f t="shared" si="337"/>
        <v>0</v>
      </c>
      <c r="L294" s="65">
        <f t="shared" si="337"/>
        <v>0</v>
      </c>
      <c r="M294" s="65">
        <f t="shared" si="337"/>
        <v>0</v>
      </c>
      <c r="N294" s="65">
        <f t="shared" si="337"/>
        <v>0</v>
      </c>
      <c r="O294" s="65">
        <f t="shared" si="337"/>
        <v>0</v>
      </c>
      <c r="P294" s="65">
        <f t="shared" si="337"/>
        <v>0</v>
      </c>
      <c r="Q294" s="65">
        <f t="shared" si="337"/>
        <v>0</v>
      </c>
      <c r="R294" s="65">
        <f t="shared" si="337"/>
        <v>0</v>
      </c>
      <c r="S294" s="65">
        <f t="shared" si="337"/>
        <v>0</v>
      </c>
      <c r="T294" s="65">
        <f t="shared" si="337"/>
        <v>0</v>
      </c>
      <c r="U294" s="65">
        <f t="shared" si="337"/>
        <v>0</v>
      </c>
      <c r="V294" s="65">
        <f t="shared" si="337"/>
        <v>0</v>
      </c>
      <c r="W294" s="65">
        <f t="shared" si="337"/>
        <v>0</v>
      </c>
      <c r="X294" s="65">
        <f t="shared" si="337"/>
        <v>0</v>
      </c>
      <c r="Y294" s="65">
        <f t="shared" si="337"/>
        <v>0</v>
      </c>
      <c r="Z294" s="65">
        <f t="shared" si="337"/>
        <v>0</v>
      </c>
      <c r="AA294" s="65">
        <f t="shared" si="337"/>
        <v>0</v>
      </c>
      <c r="AB294" s="65">
        <f t="shared" si="337"/>
        <v>0</v>
      </c>
      <c r="AC294" s="65">
        <f t="shared" si="337"/>
        <v>0</v>
      </c>
      <c r="AD294" s="65">
        <f t="shared" si="337"/>
        <v>0</v>
      </c>
      <c r="AE294" s="65">
        <f t="shared" si="337"/>
        <v>0</v>
      </c>
      <c r="AF294" s="65">
        <f t="shared" si="337"/>
        <v>0</v>
      </c>
      <c r="AG294" s="65">
        <f t="shared" si="337"/>
        <v>0</v>
      </c>
      <c r="AH294" s="65">
        <f t="shared" si="337"/>
        <v>0</v>
      </c>
      <c r="AI294" s="65">
        <f t="shared" si="337"/>
        <v>0</v>
      </c>
    </row>
    <row r="295" spans="2:35" x14ac:dyDescent="0.25">
      <c r="B295" s="46" t="s">
        <v>119</v>
      </c>
      <c r="C295" s="46" t="s">
        <v>118</v>
      </c>
      <c r="D295" s="46" t="s">
        <v>115</v>
      </c>
      <c r="E295" s="46" t="s">
        <v>368</v>
      </c>
      <c r="F295" s="46" t="s">
        <v>12</v>
      </c>
      <c r="G295" s="46"/>
      <c r="H295" s="65">
        <f t="shared" ref="H295:W296" si="338">SUMIFS(H$200:H$261,$E$200:$E$261,$E295,$C$200:$C$261,$C295)</f>
        <v>2325.0189584909226</v>
      </c>
      <c r="I295" s="65">
        <f t="shared" si="338"/>
        <v>107.96655209909228</v>
      </c>
      <c r="J295" s="65">
        <f t="shared" si="338"/>
        <v>1688.9423229954614</v>
      </c>
      <c r="K295" s="65">
        <f t="shared" si="338"/>
        <v>858.94110353630867</v>
      </c>
      <c r="L295" s="65">
        <f t="shared" si="338"/>
        <v>1.7705526989770553E-2</v>
      </c>
      <c r="M295" s="65">
        <f t="shared" si="338"/>
        <v>5.8325161464423845</v>
      </c>
      <c r="N295" s="65">
        <f t="shared" si="338"/>
        <v>62.108777907708905</v>
      </c>
      <c r="O295" s="65">
        <f t="shared" si="338"/>
        <v>104.87013942610415</v>
      </c>
      <c r="P295" s="65">
        <f t="shared" si="338"/>
        <v>364.15800000000002</v>
      </c>
      <c r="Q295" s="65">
        <f t="shared" si="338"/>
        <v>0</v>
      </c>
      <c r="R295" s="65">
        <f t="shared" si="338"/>
        <v>0.70410726076526597</v>
      </c>
      <c r="S295" s="65">
        <f t="shared" si="338"/>
        <v>47.153078348475304</v>
      </c>
      <c r="T295" s="65">
        <f t="shared" si="338"/>
        <v>4.3752828061846989</v>
      </c>
      <c r="U295" s="65">
        <f t="shared" si="338"/>
        <v>4.0238767738742708E-2</v>
      </c>
      <c r="V295" s="65">
        <f t="shared" si="338"/>
        <v>11.134365613018225</v>
      </c>
      <c r="W295" s="65">
        <f t="shared" si="338"/>
        <v>20.264652786906112</v>
      </c>
      <c r="X295" s="65">
        <f t="shared" si="337"/>
        <v>0.11269716619921115</v>
      </c>
      <c r="Y295" s="65">
        <f t="shared" si="337"/>
        <v>78.003201403256256</v>
      </c>
      <c r="Z295" s="65">
        <f t="shared" si="337"/>
        <v>279.23557740397581</v>
      </c>
      <c r="AA295" s="65">
        <f t="shared" si="337"/>
        <v>6.5643852978453737E-2</v>
      </c>
      <c r="AB295" s="65">
        <f t="shared" si="337"/>
        <v>703.48400000000004</v>
      </c>
      <c r="AC295" s="65">
        <f t="shared" si="337"/>
        <v>0</v>
      </c>
      <c r="AD295" s="65">
        <f t="shared" si="337"/>
        <v>0</v>
      </c>
      <c r="AE295" s="65">
        <f t="shared" si="337"/>
        <v>0</v>
      </c>
      <c r="AF295" s="65">
        <f t="shared" si="337"/>
        <v>3413.3070833018151</v>
      </c>
      <c r="AG295" s="65">
        <f t="shared" si="337"/>
        <v>2.9334032562741741</v>
      </c>
      <c r="AH295" s="65">
        <f t="shared" si="337"/>
        <v>1.0458998732572877</v>
      </c>
      <c r="AI295" s="65">
        <f t="shared" si="337"/>
        <v>0</v>
      </c>
    </row>
    <row r="296" spans="2:35" x14ac:dyDescent="0.25">
      <c r="B296" s="46" t="s">
        <v>119</v>
      </c>
      <c r="C296" s="46" t="s">
        <v>118</v>
      </c>
      <c r="D296" s="46" t="s">
        <v>19</v>
      </c>
      <c r="E296" s="46" t="s">
        <v>105</v>
      </c>
      <c r="F296" s="46" t="s">
        <v>12</v>
      </c>
      <c r="G296" s="46"/>
      <c r="H296" s="65">
        <f t="shared" si="338"/>
        <v>5.1126366385882474</v>
      </c>
      <c r="I296" s="65">
        <f t="shared" si="338"/>
        <v>26.169669857774892</v>
      </c>
      <c r="J296" s="65">
        <f t="shared" si="338"/>
        <v>5.0232334591446497</v>
      </c>
      <c r="K296" s="65">
        <f t="shared" si="338"/>
        <v>13.638100857349963</v>
      </c>
      <c r="L296" s="65">
        <f t="shared" si="338"/>
        <v>17.705989341136117</v>
      </c>
      <c r="M296" s="65">
        <f t="shared" si="338"/>
        <v>21.667689554909416</v>
      </c>
      <c r="N296" s="65">
        <f t="shared" si="338"/>
        <v>37.436853053008271</v>
      </c>
      <c r="O296" s="65">
        <f t="shared" si="337"/>
        <v>34.464044956385592</v>
      </c>
      <c r="P296" s="65">
        <f t="shared" si="337"/>
        <v>17.840284908515613</v>
      </c>
      <c r="Q296" s="65">
        <f t="shared" si="337"/>
        <v>47.655140992162771</v>
      </c>
      <c r="R296" s="65">
        <f t="shared" si="337"/>
        <v>2.9248470971332003</v>
      </c>
      <c r="S296" s="65">
        <f t="shared" si="337"/>
        <v>902.13042222448382</v>
      </c>
      <c r="T296" s="65">
        <f t="shared" si="337"/>
        <v>21.841961120043393</v>
      </c>
      <c r="U296" s="65">
        <f t="shared" si="337"/>
        <v>34.684342060748264</v>
      </c>
      <c r="V296" s="65">
        <f t="shared" si="337"/>
        <v>31.116735278251053</v>
      </c>
      <c r="W296" s="65">
        <f t="shared" si="337"/>
        <v>100.14626402259437</v>
      </c>
      <c r="X296" s="65">
        <f t="shared" si="337"/>
        <v>152.4522466362256</v>
      </c>
      <c r="Y296" s="65">
        <f t="shared" si="337"/>
        <v>71.390203533885042</v>
      </c>
      <c r="Z296" s="65">
        <f t="shared" si="337"/>
        <v>108.63266383359426</v>
      </c>
      <c r="AA296" s="65">
        <f t="shared" si="337"/>
        <v>44.232049879070388</v>
      </c>
      <c r="AB296" s="65">
        <f t="shared" si="337"/>
        <v>0</v>
      </c>
      <c r="AC296" s="65">
        <f t="shared" si="337"/>
        <v>28.499719324247192</v>
      </c>
      <c r="AD296" s="65">
        <f t="shared" si="337"/>
        <v>98.792931022742081</v>
      </c>
      <c r="AE296" s="65">
        <f t="shared" si="337"/>
        <v>2.5322924623789151</v>
      </c>
      <c r="AF296" s="65">
        <f t="shared" si="337"/>
        <v>3.6648922188616995</v>
      </c>
      <c r="AG296" s="65">
        <f t="shared" si="337"/>
        <v>56.34860210243793</v>
      </c>
      <c r="AH296" s="65">
        <f t="shared" si="337"/>
        <v>7.2200440965808301</v>
      </c>
      <c r="AI296" s="65">
        <f t="shared" si="337"/>
        <v>56.411556852981697</v>
      </c>
    </row>
    <row r="297" spans="2:35" x14ac:dyDescent="0.25">
      <c r="B297" s="46" t="s">
        <v>119</v>
      </c>
      <c r="C297" s="46" t="s">
        <v>118</v>
      </c>
      <c r="D297" s="46" t="s">
        <v>473</v>
      </c>
      <c r="E297" s="46" t="s">
        <v>482</v>
      </c>
      <c r="F297" s="46" t="s">
        <v>12</v>
      </c>
      <c r="G297" s="46"/>
      <c r="H297" s="65">
        <f t="shared" ref="H297:AI297" si="339">H238+H232+H237</f>
        <v>0</v>
      </c>
      <c r="I297" s="65">
        <f t="shared" si="339"/>
        <v>80.908943526725622</v>
      </c>
      <c r="J297" s="65">
        <f t="shared" si="339"/>
        <v>0</v>
      </c>
      <c r="K297" s="65">
        <f t="shared" si="339"/>
        <v>3.3788977801048628E-2</v>
      </c>
      <c r="L297" s="65">
        <f t="shared" si="339"/>
        <v>9.3506530098738807</v>
      </c>
      <c r="M297" s="65">
        <f t="shared" si="339"/>
        <v>134.50947521480501</v>
      </c>
      <c r="N297" s="65">
        <f t="shared" si="339"/>
        <v>0.73677827429585252</v>
      </c>
      <c r="O297" s="65">
        <f t="shared" si="339"/>
        <v>104.50710176128793</v>
      </c>
      <c r="P297" s="65">
        <f t="shared" si="339"/>
        <v>9.6950185316336182</v>
      </c>
      <c r="Q297" s="65">
        <f t="shared" si="339"/>
        <v>6.6367785626491091</v>
      </c>
      <c r="R297" s="65">
        <f t="shared" si="339"/>
        <v>1.369531394662876</v>
      </c>
      <c r="S297" s="65">
        <f t="shared" si="339"/>
        <v>948.3293482175128</v>
      </c>
      <c r="T297" s="65">
        <f t="shared" si="339"/>
        <v>60.869277677910517</v>
      </c>
      <c r="U297" s="65">
        <f t="shared" si="339"/>
        <v>20.493210069077552</v>
      </c>
      <c r="V297" s="65">
        <f t="shared" si="339"/>
        <v>79.376207162043968</v>
      </c>
      <c r="W297" s="65">
        <f t="shared" si="339"/>
        <v>218.17295729714166</v>
      </c>
      <c r="X297" s="65">
        <f t="shared" si="339"/>
        <v>27.950529303645332</v>
      </c>
      <c r="Y297" s="65">
        <f t="shared" si="339"/>
        <v>0.20928560422130271</v>
      </c>
      <c r="Z297" s="65">
        <f t="shared" si="339"/>
        <v>13.427325842696629</v>
      </c>
      <c r="AA297" s="65">
        <f t="shared" si="339"/>
        <v>58.921676911145582</v>
      </c>
      <c r="AB297" s="65">
        <f t="shared" si="339"/>
        <v>39.642434433533964</v>
      </c>
      <c r="AC297" s="65">
        <f t="shared" si="339"/>
        <v>37.102151345522721</v>
      </c>
      <c r="AD297" s="65">
        <f t="shared" si="339"/>
        <v>128.98663141847115</v>
      </c>
      <c r="AE297" s="65">
        <f t="shared" si="339"/>
        <v>0.54993292122724435</v>
      </c>
      <c r="AF297" s="65">
        <f t="shared" si="339"/>
        <v>0</v>
      </c>
      <c r="AG297" s="65">
        <f t="shared" si="339"/>
        <v>625.90709583608725</v>
      </c>
      <c r="AH297" s="65">
        <f t="shared" si="339"/>
        <v>100.5829544183637</v>
      </c>
      <c r="AI297" s="65">
        <f t="shared" si="339"/>
        <v>100.89556814306509</v>
      </c>
    </row>
    <row r="298" spans="2:35" x14ac:dyDescent="0.25">
      <c r="B298" s="46" t="s">
        <v>119</v>
      </c>
      <c r="C298" s="46" t="s">
        <v>118</v>
      </c>
      <c r="D298" s="46" t="s">
        <v>0</v>
      </c>
      <c r="E298" s="46" t="s">
        <v>109</v>
      </c>
      <c r="F298" s="46" t="s">
        <v>12</v>
      </c>
      <c r="G298" s="46"/>
      <c r="H298" s="65">
        <f>SUMIFS(H$200:H$261,$E$200:$E$261,$E298,$C$200:$C$261,$C298)</f>
        <v>27.692925911104496</v>
      </c>
      <c r="I298" s="65">
        <f t="shared" ref="I298:AI299" si="340">SUMIFS(I$200:I$261,$E$200:$E$261,$E298,$C$200:$C$261,$C298)</f>
        <v>328.27238976473217</v>
      </c>
      <c r="J298" s="65">
        <f t="shared" si="340"/>
        <v>38.955200461601457</v>
      </c>
      <c r="K298" s="65">
        <f t="shared" si="340"/>
        <v>22.718148801325246</v>
      </c>
      <c r="L298" s="65">
        <f t="shared" si="340"/>
        <v>4.4421537497465842</v>
      </c>
      <c r="M298" s="65">
        <f t="shared" si="340"/>
        <v>94.19108734177216</v>
      </c>
      <c r="N298" s="65">
        <f t="shared" si="340"/>
        <v>112.33649620253165</v>
      </c>
      <c r="O298" s="65">
        <f t="shared" si="340"/>
        <v>48.888053164556965</v>
      </c>
      <c r="P298" s="65">
        <f t="shared" si="340"/>
        <v>244.30750146640429</v>
      </c>
      <c r="Q298" s="65">
        <f t="shared" si="340"/>
        <v>0</v>
      </c>
      <c r="R298" s="65">
        <f t="shared" si="340"/>
        <v>4.4561596031123454</v>
      </c>
      <c r="S298" s="65">
        <f t="shared" si="340"/>
        <v>885.89900875538569</v>
      </c>
      <c r="T298" s="65">
        <f t="shared" si="340"/>
        <v>9.831212396847171</v>
      </c>
      <c r="U298" s="65">
        <f t="shared" si="340"/>
        <v>0</v>
      </c>
      <c r="V298" s="65">
        <f t="shared" si="340"/>
        <v>31.096163545882316</v>
      </c>
      <c r="W298" s="65">
        <f t="shared" si="340"/>
        <v>15.245935128803952</v>
      </c>
      <c r="X298" s="65">
        <f t="shared" si="340"/>
        <v>3.2178270342964194E-2</v>
      </c>
      <c r="Y298" s="65">
        <f t="shared" si="340"/>
        <v>401.92931392405063</v>
      </c>
      <c r="Z298" s="65">
        <f t="shared" si="340"/>
        <v>1071.7642936708862</v>
      </c>
      <c r="AA298" s="65">
        <f t="shared" si="340"/>
        <v>19.799279952083001</v>
      </c>
      <c r="AB298" s="65">
        <f t="shared" si="340"/>
        <v>187.2469959221205</v>
      </c>
      <c r="AC298" s="65">
        <f t="shared" si="340"/>
        <v>36.308694286339758</v>
      </c>
      <c r="AD298" s="65">
        <f t="shared" si="340"/>
        <v>154.67500580122592</v>
      </c>
      <c r="AE298" s="65">
        <f t="shared" si="340"/>
        <v>4.1156452858584824</v>
      </c>
      <c r="AF298" s="65">
        <f t="shared" si="340"/>
        <v>13.842787011875071</v>
      </c>
      <c r="AG298" s="65">
        <f t="shared" si="340"/>
        <v>509.85756455696207</v>
      </c>
      <c r="AH298" s="65">
        <f t="shared" si="340"/>
        <v>5.8752355971491941</v>
      </c>
      <c r="AI298" s="65">
        <f t="shared" si="340"/>
        <v>3.4286053352717789</v>
      </c>
    </row>
    <row r="299" spans="2:35" x14ac:dyDescent="0.25">
      <c r="B299" s="46" t="s">
        <v>119</v>
      </c>
      <c r="C299" s="46" t="s">
        <v>118</v>
      </c>
      <c r="D299" s="46" t="s">
        <v>18</v>
      </c>
      <c r="E299" s="46" t="s">
        <v>104</v>
      </c>
      <c r="F299" s="46" t="s">
        <v>12</v>
      </c>
      <c r="G299" s="46"/>
      <c r="H299" s="65">
        <f>SUMIFS(H$200:H$261,$E$200:$E$261,$E299,$C$200:$C$261,$C299)</f>
        <v>4.1818985574685906E-2</v>
      </c>
      <c r="I299" s="65">
        <f t="shared" si="340"/>
        <v>2.4003722661703118E-2</v>
      </c>
      <c r="J299" s="65">
        <f t="shared" si="340"/>
        <v>0</v>
      </c>
      <c r="K299" s="65">
        <f t="shared" si="340"/>
        <v>37.008489530013961</v>
      </c>
      <c r="L299" s="65">
        <f t="shared" si="340"/>
        <v>5.2320614239181017E-2</v>
      </c>
      <c r="M299" s="65">
        <f t="shared" si="340"/>
        <v>61.888857142857141</v>
      </c>
      <c r="N299" s="65">
        <f t="shared" si="340"/>
        <v>15.812571428571427</v>
      </c>
      <c r="O299" s="65">
        <f t="shared" si="340"/>
        <v>3.0285714285714284E-2</v>
      </c>
      <c r="P299" s="65">
        <f t="shared" si="340"/>
        <v>0</v>
      </c>
      <c r="Q299" s="65">
        <f t="shared" si="340"/>
        <v>0</v>
      </c>
      <c r="R299" s="65">
        <f t="shared" si="340"/>
        <v>0</v>
      </c>
      <c r="S299" s="65">
        <f t="shared" si="340"/>
        <v>409.2274285714285</v>
      </c>
      <c r="T299" s="65">
        <f t="shared" si="340"/>
        <v>5.0961028385295482</v>
      </c>
      <c r="U299" s="65">
        <f t="shared" si="340"/>
        <v>3.5583643555141928</v>
      </c>
      <c r="V299" s="65">
        <f t="shared" si="340"/>
        <v>45.443360167519778</v>
      </c>
      <c r="W299" s="65">
        <f t="shared" si="340"/>
        <v>0.7024839460214054</v>
      </c>
      <c r="X299" s="65">
        <f t="shared" si="340"/>
        <v>5.6461256398324799</v>
      </c>
      <c r="Y299" s="65">
        <f t="shared" si="340"/>
        <v>15.645428571428571</v>
      </c>
      <c r="Z299" s="65">
        <f t="shared" si="340"/>
        <v>2.7142857142857144</v>
      </c>
      <c r="AA299" s="65">
        <f t="shared" si="340"/>
        <v>0</v>
      </c>
      <c r="AB299" s="65">
        <f t="shared" si="340"/>
        <v>0.88232433690088419</v>
      </c>
      <c r="AC299" s="65">
        <f t="shared" si="340"/>
        <v>0</v>
      </c>
      <c r="AD299" s="65">
        <f t="shared" si="340"/>
        <v>0</v>
      </c>
      <c r="AE299" s="65">
        <f t="shared" si="340"/>
        <v>0</v>
      </c>
      <c r="AF299" s="65">
        <f t="shared" si="340"/>
        <v>0</v>
      </c>
      <c r="AG299" s="65">
        <f t="shared" si="340"/>
        <v>21.791428571428568</v>
      </c>
      <c r="AH299" s="65">
        <f t="shared" si="340"/>
        <v>3.4545439739413681</v>
      </c>
      <c r="AI299" s="65">
        <f t="shared" si="340"/>
        <v>0</v>
      </c>
    </row>
    <row r="300" spans="2:35" x14ac:dyDescent="0.25">
      <c r="B300" s="48" t="s">
        <v>119</v>
      </c>
      <c r="C300" s="48" t="s">
        <v>118</v>
      </c>
      <c r="D300" s="48" t="s">
        <v>474</v>
      </c>
      <c r="E300" s="48" t="s">
        <v>475</v>
      </c>
      <c r="F300" s="48" t="s">
        <v>12</v>
      </c>
      <c r="G300" s="48"/>
      <c r="H300" s="89">
        <f t="shared" ref="H300:AI300" si="341">H241+H234</f>
        <v>8.8663761493504083</v>
      </c>
      <c r="I300" s="89">
        <f t="shared" si="341"/>
        <v>4.0811143580389384</v>
      </c>
      <c r="J300" s="89">
        <f t="shared" si="341"/>
        <v>12.041574610058445</v>
      </c>
      <c r="K300" s="89">
        <f t="shared" si="341"/>
        <v>20.946343948926035</v>
      </c>
      <c r="L300" s="89">
        <f t="shared" si="341"/>
        <v>2.9696061782049532E-2</v>
      </c>
      <c r="M300" s="89">
        <f t="shared" si="341"/>
        <v>88.934043037974689</v>
      </c>
      <c r="N300" s="89">
        <f t="shared" si="341"/>
        <v>25.37741012658228</v>
      </c>
      <c r="O300" s="89">
        <f t="shared" si="341"/>
        <v>20.050534177215191</v>
      </c>
      <c r="P300" s="89">
        <f t="shared" si="341"/>
        <v>8.0099934907737189E-2</v>
      </c>
      <c r="Q300" s="89">
        <f t="shared" si="341"/>
        <v>0</v>
      </c>
      <c r="R300" s="89">
        <f t="shared" si="341"/>
        <v>0.44604609154705621</v>
      </c>
      <c r="S300" s="89">
        <f t="shared" si="341"/>
        <v>1308.8090767977801</v>
      </c>
      <c r="T300" s="89">
        <f t="shared" si="341"/>
        <v>0.48137763148404228</v>
      </c>
      <c r="U300" s="89">
        <f t="shared" si="341"/>
        <v>0</v>
      </c>
      <c r="V300" s="89">
        <f t="shared" si="341"/>
        <v>8.410062283791861</v>
      </c>
      <c r="W300" s="89">
        <f t="shared" si="341"/>
        <v>32.974999556286114</v>
      </c>
      <c r="X300" s="89">
        <f t="shared" si="341"/>
        <v>0.47689019955797174</v>
      </c>
      <c r="Y300" s="89">
        <f t="shared" si="341"/>
        <v>743.33131139240504</v>
      </c>
      <c r="Z300" s="89">
        <f t="shared" si="341"/>
        <v>95.423468354430383</v>
      </c>
      <c r="AA300" s="89">
        <f t="shared" si="341"/>
        <v>30.100442625373145</v>
      </c>
      <c r="AB300" s="89">
        <f t="shared" si="341"/>
        <v>10.863730120337424</v>
      </c>
      <c r="AC300" s="89">
        <f t="shared" si="341"/>
        <v>22.693398533274959</v>
      </c>
      <c r="AD300" s="89">
        <f t="shared" si="341"/>
        <v>101.84179630035027</v>
      </c>
      <c r="AE300" s="89">
        <f t="shared" si="341"/>
        <v>0</v>
      </c>
      <c r="AF300" s="89">
        <f t="shared" si="341"/>
        <v>19.675284312995572</v>
      </c>
      <c r="AG300" s="89">
        <f t="shared" si="341"/>
        <v>103.03019999999999</v>
      </c>
      <c r="AH300" s="89">
        <f t="shared" si="341"/>
        <v>19.464322702198849</v>
      </c>
      <c r="AI300" s="89">
        <f t="shared" si="341"/>
        <v>8.0115616605681694</v>
      </c>
    </row>
    <row r="301" spans="2:35" x14ac:dyDescent="0.25">
      <c r="B301" s="62" t="s">
        <v>119</v>
      </c>
      <c r="C301" s="346" t="s">
        <v>123</v>
      </c>
      <c r="D301" s="346" t="s">
        <v>177</v>
      </c>
      <c r="E301" s="346"/>
      <c r="F301" s="346" t="s">
        <v>12</v>
      </c>
      <c r="G301" s="346"/>
      <c r="H301" s="347">
        <f>SUM(H294:H300)</f>
        <v>2366.7327161755402</v>
      </c>
      <c r="I301" s="347">
        <f t="shared" ref="I301:AI301" si="342">SUM(I294:I300)</f>
        <v>547.42267332902566</v>
      </c>
      <c r="J301" s="347">
        <f t="shared" si="342"/>
        <v>1744.9623315262659</v>
      </c>
      <c r="K301" s="347">
        <f t="shared" si="342"/>
        <v>953.28597565172493</v>
      </c>
      <c r="L301" s="347">
        <f t="shared" si="342"/>
        <v>31.598518303767587</v>
      </c>
      <c r="M301" s="347">
        <f t="shared" si="342"/>
        <v>407.02366843876081</v>
      </c>
      <c r="N301" s="347">
        <f t="shared" si="342"/>
        <v>253.8088869926984</v>
      </c>
      <c r="O301" s="347">
        <f t="shared" si="342"/>
        <v>312.81015919983548</v>
      </c>
      <c r="P301" s="347">
        <f t="shared" si="342"/>
        <v>636.08090484146123</v>
      </c>
      <c r="Q301" s="347">
        <f t="shared" si="342"/>
        <v>54.291919554811884</v>
      </c>
      <c r="R301" s="347">
        <f t="shared" si="342"/>
        <v>9.9006914472207441</v>
      </c>
      <c r="S301" s="347">
        <f t="shared" si="342"/>
        <v>4501.5483629150658</v>
      </c>
      <c r="T301" s="347">
        <f t="shared" si="342"/>
        <v>102.49521447099936</v>
      </c>
      <c r="U301" s="347">
        <f t="shared" si="342"/>
        <v>58.776155253078748</v>
      </c>
      <c r="V301" s="347">
        <f t="shared" si="342"/>
        <v>206.57689405050721</v>
      </c>
      <c r="W301" s="347">
        <f t="shared" si="342"/>
        <v>387.50729273775363</v>
      </c>
      <c r="X301" s="347">
        <f t="shared" si="342"/>
        <v>186.67066721580358</v>
      </c>
      <c r="Y301" s="347">
        <f t="shared" si="342"/>
        <v>1310.5087444292469</v>
      </c>
      <c r="Z301" s="347">
        <f t="shared" si="342"/>
        <v>1571.1976148198692</v>
      </c>
      <c r="AA301" s="347">
        <f t="shared" si="342"/>
        <v>153.11909322065057</v>
      </c>
      <c r="AB301" s="347">
        <f t="shared" si="342"/>
        <v>942.11948481289278</v>
      </c>
      <c r="AC301" s="347">
        <f t="shared" si="342"/>
        <v>124.60396348938463</v>
      </c>
      <c r="AD301" s="347">
        <f t="shared" si="342"/>
        <v>484.29636454278938</v>
      </c>
      <c r="AE301" s="347">
        <f t="shared" si="342"/>
        <v>7.1978706694646419</v>
      </c>
      <c r="AF301" s="347">
        <f t="shared" si="342"/>
        <v>3450.4900468455471</v>
      </c>
      <c r="AG301" s="347">
        <f t="shared" si="342"/>
        <v>1319.8682943231897</v>
      </c>
      <c r="AH301" s="347">
        <f t="shared" si="342"/>
        <v>137.64300066149124</v>
      </c>
      <c r="AI301" s="347">
        <f t="shared" si="342"/>
        <v>168.74729199188673</v>
      </c>
    </row>
    <row r="302" spans="2:35" x14ac:dyDescent="0.25">
      <c r="B302" s="51" t="s">
        <v>94</v>
      </c>
      <c r="C302" s="51" t="s">
        <v>125</v>
      </c>
      <c r="D302" s="46" t="s">
        <v>19</v>
      </c>
      <c r="E302" s="46" t="s">
        <v>105</v>
      </c>
      <c r="F302" s="61" t="s">
        <v>12</v>
      </c>
      <c r="G302" s="61"/>
      <c r="H302" s="504">
        <f>SUMIFS(H$200:H$261,$E$200:$E$261,$E302,$C$200:$C$261,$C302)</f>
        <v>18.481991201539731</v>
      </c>
      <c r="I302" s="69">
        <f t="shared" ref="I302:AI303" si="343">SUMIFS(I$200:I$261,$E$200:$E$261,$E302,$C$200:$C$261,$C302)</f>
        <v>94.602382733021713</v>
      </c>
      <c r="J302" s="69">
        <f t="shared" si="343"/>
        <v>18.158802034643937</v>
      </c>
      <c r="K302" s="69">
        <f t="shared" si="343"/>
        <v>49.301227110255709</v>
      </c>
      <c r="L302" s="69">
        <f t="shared" si="343"/>
        <v>27.059457521255766</v>
      </c>
      <c r="M302" s="69">
        <f t="shared" si="343"/>
        <v>22.270400000000002</v>
      </c>
      <c r="N302" s="69">
        <f t="shared" si="343"/>
        <v>38.478200000000001</v>
      </c>
      <c r="O302" s="69">
        <f t="shared" si="343"/>
        <v>35.422700000000006</v>
      </c>
      <c r="P302" s="69">
        <f t="shared" si="343"/>
        <v>32.038721144586603</v>
      </c>
      <c r="Q302" s="69">
        <f t="shared" si="343"/>
        <v>51.756973774073224</v>
      </c>
      <c r="R302" s="69">
        <f t="shared" si="343"/>
        <v>7.964211496053256</v>
      </c>
      <c r="S302" s="69">
        <f t="shared" si="343"/>
        <v>305.4037980065437</v>
      </c>
      <c r="T302" s="69">
        <f t="shared" si="343"/>
        <v>5.1029926606806235</v>
      </c>
      <c r="U302" s="69">
        <f t="shared" si="343"/>
        <v>55.356656016261475</v>
      </c>
      <c r="V302" s="69">
        <f t="shared" si="343"/>
        <v>7.2698816226508107</v>
      </c>
      <c r="W302" s="69">
        <f t="shared" si="343"/>
        <v>89.437810336671831</v>
      </c>
      <c r="X302" s="69">
        <f t="shared" si="343"/>
        <v>53.986178634881995</v>
      </c>
      <c r="Y302" s="69">
        <f t="shared" si="343"/>
        <v>73.376000000000005</v>
      </c>
      <c r="Z302" s="69">
        <f t="shared" si="343"/>
        <v>111.65440000000001</v>
      </c>
      <c r="AA302" s="69">
        <f t="shared" si="343"/>
        <v>90.742400000000004</v>
      </c>
      <c r="AB302" s="69">
        <f t="shared" si="343"/>
        <v>151.60634224736438</v>
      </c>
      <c r="AC302" s="69">
        <f t="shared" si="343"/>
        <v>32.918252175567552</v>
      </c>
      <c r="AD302" s="69">
        <f t="shared" si="343"/>
        <v>114.1095664687209</v>
      </c>
      <c r="AE302" s="69">
        <f t="shared" si="343"/>
        <v>13.545046293792891</v>
      </c>
      <c r="AF302" s="69">
        <f t="shared" si="343"/>
        <v>13.248448996425626</v>
      </c>
      <c r="AG302" s="69">
        <f t="shared" si="343"/>
        <v>57.915999999999997</v>
      </c>
      <c r="AH302" s="69">
        <f t="shared" si="343"/>
        <v>11.081895880992457</v>
      </c>
      <c r="AI302" s="69">
        <f t="shared" si="343"/>
        <v>301.74127215967371</v>
      </c>
    </row>
    <row r="303" spans="2:35" x14ac:dyDescent="0.25">
      <c r="B303" s="89" t="s">
        <v>148</v>
      </c>
      <c r="C303" s="89" t="s">
        <v>173</v>
      </c>
      <c r="D303" s="61" t="s">
        <v>19</v>
      </c>
      <c r="E303" s="61" t="s">
        <v>105</v>
      </c>
      <c r="F303" s="48" t="s">
        <v>12</v>
      </c>
      <c r="G303" s="48"/>
      <c r="H303" s="69">
        <f>SUMIFS(H$200:H$261,$E$200:$E$261,$E303,$C$200:$C$261,$C303)</f>
        <v>54.068185117604415</v>
      </c>
      <c r="I303" s="69">
        <f t="shared" si="343"/>
        <v>276.75476556602592</v>
      </c>
      <c r="J303" s="69">
        <f t="shared" si="343"/>
        <v>53.122710600644886</v>
      </c>
      <c r="K303" s="69">
        <f t="shared" si="343"/>
        <v>144.22839210638139</v>
      </c>
      <c r="L303" s="69">
        <f t="shared" si="343"/>
        <v>111.33582110167598</v>
      </c>
      <c r="M303" s="69">
        <f t="shared" si="343"/>
        <v>144.44628262133745</v>
      </c>
      <c r="N303" s="69">
        <f t="shared" si="343"/>
        <v>249.57041418027276</v>
      </c>
      <c r="O303" s="69">
        <f t="shared" si="343"/>
        <v>229.75237694028172</v>
      </c>
      <c r="P303" s="69">
        <f t="shared" si="343"/>
        <v>282.4650449855551</v>
      </c>
      <c r="Q303" s="69">
        <f t="shared" si="343"/>
        <v>144.88818951958979</v>
      </c>
      <c r="R303" s="69">
        <f t="shared" si="343"/>
        <v>32.684309618515698</v>
      </c>
      <c r="S303" s="69">
        <f t="shared" si="343"/>
        <v>1491.8762272545666</v>
      </c>
      <c r="T303" s="69">
        <f t="shared" si="343"/>
        <v>173.74644740445746</v>
      </c>
      <c r="U303" s="69">
        <f t="shared" si="343"/>
        <v>201.05108935246471</v>
      </c>
      <c r="V303" s="69">
        <f t="shared" si="343"/>
        <v>247.52457802243038</v>
      </c>
      <c r="W303" s="69">
        <f t="shared" si="343"/>
        <v>646.46658020062557</v>
      </c>
      <c r="X303" s="69">
        <f t="shared" si="343"/>
        <v>555.94061127950295</v>
      </c>
      <c r="Y303" s="69">
        <f t="shared" si="343"/>
        <v>475.91827868485774</v>
      </c>
      <c r="Z303" s="69">
        <f t="shared" si="343"/>
        <v>724.19278586445944</v>
      </c>
      <c r="AA303" s="69">
        <f t="shared" si="343"/>
        <v>509.55647883023374</v>
      </c>
      <c r="AB303" s="69">
        <f t="shared" si="343"/>
        <v>295.20989890184319</v>
      </c>
      <c r="AC303" s="69">
        <f t="shared" si="343"/>
        <v>193.41753568531635</v>
      </c>
      <c r="AD303" s="69">
        <f t="shared" si="343"/>
        <v>670.47275252606187</v>
      </c>
      <c r="AE303" s="69">
        <f t="shared" si="343"/>
        <v>114.6238713293786</v>
      </c>
      <c r="AF303" s="69">
        <f t="shared" si="343"/>
        <v>38.757706626340394</v>
      </c>
      <c r="AG303" s="69">
        <f t="shared" si="343"/>
        <v>375.64439364795328</v>
      </c>
      <c r="AH303" s="69">
        <f t="shared" si="343"/>
        <v>154.93841486337939</v>
      </c>
      <c r="AI303" s="69">
        <f t="shared" si="343"/>
        <v>2553.4613913164007</v>
      </c>
    </row>
    <row r="304" spans="2:35" x14ac:dyDescent="0.25">
      <c r="B304" s="46" t="s">
        <v>169</v>
      </c>
      <c r="C304" s="46" t="s">
        <v>120</v>
      </c>
      <c r="D304" s="46" t="s">
        <v>22</v>
      </c>
      <c r="E304" s="46" t="s">
        <v>111</v>
      </c>
      <c r="F304" s="46" t="s">
        <v>12</v>
      </c>
      <c r="G304" s="46"/>
      <c r="H304" s="65">
        <f>SUMIFS(H$200:H$261,$E$200:$E$261,$E304,$C$200:$C$261,$C304)</f>
        <v>0</v>
      </c>
      <c r="I304" s="65">
        <f t="shared" ref="I304:AI306" si="344">SUMIFS(I$200:I$261,$E$200:$E$261,$E304,$C$200:$C$261,$C304)</f>
        <v>0</v>
      </c>
      <c r="J304" s="65">
        <f t="shared" si="344"/>
        <v>0</v>
      </c>
      <c r="K304" s="65">
        <f t="shared" si="344"/>
        <v>0</v>
      </c>
      <c r="L304" s="65">
        <f t="shared" si="344"/>
        <v>0</v>
      </c>
      <c r="M304" s="65">
        <f t="shared" si="344"/>
        <v>0</v>
      </c>
      <c r="N304" s="65">
        <f t="shared" si="344"/>
        <v>0</v>
      </c>
      <c r="O304" s="65">
        <f t="shared" si="344"/>
        <v>0</v>
      </c>
      <c r="P304" s="65">
        <f t="shared" si="344"/>
        <v>0</v>
      </c>
      <c r="Q304" s="65">
        <f t="shared" si="344"/>
        <v>0</v>
      </c>
      <c r="R304" s="65">
        <f t="shared" si="344"/>
        <v>0</v>
      </c>
      <c r="S304" s="65">
        <f t="shared" si="344"/>
        <v>0</v>
      </c>
      <c r="T304" s="65">
        <f t="shared" si="344"/>
        <v>0</v>
      </c>
      <c r="U304" s="65">
        <f t="shared" si="344"/>
        <v>0</v>
      </c>
      <c r="V304" s="65">
        <f t="shared" si="344"/>
        <v>0</v>
      </c>
      <c r="W304" s="65">
        <f t="shared" si="344"/>
        <v>0</v>
      </c>
      <c r="X304" s="65">
        <f t="shared" si="344"/>
        <v>0</v>
      </c>
      <c r="Y304" s="65">
        <f t="shared" si="344"/>
        <v>0</v>
      </c>
      <c r="Z304" s="65">
        <f t="shared" si="344"/>
        <v>0</v>
      </c>
      <c r="AA304" s="65">
        <f t="shared" si="344"/>
        <v>0</v>
      </c>
      <c r="AB304" s="65">
        <f t="shared" si="344"/>
        <v>0</v>
      </c>
      <c r="AC304" s="65">
        <f t="shared" si="344"/>
        <v>0</v>
      </c>
      <c r="AD304" s="65">
        <f t="shared" si="344"/>
        <v>0</v>
      </c>
      <c r="AE304" s="65">
        <f t="shared" si="344"/>
        <v>0</v>
      </c>
      <c r="AF304" s="65">
        <f t="shared" si="344"/>
        <v>0</v>
      </c>
      <c r="AG304" s="65">
        <f t="shared" si="344"/>
        <v>0</v>
      </c>
      <c r="AH304" s="65">
        <f t="shared" si="344"/>
        <v>0</v>
      </c>
      <c r="AI304" s="65">
        <f t="shared" si="344"/>
        <v>0</v>
      </c>
    </row>
    <row r="305" spans="2:36" x14ac:dyDescent="0.25">
      <c r="B305" s="46" t="s">
        <v>169</v>
      </c>
      <c r="C305" s="46" t="s">
        <v>120</v>
      </c>
      <c r="D305" s="46" t="s">
        <v>115</v>
      </c>
      <c r="E305" s="46" t="s">
        <v>368</v>
      </c>
      <c r="F305" s="46" t="s">
        <v>12</v>
      </c>
      <c r="G305" s="46"/>
      <c r="H305" s="65">
        <f t="shared" ref="H305:W306" si="345">SUMIFS(H$200:H$261,$E$200:$E$261,$E305,$C$200:$C$261,$C305)</f>
        <v>0</v>
      </c>
      <c r="I305" s="65">
        <f t="shared" si="345"/>
        <v>0</v>
      </c>
      <c r="J305" s="65">
        <f t="shared" si="345"/>
        <v>0</v>
      </c>
      <c r="K305" s="65">
        <f t="shared" si="345"/>
        <v>0</v>
      </c>
      <c r="L305" s="65">
        <f t="shared" si="345"/>
        <v>0</v>
      </c>
      <c r="M305" s="65">
        <f t="shared" si="345"/>
        <v>0</v>
      </c>
      <c r="N305" s="65">
        <f t="shared" si="345"/>
        <v>0</v>
      </c>
      <c r="O305" s="65">
        <f t="shared" si="345"/>
        <v>0</v>
      </c>
      <c r="P305" s="65">
        <f t="shared" si="345"/>
        <v>0</v>
      </c>
      <c r="Q305" s="65">
        <f t="shared" si="345"/>
        <v>0</v>
      </c>
      <c r="R305" s="65">
        <f t="shared" si="345"/>
        <v>7.3400387858347385</v>
      </c>
      <c r="S305" s="65">
        <f t="shared" si="345"/>
        <v>0</v>
      </c>
      <c r="T305" s="65">
        <f t="shared" si="345"/>
        <v>0.22991384127572653</v>
      </c>
      <c r="U305" s="65">
        <f t="shared" si="345"/>
        <v>0</v>
      </c>
      <c r="V305" s="65">
        <f t="shared" si="345"/>
        <v>0.58509241154394853</v>
      </c>
      <c r="W305" s="65">
        <f t="shared" si="345"/>
        <v>0.59467381163487187</v>
      </c>
      <c r="X305" s="65">
        <f t="shared" si="344"/>
        <v>24.31443107024964</v>
      </c>
      <c r="Y305" s="65">
        <f t="shared" si="344"/>
        <v>0</v>
      </c>
      <c r="Z305" s="65">
        <f t="shared" si="344"/>
        <v>0</v>
      </c>
      <c r="AA305" s="65">
        <f t="shared" si="344"/>
        <v>0</v>
      </c>
      <c r="AB305" s="65">
        <f t="shared" si="344"/>
        <v>0</v>
      </c>
      <c r="AC305" s="65">
        <f t="shared" si="344"/>
        <v>0</v>
      </c>
      <c r="AD305" s="65">
        <f t="shared" si="344"/>
        <v>0</v>
      </c>
      <c r="AE305" s="65">
        <f t="shared" si="344"/>
        <v>0</v>
      </c>
      <c r="AF305" s="65">
        <f t="shared" si="344"/>
        <v>0</v>
      </c>
      <c r="AG305" s="65">
        <f t="shared" si="344"/>
        <v>0</v>
      </c>
      <c r="AH305" s="65">
        <f t="shared" si="344"/>
        <v>0</v>
      </c>
      <c r="AI305" s="65">
        <f t="shared" si="344"/>
        <v>0</v>
      </c>
    </row>
    <row r="306" spans="2:36" x14ac:dyDescent="0.25">
      <c r="B306" s="46" t="s">
        <v>169</v>
      </c>
      <c r="C306" s="46" t="s">
        <v>120</v>
      </c>
      <c r="D306" s="46" t="s">
        <v>19</v>
      </c>
      <c r="E306" s="46" t="s">
        <v>105</v>
      </c>
      <c r="F306" s="46" t="s">
        <v>12</v>
      </c>
      <c r="G306" s="46"/>
      <c r="H306" s="65">
        <f t="shared" si="345"/>
        <v>0.54270447671657474</v>
      </c>
      <c r="I306" s="65">
        <f t="shared" si="344"/>
        <v>2.7779007173744601</v>
      </c>
      <c r="J306" s="65">
        <f t="shared" si="344"/>
        <v>0.53321436248656495</v>
      </c>
      <c r="K306" s="65">
        <f t="shared" si="344"/>
        <v>1.4476793311170548</v>
      </c>
      <c r="L306" s="65">
        <f t="shared" si="344"/>
        <v>0</v>
      </c>
      <c r="M306" s="65">
        <f t="shared" si="344"/>
        <v>0</v>
      </c>
      <c r="N306" s="65">
        <f t="shared" si="344"/>
        <v>0</v>
      </c>
      <c r="O306" s="65">
        <f t="shared" si="344"/>
        <v>0</v>
      </c>
      <c r="P306" s="65">
        <f t="shared" si="344"/>
        <v>0</v>
      </c>
      <c r="Q306" s="65">
        <f t="shared" si="344"/>
        <v>0</v>
      </c>
      <c r="R306" s="65">
        <f t="shared" si="344"/>
        <v>1.3203134725170547</v>
      </c>
      <c r="S306" s="65">
        <f t="shared" si="344"/>
        <v>0</v>
      </c>
      <c r="T306" s="65">
        <f t="shared" si="344"/>
        <v>2.1341787628607389</v>
      </c>
      <c r="U306" s="65">
        <f t="shared" si="344"/>
        <v>150.03058284941065</v>
      </c>
      <c r="V306" s="65">
        <f t="shared" si="344"/>
        <v>3.0404172608595412</v>
      </c>
      <c r="W306" s="65">
        <f t="shared" si="344"/>
        <v>29.203078510919113</v>
      </c>
      <c r="X306" s="65">
        <f t="shared" si="344"/>
        <v>14.085125442969785</v>
      </c>
      <c r="Y306" s="65">
        <f t="shared" si="344"/>
        <v>0</v>
      </c>
      <c r="Z306" s="65">
        <f t="shared" si="344"/>
        <v>0</v>
      </c>
      <c r="AA306" s="65">
        <f t="shared" si="344"/>
        <v>0</v>
      </c>
      <c r="AB306" s="65">
        <f t="shared" si="344"/>
        <v>0</v>
      </c>
      <c r="AC306" s="65">
        <f t="shared" si="344"/>
        <v>41.654979601237741</v>
      </c>
      <c r="AD306" s="65">
        <f t="shared" si="344"/>
        <v>144.39501946244206</v>
      </c>
      <c r="AE306" s="65">
        <f t="shared" si="344"/>
        <v>4.1836530208442024</v>
      </c>
      <c r="AF306" s="65">
        <f t="shared" si="344"/>
        <v>0.38902694528457527</v>
      </c>
      <c r="AG306" s="65">
        <f t="shared" si="344"/>
        <v>0</v>
      </c>
      <c r="AH306" s="65">
        <f t="shared" si="344"/>
        <v>9.9598776260244808</v>
      </c>
      <c r="AI306" s="65">
        <f t="shared" si="344"/>
        <v>93.198705814884249</v>
      </c>
    </row>
    <row r="307" spans="2:36" x14ac:dyDescent="0.25">
      <c r="B307" s="46" t="s">
        <v>169</v>
      </c>
      <c r="C307" s="46" t="s">
        <v>120</v>
      </c>
      <c r="D307" s="46" t="s">
        <v>477</v>
      </c>
      <c r="E307" s="46" t="s">
        <v>482</v>
      </c>
      <c r="F307" s="46" t="s">
        <v>12</v>
      </c>
      <c r="G307" s="46"/>
      <c r="H307" s="65">
        <f t="shared" ref="H307:AI307" si="346">H249+H255+H254</f>
        <v>0</v>
      </c>
      <c r="I307" s="65">
        <f t="shared" si="346"/>
        <v>6.6024390951629526</v>
      </c>
      <c r="J307" s="65">
        <f t="shared" si="346"/>
        <v>0</v>
      </c>
      <c r="K307" s="65">
        <f t="shared" si="346"/>
        <v>2.7572930543277485E-3</v>
      </c>
      <c r="L307" s="65">
        <f t="shared" si="346"/>
        <v>0</v>
      </c>
      <c r="M307" s="65">
        <f t="shared" si="346"/>
        <v>0</v>
      </c>
      <c r="N307" s="65">
        <f t="shared" si="346"/>
        <v>0</v>
      </c>
      <c r="O307" s="65">
        <f t="shared" si="346"/>
        <v>0</v>
      </c>
      <c r="P307" s="65">
        <f t="shared" si="346"/>
        <v>0</v>
      </c>
      <c r="Q307" s="65">
        <f t="shared" si="346"/>
        <v>0</v>
      </c>
      <c r="R307" s="65">
        <f t="shared" si="346"/>
        <v>2.3232757851226253</v>
      </c>
      <c r="S307" s="65">
        <f t="shared" si="346"/>
        <v>0</v>
      </c>
      <c r="T307" s="65">
        <f t="shared" si="346"/>
        <v>4.9671356603762389</v>
      </c>
      <c r="U307" s="65">
        <f t="shared" si="346"/>
        <v>0</v>
      </c>
      <c r="V307" s="65">
        <f t="shared" si="346"/>
        <v>0</v>
      </c>
      <c r="W307" s="65">
        <f t="shared" si="346"/>
        <v>17.803639498643957</v>
      </c>
      <c r="X307" s="65">
        <f t="shared" si="346"/>
        <v>10.765840382296286</v>
      </c>
      <c r="Y307" s="65">
        <f t="shared" si="346"/>
        <v>0</v>
      </c>
      <c r="Z307" s="65">
        <f t="shared" si="346"/>
        <v>0</v>
      </c>
      <c r="AA307" s="65">
        <f t="shared" si="346"/>
        <v>0</v>
      </c>
      <c r="AB307" s="65">
        <f t="shared" si="346"/>
        <v>0</v>
      </c>
      <c r="AC307" s="65">
        <f t="shared" si="346"/>
        <v>12.176186075672762</v>
      </c>
      <c r="AD307" s="65">
        <f t="shared" si="346"/>
        <v>42.33083981570924</v>
      </c>
      <c r="AE307" s="65">
        <f t="shared" si="346"/>
        <v>1.2386734758691091</v>
      </c>
      <c r="AF307" s="65">
        <f t="shared" si="346"/>
        <v>0</v>
      </c>
      <c r="AG307" s="65">
        <f t="shared" si="346"/>
        <v>0</v>
      </c>
      <c r="AH307" s="65">
        <f t="shared" si="346"/>
        <v>0</v>
      </c>
      <c r="AI307" s="65">
        <f t="shared" si="346"/>
        <v>227.25801505510503</v>
      </c>
    </row>
    <row r="308" spans="2:36" x14ac:dyDescent="0.25">
      <c r="B308" s="46" t="s">
        <v>169</v>
      </c>
      <c r="C308" s="46" t="s">
        <v>120</v>
      </c>
      <c r="D308" s="46" t="s">
        <v>0</v>
      </c>
      <c r="E308" s="46" t="s">
        <v>109</v>
      </c>
      <c r="F308" s="46" t="s">
        <v>12</v>
      </c>
      <c r="G308" s="46"/>
      <c r="H308" s="65">
        <f>SUMIFS(H$200:H$261,$E$200:$E$261,$E308,$C$200:$C$261,$C308)</f>
        <v>0</v>
      </c>
      <c r="I308" s="65">
        <f t="shared" ref="I308:AI309" si="347">SUMIFS(I$200:I$261,$E$200:$E$261,$E308,$C$200:$C$261,$C308)</f>
        <v>0</v>
      </c>
      <c r="J308" s="65">
        <f t="shared" si="347"/>
        <v>0</v>
      </c>
      <c r="K308" s="65">
        <f t="shared" si="347"/>
        <v>0</v>
      </c>
      <c r="L308" s="65">
        <f t="shared" si="347"/>
        <v>0</v>
      </c>
      <c r="M308" s="65">
        <f t="shared" si="347"/>
        <v>0</v>
      </c>
      <c r="N308" s="65">
        <f t="shared" si="347"/>
        <v>0</v>
      </c>
      <c r="O308" s="65">
        <f t="shared" si="347"/>
        <v>0</v>
      </c>
      <c r="P308" s="65">
        <f t="shared" si="347"/>
        <v>0</v>
      </c>
      <c r="Q308" s="65">
        <f t="shared" si="347"/>
        <v>0</v>
      </c>
      <c r="R308" s="65">
        <f t="shared" si="347"/>
        <v>5.3804261453982658</v>
      </c>
      <c r="S308" s="65">
        <f t="shared" si="347"/>
        <v>0</v>
      </c>
      <c r="T308" s="65">
        <f t="shared" si="347"/>
        <v>0.38213316381441115</v>
      </c>
      <c r="U308" s="65">
        <f t="shared" si="347"/>
        <v>0</v>
      </c>
      <c r="V308" s="65">
        <f t="shared" si="347"/>
        <v>0.14542577664521816</v>
      </c>
      <c r="W308" s="65">
        <f t="shared" si="347"/>
        <v>1.2415024191730268</v>
      </c>
      <c r="X308" s="65">
        <f t="shared" si="347"/>
        <v>5.1703644862579292</v>
      </c>
      <c r="Y308" s="65">
        <f t="shared" si="347"/>
        <v>0</v>
      </c>
      <c r="Z308" s="65">
        <f t="shared" si="347"/>
        <v>0</v>
      </c>
      <c r="AA308" s="65">
        <f t="shared" si="347"/>
        <v>0</v>
      </c>
      <c r="AB308" s="65">
        <f t="shared" si="347"/>
        <v>0</v>
      </c>
      <c r="AC308" s="65">
        <f t="shared" si="347"/>
        <v>8.4503227889667247</v>
      </c>
      <c r="AD308" s="65">
        <f t="shared" si="347"/>
        <v>35.998367666374783</v>
      </c>
      <c r="AE308" s="65">
        <f t="shared" si="347"/>
        <v>18.031443646351718</v>
      </c>
      <c r="AF308" s="65">
        <f t="shared" si="347"/>
        <v>0</v>
      </c>
      <c r="AG308" s="65">
        <f t="shared" si="347"/>
        <v>0</v>
      </c>
      <c r="AH308" s="65">
        <f t="shared" si="347"/>
        <v>0</v>
      </c>
      <c r="AI308" s="65">
        <f t="shared" si="347"/>
        <v>15.021387800586011</v>
      </c>
      <c r="AJ308" s="65"/>
    </row>
    <row r="309" spans="2:36" x14ac:dyDescent="0.25">
      <c r="B309" s="46" t="s">
        <v>169</v>
      </c>
      <c r="C309" s="46" t="s">
        <v>120</v>
      </c>
      <c r="D309" s="46" t="s">
        <v>18</v>
      </c>
      <c r="E309" s="46" t="s">
        <v>104</v>
      </c>
      <c r="F309" s="46" t="s">
        <v>12</v>
      </c>
      <c r="G309" s="46"/>
      <c r="H309" s="65">
        <f>SUMIFS(H$200:H$261,$E$200:$E$261,$E309,$C$200:$C$261,$C309)</f>
        <v>0</v>
      </c>
      <c r="I309" s="65">
        <f t="shared" si="347"/>
        <v>0</v>
      </c>
      <c r="J309" s="65">
        <f t="shared" si="347"/>
        <v>0</v>
      </c>
      <c r="K309" s="65">
        <f t="shared" si="347"/>
        <v>0</v>
      </c>
      <c r="L309" s="65">
        <f t="shared" si="347"/>
        <v>0</v>
      </c>
      <c r="M309" s="65">
        <f t="shared" si="347"/>
        <v>0</v>
      </c>
      <c r="N309" s="65">
        <f t="shared" si="347"/>
        <v>0</v>
      </c>
      <c r="O309" s="65">
        <f t="shared" si="347"/>
        <v>0</v>
      </c>
      <c r="P309" s="65">
        <f t="shared" si="347"/>
        <v>0</v>
      </c>
      <c r="Q309" s="65">
        <f t="shared" si="347"/>
        <v>0</v>
      </c>
      <c r="R309" s="65">
        <f t="shared" si="347"/>
        <v>0</v>
      </c>
      <c r="S309" s="65">
        <f t="shared" si="347"/>
        <v>0</v>
      </c>
      <c r="T309" s="65">
        <f t="shared" si="347"/>
        <v>0</v>
      </c>
      <c r="U309" s="65">
        <f t="shared" si="347"/>
        <v>0</v>
      </c>
      <c r="V309" s="65">
        <f t="shared" si="347"/>
        <v>0</v>
      </c>
      <c r="W309" s="65">
        <f t="shared" si="347"/>
        <v>0</v>
      </c>
      <c r="X309" s="65">
        <f t="shared" si="347"/>
        <v>0</v>
      </c>
      <c r="Y309" s="65">
        <f t="shared" si="347"/>
        <v>0</v>
      </c>
      <c r="Z309" s="65">
        <f t="shared" si="347"/>
        <v>0</v>
      </c>
      <c r="AA309" s="65">
        <f t="shared" si="347"/>
        <v>0</v>
      </c>
      <c r="AB309" s="65">
        <f t="shared" si="347"/>
        <v>0</v>
      </c>
      <c r="AC309" s="65">
        <f t="shared" si="347"/>
        <v>0</v>
      </c>
      <c r="AD309" s="65">
        <f t="shared" si="347"/>
        <v>0</v>
      </c>
      <c r="AE309" s="65">
        <f t="shared" si="347"/>
        <v>0</v>
      </c>
      <c r="AF309" s="65">
        <f t="shared" si="347"/>
        <v>0</v>
      </c>
      <c r="AG309" s="65">
        <f t="shared" si="347"/>
        <v>0</v>
      </c>
      <c r="AH309" s="65">
        <f t="shared" si="347"/>
        <v>0</v>
      </c>
      <c r="AI309" s="65">
        <f t="shared" si="347"/>
        <v>0</v>
      </c>
      <c r="AJ309" s="65"/>
    </row>
    <row r="310" spans="2:36" x14ac:dyDescent="0.25">
      <c r="B310" s="46" t="s">
        <v>169</v>
      </c>
      <c r="C310" s="46" t="s">
        <v>120</v>
      </c>
      <c r="D310" s="48" t="s">
        <v>474</v>
      </c>
      <c r="E310" s="48" t="s">
        <v>475</v>
      </c>
      <c r="F310" s="46" t="s">
        <v>12</v>
      </c>
      <c r="G310" s="46"/>
      <c r="H310" s="65">
        <f t="shared" ref="H310:AI310" si="348">H258+H251</f>
        <v>0</v>
      </c>
      <c r="I310" s="65">
        <f t="shared" si="348"/>
        <v>0</v>
      </c>
      <c r="J310" s="65">
        <f t="shared" si="348"/>
        <v>0</v>
      </c>
      <c r="K310" s="65">
        <f t="shared" si="348"/>
        <v>0</v>
      </c>
      <c r="L310" s="65">
        <f t="shared" si="348"/>
        <v>0</v>
      </c>
      <c r="M310" s="65">
        <f t="shared" si="348"/>
        <v>0</v>
      </c>
      <c r="N310" s="65">
        <f t="shared" si="348"/>
        <v>0</v>
      </c>
      <c r="O310" s="65">
        <f t="shared" si="348"/>
        <v>0</v>
      </c>
      <c r="P310" s="65">
        <f t="shared" si="348"/>
        <v>0</v>
      </c>
      <c r="Q310" s="65">
        <f t="shared" si="348"/>
        <v>0</v>
      </c>
      <c r="R310" s="65">
        <f t="shared" si="348"/>
        <v>0.53856196069285722</v>
      </c>
      <c r="S310" s="65">
        <f t="shared" si="348"/>
        <v>0</v>
      </c>
      <c r="T310" s="65">
        <f t="shared" si="348"/>
        <v>1.8710851712193392E-2</v>
      </c>
      <c r="U310" s="65">
        <f t="shared" si="348"/>
        <v>0</v>
      </c>
      <c r="V310" s="65">
        <f t="shared" si="348"/>
        <v>3.933089165325801E-2</v>
      </c>
      <c r="W310" s="65">
        <f t="shared" si="348"/>
        <v>2.6852102790345751</v>
      </c>
      <c r="X310" s="65">
        <f t="shared" si="348"/>
        <v>76.634769370688645</v>
      </c>
      <c r="Y310" s="65">
        <f t="shared" si="348"/>
        <v>0</v>
      </c>
      <c r="Z310" s="65">
        <f t="shared" si="348"/>
        <v>0</v>
      </c>
      <c r="AA310" s="65">
        <f t="shared" si="348"/>
        <v>0</v>
      </c>
      <c r="AB310" s="65">
        <f t="shared" si="348"/>
        <v>0</v>
      </c>
      <c r="AC310" s="65">
        <f t="shared" si="348"/>
        <v>5.2815598730297726</v>
      </c>
      <c r="AD310" s="65">
        <f t="shared" si="348"/>
        <v>23.702203261821367</v>
      </c>
      <c r="AE310" s="65">
        <f t="shared" si="348"/>
        <v>0</v>
      </c>
      <c r="AF310" s="65">
        <f t="shared" si="348"/>
        <v>0</v>
      </c>
      <c r="AG310" s="65">
        <f t="shared" si="348"/>
        <v>0</v>
      </c>
      <c r="AH310" s="65">
        <f t="shared" si="348"/>
        <v>0</v>
      </c>
      <c r="AI310" s="65">
        <f t="shared" si="348"/>
        <v>35.100212133970146</v>
      </c>
    </row>
    <row r="311" spans="2:36" x14ac:dyDescent="0.25">
      <c r="B311" s="60" t="s">
        <v>169</v>
      </c>
      <c r="C311" s="60" t="s">
        <v>120</v>
      </c>
      <c r="D311" s="60" t="s">
        <v>177</v>
      </c>
      <c r="E311" s="60"/>
      <c r="F311" s="60" t="s">
        <v>12</v>
      </c>
      <c r="G311" s="60"/>
      <c r="H311" s="348">
        <f>SUM(H304:H310)</f>
        <v>0.54270447671657474</v>
      </c>
      <c r="I311" s="348">
        <f t="shared" ref="I311:AI311" si="349">SUM(I304:I310)</f>
        <v>9.3803398125374127</v>
      </c>
      <c r="J311" s="348">
        <f t="shared" si="349"/>
        <v>0.53321436248656495</v>
      </c>
      <c r="K311" s="348">
        <f t="shared" si="349"/>
        <v>1.4504366241713826</v>
      </c>
      <c r="L311" s="348">
        <f t="shared" si="349"/>
        <v>0</v>
      </c>
      <c r="M311" s="348">
        <f t="shared" si="349"/>
        <v>0</v>
      </c>
      <c r="N311" s="348">
        <f t="shared" si="349"/>
        <v>0</v>
      </c>
      <c r="O311" s="348">
        <f t="shared" si="349"/>
        <v>0</v>
      </c>
      <c r="P311" s="348">
        <f t="shared" si="349"/>
        <v>0</v>
      </c>
      <c r="Q311" s="348">
        <f t="shared" si="349"/>
        <v>0</v>
      </c>
      <c r="R311" s="348">
        <f t="shared" si="349"/>
        <v>16.902616149565542</v>
      </c>
      <c r="S311" s="348">
        <f t="shared" si="349"/>
        <v>0</v>
      </c>
      <c r="T311" s="348">
        <f t="shared" si="349"/>
        <v>7.7320722800393096</v>
      </c>
      <c r="U311" s="348">
        <f t="shared" si="349"/>
        <v>150.03058284941065</v>
      </c>
      <c r="V311" s="348">
        <f t="shared" si="349"/>
        <v>3.8102663407019661</v>
      </c>
      <c r="W311" s="348">
        <f t="shared" si="349"/>
        <v>51.528104519405545</v>
      </c>
      <c r="X311" s="348">
        <f t="shared" si="349"/>
        <v>130.97053075246228</v>
      </c>
      <c r="Y311" s="348">
        <f t="shared" si="349"/>
        <v>0</v>
      </c>
      <c r="Z311" s="348">
        <f t="shared" si="349"/>
        <v>0</v>
      </c>
      <c r="AA311" s="348">
        <f t="shared" si="349"/>
        <v>0</v>
      </c>
      <c r="AB311" s="348">
        <f t="shared" si="349"/>
        <v>0</v>
      </c>
      <c r="AC311" s="348">
        <f t="shared" si="349"/>
        <v>67.563048338906995</v>
      </c>
      <c r="AD311" s="348">
        <f t="shared" si="349"/>
        <v>246.42643020634745</v>
      </c>
      <c r="AE311" s="348">
        <f t="shared" si="349"/>
        <v>23.453770143065029</v>
      </c>
      <c r="AF311" s="348">
        <f t="shared" si="349"/>
        <v>0.38902694528457527</v>
      </c>
      <c r="AG311" s="348">
        <f t="shared" si="349"/>
        <v>0</v>
      </c>
      <c r="AH311" s="348">
        <f t="shared" si="349"/>
        <v>9.9598776260244808</v>
      </c>
      <c r="AI311" s="348">
        <f t="shared" si="349"/>
        <v>370.57832080454546</v>
      </c>
    </row>
    <row r="312" spans="2:36" x14ac:dyDescent="0.25">
      <c r="B312" s="63" t="s">
        <v>97</v>
      </c>
      <c r="C312" s="224"/>
      <c r="D312" s="224"/>
      <c r="E312" s="224"/>
      <c r="F312" s="224"/>
      <c r="G312" s="224"/>
      <c r="H312" s="363">
        <f>SUM(H277,H287,H290,H293,H301,H302,H303,H311)-H18/1000</f>
        <v>0</v>
      </c>
      <c r="I312" s="363">
        <f t="shared" ref="I312:AI312" si="350">SUM(I277,I287,I290,I293,I301,I302,I303,I311)-I18/1000</f>
        <v>0</v>
      </c>
      <c r="J312" s="363">
        <f t="shared" si="350"/>
        <v>0</v>
      </c>
      <c r="K312" s="363">
        <f t="shared" si="350"/>
        <v>0</v>
      </c>
      <c r="L312" s="363">
        <f t="shared" si="350"/>
        <v>0</v>
      </c>
      <c r="M312" s="363">
        <f t="shared" si="350"/>
        <v>0</v>
      </c>
      <c r="N312" s="363">
        <f t="shared" si="350"/>
        <v>0</v>
      </c>
      <c r="O312" s="363">
        <f t="shared" si="350"/>
        <v>0</v>
      </c>
      <c r="P312" s="363">
        <f t="shared" si="350"/>
        <v>0</v>
      </c>
      <c r="Q312" s="363">
        <f t="shared" si="350"/>
        <v>0</v>
      </c>
      <c r="R312" s="363">
        <f t="shared" si="350"/>
        <v>0</v>
      </c>
      <c r="S312" s="363">
        <f t="shared" si="350"/>
        <v>0</v>
      </c>
      <c r="T312" s="363">
        <f t="shared" si="350"/>
        <v>0</v>
      </c>
      <c r="U312" s="363">
        <f t="shared" si="350"/>
        <v>0</v>
      </c>
      <c r="V312" s="363">
        <f t="shared" si="350"/>
        <v>0</v>
      </c>
      <c r="W312" s="363">
        <f t="shared" si="350"/>
        <v>0</v>
      </c>
      <c r="X312" s="363">
        <f t="shared" si="350"/>
        <v>0</v>
      </c>
      <c r="Y312" s="363">
        <f t="shared" si="350"/>
        <v>0</v>
      </c>
      <c r="Z312" s="363">
        <f t="shared" si="350"/>
        <v>0</v>
      </c>
      <c r="AA312" s="363">
        <f t="shared" si="350"/>
        <v>0</v>
      </c>
      <c r="AB312" s="363">
        <f t="shared" si="350"/>
        <v>0</v>
      </c>
      <c r="AC312" s="363">
        <f t="shared" si="350"/>
        <v>0</v>
      </c>
      <c r="AD312" s="363">
        <f t="shared" si="350"/>
        <v>0</v>
      </c>
      <c r="AE312" s="363">
        <f t="shared" si="350"/>
        <v>0</v>
      </c>
      <c r="AF312" s="363">
        <f t="shared" si="350"/>
        <v>0</v>
      </c>
      <c r="AG312" s="363">
        <f t="shared" si="350"/>
        <v>0</v>
      </c>
      <c r="AH312" s="363">
        <f t="shared" si="350"/>
        <v>0</v>
      </c>
      <c r="AI312" s="363">
        <f t="shared" si="350"/>
        <v>0</v>
      </c>
    </row>
    <row r="313" spans="2:36" x14ac:dyDescent="0.25">
      <c r="B313" s="63" t="s">
        <v>478</v>
      </c>
      <c r="C313" s="46"/>
      <c r="D313" s="46"/>
      <c r="E313" s="46"/>
      <c r="F313" s="46"/>
      <c r="G313" s="46"/>
      <c r="H313" s="364">
        <f>SUM(H277,H287,H290,H293,H301,H302,H303,H311)-SUM(H212,H225,H228,H231,H244,H246,H248,H261)</f>
        <v>0</v>
      </c>
      <c r="I313" s="364">
        <f t="shared" ref="I313:AI313" si="351">SUM(I277,I287,I290,I293,I301,I302,I303,I311)-SUM(I212,I225,I228,I231,I244,I246,I248,I261)</f>
        <v>0</v>
      </c>
      <c r="J313" s="364">
        <f t="shared" si="351"/>
        <v>0</v>
      </c>
      <c r="K313" s="364">
        <f t="shared" si="351"/>
        <v>0</v>
      </c>
      <c r="L313" s="364">
        <f t="shared" si="351"/>
        <v>0</v>
      </c>
      <c r="M313" s="364">
        <f t="shared" si="351"/>
        <v>0</v>
      </c>
      <c r="N313" s="364">
        <f t="shared" si="351"/>
        <v>0</v>
      </c>
      <c r="O313" s="364">
        <f t="shared" si="351"/>
        <v>0</v>
      </c>
      <c r="P313" s="364">
        <f t="shared" si="351"/>
        <v>0</v>
      </c>
      <c r="Q313" s="364">
        <f t="shared" si="351"/>
        <v>0</v>
      </c>
      <c r="R313" s="364">
        <f t="shared" si="351"/>
        <v>0</v>
      </c>
      <c r="S313" s="364">
        <f t="shared" si="351"/>
        <v>0</v>
      </c>
      <c r="T313" s="364">
        <f t="shared" si="351"/>
        <v>0</v>
      </c>
      <c r="U313" s="364">
        <f t="shared" si="351"/>
        <v>0</v>
      </c>
      <c r="V313" s="364">
        <f t="shared" si="351"/>
        <v>0</v>
      </c>
      <c r="W313" s="364">
        <f t="shared" si="351"/>
        <v>0</v>
      </c>
      <c r="X313" s="364">
        <f t="shared" si="351"/>
        <v>0</v>
      </c>
      <c r="Y313" s="364">
        <f t="shared" si="351"/>
        <v>0</v>
      </c>
      <c r="Z313" s="364">
        <f t="shared" si="351"/>
        <v>0</v>
      </c>
      <c r="AA313" s="364">
        <f t="shared" si="351"/>
        <v>0</v>
      </c>
      <c r="AB313" s="364">
        <f t="shared" si="351"/>
        <v>0</v>
      </c>
      <c r="AC313" s="364">
        <f t="shared" si="351"/>
        <v>0</v>
      </c>
      <c r="AD313" s="364">
        <f t="shared" si="351"/>
        <v>0</v>
      </c>
      <c r="AE313" s="364">
        <f t="shared" si="351"/>
        <v>0</v>
      </c>
      <c r="AF313" s="364">
        <f t="shared" si="351"/>
        <v>0</v>
      </c>
      <c r="AG313" s="364">
        <f t="shared" si="351"/>
        <v>0</v>
      </c>
      <c r="AH313" s="364">
        <f t="shared" si="351"/>
        <v>0</v>
      </c>
      <c r="AI313" s="364">
        <f t="shared" si="351"/>
        <v>0</v>
      </c>
    </row>
  </sheetData>
  <mergeCells count="1">
    <mergeCell ref="A1:E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F462A-D66A-4BAF-B3EE-55AD770931E4}">
  <sheetPr>
    <tabColor theme="4" tint="0.39997558519241921"/>
  </sheetPr>
  <dimension ref="A1:BV576"/>
  <sheetViews>
    <sheetView showGridLines="0" topLeftCell="O1" zoomScale="89" zoomScaleNormal="42" workbookViewId="0">
      <pane ySplit="1" topLeftCell="A2" activePane="bottomLeft" state="frozen"/>
      <selection sqref="A1:XFD1048576"/>
      <selection pane="bottomLeft" activeCell="AI7" sqref="AI7"/>
    </sheetView>
  </sheetViews>
  <sheetFormatPr defaultColWidth="8" defaultRowHeight="15" x14ac:dyDescent="0.25"/>
  <cols>
    <col min="1" max="1" width="9.25" style="385" bestFit="1" customWidth="1"/>
    <col min="2" max="2" width="21.75" style="385" customWidth="1"/>
    <col min="3" max="3" width="55.75" style="385" customWidth="1"/>
    <col min="4" max="4" width="19" style="385" bestFit="1" customWidth="1"/>
    <col min="5" max="7" width="15.5" style="385" customWidth="1"/>
    <col min="8" max="8" width="13.125" style="385" customWidth="1"/>
    <col min="9" max="31" width="11.25" style="385" customWidth="1"/>
    <col min="32" max="32" width="11.75" style="385" customWidth="1"/>
    <col min="33" max="33" width="11.25" style="385" customWidth="1"/>
    <col min="34" max="34" width="13.75" style="385" customWidth="1"/>
    <col min="35" max="39" width="11.25" style="385" customWidth="1"/>
    <col min="40" max="16384" width="8" style="385"/>
  </cols>
  <sheetData>
    <row r="1" spans="1:44" s="341" customFormat="1" x14ac:dyDescent="0.25"/>
    <row r="2" spans="1:44" s="341" customFormat="1" ht="26.25" x14ac:dyDescent="0.25">
      <c r="B2" s="54" t="s">
        <v>575</v>
      </c>
      <c r="C2" s="45"/>
      <c r="D2" s="45"/>
    </row>
    <row r="3" spans="1:44" s="341" customFormat="1" x14ac:dyDescent="0.25">
      <c r="C3" s="46"/>
      <c r="D3" s="46"/>
      <c r="E3" s="46"/>
      <c r="F3" s="46"/>
      <c r="G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row>
    <row r="4" spans="1:44" s="341" customFormat="1" x14ac:dyDescent="0.25">
      <c r="B4" s="385"/>
      <c r="AN4" s="342"/>
      <c r="AO4" s="342"/>
      <c r="AP4" s="342"/>
      <c r="AQ4" s="342"/>
      <c r="AR4" s="342"/>
    </row>
    <row r="5" spans="1:44" s="341" customFormat="1" ht="26.25" x14ac:dyDescent="0.25">
      <c r="B5" s="4" t="s">
        <v>479</v>
      </c>
      <c r="C5" s="4" t="s">
        <v>184</v>
      </c>
      <c r="D5" s="46"/>
      <c r="E5" s="46"/>
      <c r="F5" s="46"/>
      <c r="G5" s="46"/>
      <c r="AN5" s="342"/>
      <c r="AO5" s="342"/>
      <c r="AP5" s="342"/>
      <c r="AQ5" s="342"/>
      <c r="AR5" s="342"/>
    </row>
    <row r="6" spans="1:44" s="341" customFormat="1" x14ac:dyDescent="0.25">
      <c r="A6" s="46"/>
      <c r="B6" s="56" t="s">
        <v>95</v>
      </c>
      <c r="C6" s="56"/>
      <c r="D6" s="57" t="s">
        <v>96</v>
      </c>
      <c r="E6" s="57"/>
      <c r="F6" s="56" t="s">
        <v>46</v>
      </c>
      <c r="G6" s="56" t="s">
        <v>86</v>
      </c>
      <c r="H6" s="56" t="s">
        <v>215</v>
      </c>
      <c r="I6" s="334" t="s">
        <v>314</v>
      </c>
      <c r="J6" s="334" t="s">
        <v>315</v>
      </c>
      <c r="K6" s="334" t="s">
        <v>317</v>
      </c>
      <c r="L6" s="334" t="s">
        <v>316</v>
      </c>
      <c r="M6" s="334" t="s">
        <v>318</v>
      </c>
      <c r="N6" s="334" t="s">
        <v>319</v>
      </c>
      <c r="O6" s="334" t="s">
        <v>320</v>
      </c>
      <c r="P6" s="334" t="s">
        <v>321</v>
      </c>
      <c r="Q6" s="334" t="s">
        <v>1</v>
      </c>
      <c r="R6" s="334" t="s">
        <v>2</v>
      </c>
      <c r="S6" s="334" t="s">
        <v>416</v>
      </c>
      <c r="T6" s="334" t="s">
        <v>3</v>
      </c>
      <c r="U6" s="334" t="s">
        <v>322</v>
      </c>
      <c r="V6" s="334" t="s">
        <v>323</v>
      </c>
      <c r="W6" s="334" t="s">
        <v>324</v>
      </c>
      <c r="X6" s="334" t="s">
        <v>417</v>
      </c>
      <c r="Y6" s="334" t="s">
        <v>325</v>
      </c>
      <c r="Z6" s="334" t="s">
        <v>4</v>
      </c>
      <c r="AA6" s="334" t="s">
        <v>5</v>
      </c>
      <c r="AB6" s="334" t="s">
        <v>6</v>
      </c>
      <c r="AC6" s="334" t="s">
        <v>7</v>
      </c>
      <c r="AD6" s="334" t="s">
        <v>418</v>
      </c>
      <c r="AE6" s="334" t="s">
        <v>8</v>
      </c>
      <c r="AF6" s="334" t="s">
        <v>9</v>
      </c>
      <c r="AG6" s="334" t="s">
        <v>419</v>
      </c>
      <c r="AH6" s="334" t="s">
        <v>10</v>
      </c>
      <c r="AI6" s="334" t="s">
        <v>420</v>
      </c>
      <c r="AJ6" s="334" t="s">
        <v>11</v>
      </c>
      <c r="AK6" s="342"/>
      <c r="AL6" s="46"/>
      <c r="AM6" s="46"/>
      <c r="AN6" s="342"/>
      <c r="AO6" s="342"/>
      <c r="AP6" s="342"/>
      <c r="AQ6" s="342"/>
      <c r="AR6" s="342"/>
    </row>
    <row r="7" spans="1:44" s="341" customFormat="1" ht="15.75" thickBot="1" x14ac:dyDescent="0.3">
      <c r="B7" s="377" t="s">
        <v>27</v>
      </c>
      <c r="C7" s="377" t="s">
        <v>32</v>
      </c>
      <c r="D7" s="377" t="s">
        <v>27</v>
      </c>
      <c r="E7" s="377" t="s">
        <v>32</v>
      </c>
      <c r="F7" s="377"/>
      <c r="G7" s="377"/>
      <c r="H7" s="377"/>
      <c r="I7" s="378" t="s">
        <v>327</v>
      </c>
      <c r="J7" s="378" t="s">
        <v>328</v>
      </c>
      <c r="K7" s="378" t="s">
        <v>330</v>
      </c>
      <c r="L7" s="378" t="s">
        <v>329</v>
      </c>
      <c r="M7" s="378" t="s">
        <v>331</v>
      </c>
      <c r="N7" s="378" t="s">
        <v>332</v>
      </c>
      <c r="O7" s="378" t="s">
        <v>333</v>
      </c>
      <c r="P7" s="378" t="s">
        <v>334</v>
      </c>
      <c r="Q7" s="378" t="s">
        <v>87</v>
      </c>
      <c r="R7" s="378" t="s">
        <v>88</v>
      </c>
      <c r="S7" s="378" t="s">
        <v>425</v>
      </c>
      <c r="T7" s="378" t="s">
        <v>463</v>
      </c>
      <c r="U7" s="378" t="s">
        <v>335</v>
      </c>
      <c r="V7" s="378" t="s">
        <v>336</v>
      </c>
      <c r="W7" s="378" t="s">
        <v>337</v>
      </c>
      <c r="X7" s="378" t="s">
        <v>427</v>
      </c>
      <c r="Y7" s="378" t="s">
        <v>338</v>
      </c>
      <c r="Z7" s="378" t="s">
        <v>464</v>
      </c>
      <c r="AA7" s="378" t="s">
        <v>89</v>
      </c>
      <c r="AB7" s="378" t="s">
        <v>90</v>
      </c>
      <c r="AC7" s="378" t="s">
        <v>91</v>
      </c>
      <c r="AD7" s="378" t="s">
        <v>429</v>
      </c>
      <c r="AE7" s="378" t="s">
        <v>465</v>
      </c>
      <c r="AF7" s="378" t="s">
        <v>92</v>
      </c>
      <c r="AG7" s="378" t="s">
        <v>431</v>
      </c>
      <c r="AH7" s="378" t="s">
        <v>466</v>
      </c>
      <c r="AI7" s="378" t="s">
        <v>587</v>
      </c>
      <c r="AJ7" s="378" t="s">
        <v>339</v>
      </c>
      <c r="AK7" s="342"/>
      <c r="AL7" s="46"/>
      <c r="AM7" s="46"/>
      <c r="AN7" s="342"/>
      <c r="AO7" s="342"/>
      <c r="AP7" s="342"/>
      <c r="AQ7" s="342"/>
      <c r="AR7" s="342"/>
    </row>
    <row r="8" spans="1:44" s="341" customFormat="1" ht="18" x14ac:dyDescent="0.25">
      <c r="A8" s="46" t="s">
        <v>37</v>
      </c>
      <c r="B8" s="48" t="s">
        <v>122</v>
      </c>
      <c r="C8" s="48" t="s">
        <v>468</v>
      </c>
      <c r="D8" s="48" t="s">
        <v>22</v>
      </c>
      <c r="E8" s="48" t="s">
        <v>111</v>
      </c>
      <c r="F8" s="380" t="s">
        <v>180</v>
      </c>
      <c r="G8" s="380" t="s">
        <v>214</v>
      </c>
      <c r="H8" s="386">
        <v>1</v>
      </c>
      <c r="I8" s="145">
        <f t="shared" ref="I8:AJ8" si="0">$H$8*I42</f>
        <v>1</v>
      </c>
      <c r="J8" s="145">
        <f t="shared" si="0"/>
        <v>1</v>
      </c>
      <c r="K8" s="145">
        <f t="shared" si="0"/>
        <v>1</v>
      </c>
      <c r="L8" s="145">
        <f t="shared" si="0"/>
        <v>1</v>
      </c>
      <c r="M8" s="145">
        <f t="shared" si="0"/>
        <v>1</v>
      </c>
      <c r="N8" s="145">
        <f t="shared" si="0"/>
        <v>1</v>
      </c>
      <c r="O8" s="145">
        <f t="shared" si="0"/>
        <v>1</v>
      </c>
      <c r="P8" s="145">
        <f t="shared" si="0"/>
        <v>1</v>
      </c>
      <c r="Q8" s="145">
        <f t="shared" si="0"/>
        <v>1</v>
      </c>
      <c r="R8" s="145">
        <f t="shared" si="0"/>
        <v>1</v>
      </c>
      <c r="S8" s="145">
        <f t="shared" si="0"/>
        <v>1</v>
      </c>
      <c r="T8" s="145">
        <f t="shared" si="0"/>
        <v>1</v>
      </c>
      <c r="U8" s="145">
        <f t="shared" si="0"/>
        <v>1</v>
      </c>
      <c r="V8" s="145">
        <f t="shared" si="0"/>
        <v>1</v>
      </c>
      <c r="W8" s="145">
        <f t="shared" si="0"/>
        <v>1</v>
      </c>
      <c r="X8" s="145">
        <f t="shared" si="0"/>
        <v>1</v>
      </c>
      <c r="Y8" s="145">
        <f t="shared" si="0"/>
        <v>1</v>
      </c>
      <c r="Z8" s="145">
        <f t="shared" si="0"/>
        <v>1</v>
      </c>
      <c r="AA8" s="145">
        <f t="shared" si="0"/>
        <v>1</v>
      </c>
      <c r="AB8" s="145">
        <f t="shared" si="0"/>
        <v>1</v>
      </c>
      <c r="AC8" s="145">
        <f t="shared" si="0"/>
        <v>1</v>
      </c>
      <c r="AD8" s="145">
        <f t="shared" si="0"/>
        <v>1</v>
      </c>
      <c r="AE8" s="145">
        <f t="shared" si="0"/>
        <v>1</v>
      </c>
      <c r="AF8" s="145">
        <f t="shared" si="0"/>
        <v>1</v>
      </c>
      <c r="AG8" s="145">
        <f t="shared" si="0"/>
        <v>1</v>
      </c>
      <c r="AH8" s="145">
        <f t="shared" si="0"/>
        <v>1</v>
      </c>
      <c r="AI8" s="145">
        <f t="shared" si="0"/>
        <v>1</v>
      </c>
      <c r="AJ8" s="145">
        <f t="shared" si="0"/>
        <v>1</v>
      </c>
      <c r="AK8" s="342"/>
      <c r="AL8" s="342"/>
      <c r="AM8" s="342"/>
      <c r="AN8" s="342"/>
      <c r="AO8" s="342"/>
      <c r="AP8" s="342"/>
      <c r="AQ8" s="342"/>
      <c r="AR8" s="342"/>
    </row>
    <row r="9" spans="1:44" s="341" customFormat="1" ht="18" x14ac:dyDescent="0.25">
      <c r="A9" s="46" t="s">
        <v>37</v>
      </c>
      <c r="B9" s="46" t="s">
        <v>122</v>
      </c>
      <c r="C9" s="46" t="s">
        <v>468</v>
      </c>
      <c r="D9" s="46" t="s">
        <v>115</v>
      </c>
      <c r="E9" s="46" t="s">
        <v>368</v>
      </c>
      <c r="F9" s="341" t="s">
        <v>180</v>
      </c>
      <c r="G9" s="382" t="s">
        <v>412</v>
      </c>
      <c r="H9" s="387">
        <v>0.72</v>
      </c>
      <c r="I9" s="108">
        <f>$H$9*I$42</f>
        <v>0.72</v>
      </c>
      <c r="J9" s="108">
        <f t="shared" ref="J9:AJ9" si="1">$H$9*J$42</f>
        <v>0.72</v>
      </c>
      <c r="K9" s="108">
        <f t="shared" si="1"/>
        <v>0.72</v>
      </c>
      <c r="L9" s="108">
        <f t="shared" si="1"/>
        <v>0.72</v>
      </c>
      <c r="M9" s="108">
        <f t="shared" si="1"/>
        <v>0.72</v>
      </c>
      <c r="N9" s="108">
        <f t="shared" si="1"/>
        <v>0.72</v>
      </c>
      <c r="O9" s="108">
        <f t="shared" si="1"/>
        <v>0.72</v>
      </c>
      <c r="P9" s="108">
        <f t="shared" si="1"/>
        <v>0.72</v>
      </c>
      <c r="Q9" s="108">
        <f t="shared" si="1"/>
        <v>0.72</v>
      </c>
      <c r="R9" s="108">
        <f t="shared" si="1"/>
        <v>0.72</v>
      </c>
      <c r="S9" s="108">
        <f t="shared" si="1"/>
        <v>0.72</v>
      </c>
      <c r="T9" s="108">
        <f t="shared" si="1"/>
        <v>0.72</v>
      </c>
      <c r="U9" s="108">
        <f t="shared" si="1"/>
        <v>0.72</v>
      </c>
      <c r="V9" s="108">
        <f t="shared" si="1"/>
        <v>0.72</v>
      </c>
      <c r="W9" s="108">
        <f t="shared" si="1"/>
        <v>0.72</v>
      </c>
      <c r="X9" s="108">
        <f t="shared" si="1"/>
        <v>0.72</v>
      </c>
      <c r="Y9" s="108">
        <f t="shared" si="1"/>
        <v>0.72</v>
      </c>
      <c r="Z9" s="108">
        <f t="shared" si="1"/>
        <v>0.72</v>
      </c>
      <c r="AA9" s="108">
        <f t="shared" si="1"/>
        <v>0.72</v>
      </c>
      <c r="AB9" s="108">
        <f t="shared" si="1"/>
        <v>0.72</v>
      </c>
      <c r="AC9" s="108">
        <f t="shared" si="1"/>
        <v>0.72</v>
      </c>
      <c r="AD9" s="108">
        <f t="shared" si="1"/>
        <v>0.72</v>
      </c>
      <c r="AE9" s="108">
        <f t="shared" si="1"/>
        <v>0.72</v>
      </c>
      <c r="AF9" s="108">
        <f t="shared" si="1"/>
        <v>0.72</v>
      </c>
      <c r="AG9" s="108">
        <f t="shared" si="1"/>
        <v>0.72</v>
      </c>
      <c r="AH9" s="108">
        <f t="shared" si="1"/>
        <v>0.72</v>
      </c>
      <c r="AI9" s="108">
        <f t="shared" si="1"/>
        <v>0.72</v>
      </c>
      <c r="AJ9" s="108">
        <f t="shared" si="1"/>
        <v>0.72</v>
      </c>
      <c r="AK9" s="342"/>
      <c r="AL9" s="342"/>
      <c r="AM9" s="342"/>
      <c r="AN9" s="342"/>
      <c r="AO9" s="342"/>
      <c r="AP9" s="342"/>
      <c r="AQ9" s="342"/>
      <c r="AR9" s="342"/>
    </row>
    <row r="10" spans="1:44" s="341" customFormat="1" ht="18" x14ac:dyDescent="0.25">
      <c r="A10" s="46" t="s">
        <v>37</v>
      </c>
      <c r="B10" s="46" t="s">
        <v>122</v>
      </c>
      <c r="C10" s="46" t="s">
        <v>468</v>
      </c>
      <c r="D10" s="46" t="s">
        <v>19</v>
      </c>
      <c r="E10" s="46" t="s">
        <v>105</v>
      </c>
      <c r="F10" s="341" t="s">
        <v>180</v>
      </c>
      <c r="G10" s="382" t="s">
        <v>412</v>
      </c>
      <c r="H10" s="387">
        <v>0.99</v>
      </c>
      <c r="I10" s="108">
        <f>$H$10</f>
        <v>0.99</v>
      </c>
      <c r="J10" s="108">
        <f t="shared" ref="J10:AJ10" si="2">$H$10</f>
        <v>0.99</v>
      </c>
      <c r="K10" s="108">
        <f t="shared" si="2"/>
        <v>0.99</v>
      </c>
      <c r="L10" s="108">
        <f t="shared" si="2"/>
        <v>0.99</v>
      </c>
      <c r="M10" s="108">
        <f t="shared" si="2"/>
        <v>0.99</v>
      </c>
      <c r="N10" s="108">
        <f t="shared" si="2"/>
        <v>0.99</v>
      </c>
      <c r="O10" s="108">
        <f t="shared" si="2"/>
        <v>0.99</v>
      </c>
      <c r="P10" s="108">
        <f t="shared" si="2"/>
        <v>0.99</v>
      </c>
      <c r="Q10" s="108">
        <f t="shared" si="2"/>
        <v>0.99</v>
      </c>
      <c r="R10" s="108">
        <f t="shared" si="2"/>
        <v>0.99</v>
      </c>
      <c r="S10" s="108">
        <f t="shared" si="2"/>
        <v>0.99</v>
      </c>
      <c r="T10" s="108">
        <f t="shared" si="2"/>
        <v>0.99</v>
      </c>
      <c r="U10" s="108">
        <f t="shared" si="2"/>
        <v>0.99</v>
      </c>
      <c r="V10" s="108">
        <f t="shared" si="2"/>
        <v>0.99</v>
      </c>
      <c r="W10" s="108">
        <f t="shared" si="2"/>
        <v>0.99</v>
      </c>
      <c r="X10" s="108">
        <f t="shared" si="2"/>
        <v>0.99</v>
      </c>
      <c r="Y10" s="108">
        <f t="shared" si="2"/>
        <v>0.99</v>
      </c>
      <c r="Z10" s="108">
        <f t="shared" si="2"/>
        <v>0.99</v>
      </c>
      <c r="AA10" s="108">
        <f t="shared" si="2"/>
        <v>0.99</v>
      </c>
      <c r="AB10" s="108">
        <f t="shared" si="2"/>
        <v>0.99</v>
      </c>
      <c r="AC10" s="108">
        <f t="shared" si="2"/>
        <v>0.99</v>
      </c>
      <c r="AD10" s="108">
        <f t="shared" si="2"/>
        <v>0.99</v>
      </c>
      <c r="AE10" s="108">
        <f t="shared" si="2"/>
        <v>0.99</v>
      </c>
      <c r="AF10" s="108">
        <f t="shared" si="2"/>
        <v>0.99</v>
      </c>
      <c r="AG10" s="108">
        <f t="shared" si="2"/>
        <v>0.99</v>
      </c>
      <c r="AH10" s="108">
        <f t="shared" si="2"/>
        <v>0.99</v>
      </c>
      <c r="AI10" s="108">
        <f t="shared" si="2"/>
        <v>0.99</v>
      </c>
      <c r="AJ10" s="108">
        <f t="shared" si="2"/>
        <v>0.99</v>
      </c>
      <c r="AK10" s="342"/>
      <c r="AL10" s="342"/>
      <c r="AM10" s="342"/>
      <c r="AN10" s="342"/>
      <c r="AO10" s="342"/>
      <c r="AP10" s="342"/>
      <c r="AQ10" s="342"/>
      <c r="AR10" s="342"/>
    </row>
    <row r="11" spans="1:44" s="341" customFormat="1" ht="18" x14ac:dyDescent="0.25">
      <c r="A11" s="46" t="s">
        <v>37</v>
      </c>
      <c r="B11" s="46" t="s">
        <v>122</v>
      </c>
      <c r="C11" s="46" t="s">
        <v>468</v>
      </c>
      <c r="D11" s="46" t="s">
        <v>341</v>
      </c>
      <c r="E11" s="46" t="s">
        <v>105</v>
      </c>
      <c r="F11" s="341" t="s">
        <v>180</v>
      </c>
      <c r="G11" s="382" t="s">
        <v>412</v>
      </c>
      <c r="H11" s="391">
        <v>2.38</v>
      </c>
      <c r="I11" s="108">
        <f>$H$11*I43</f>
        <v>2.6656</v>
      </c>
      <c r="J11" s="108">
        <f t="shared" ref="J11:AJ11" si="3">$H$11*J43</f>
        <v>2.6656</v>
      </c>
      <c r="K11" s="108">
        <f t="shared" si="3"/>
        <v>2.6656</v>
      </c>
      <c r="L11" s="108">
        <f t="shared" si="3"/>
        <v>2.6656</v>
      </c>
      <c r="M11" s="108">
        <f t="shared" si="3"/>
        <v>2.38</v>
      </c>
      <c r="N11" s="108">
        <f t="shared" si="3"/>
        <v>1.9753999999999998</v>
      </c>
      <c r="O11" s="108">
        <f t="shared" si="3"/>
        <v>1.9753999999999998</v>
      </c>
      <c r="P11" s="108">
        <f t="shared" si="3"/>
        <v>2.38</v>
      </c>
      <c r="Q11" s="108">
        <f t="shared" si="3"/>
        <v>2.6656</v>
      </c>
      <c r="R11" s="108">
        <f t="shared" si="3"/>
        <v>2.38</v>
      </c>
      <c r="S11" s="108">
        <f t="shared" si="3"/>
        <v>2.6656</v>
      </c>
      <c r="T11" s="108">
        <f t="shared" si="3"/>
        <v>1.9753999999999998</v>
      </c>
      <c r="U11" s="108">
        <f t="shared" si="3"/>
        <v>2.6656</v>
      </c>
      <c r="V11" s="108">
        <f t="shared" si="3"/>
        <v>2.6656</v>
      </c>
      <c r="W11" s="108">
        <f t="shared" si="3"/>
        <v>2.6656</v>
      </c>
      <c r="X11" s="108">
        <f t="shared" si="3"/>
        <v>1.9753999999999998</v>
      </c>
      <c r="Y11" s="108">
        <f t="shared" si="3"/>
        <v>1.9753999999999998</v>
      </c>
      <c r="Z11" s="108">
        <f t="shared" si="3"/>
        <v>1.9753999999999998</v>
      </c>
      <c r="AA11" s="108">
        <f t="shared" si="3"/>
        <v>2.38</v>
      </c>
      <c r="AB11" s="108">
        <f t="shared" si="3"/>
        <v>2.38</v>
      </c>
      <c r="AC11" s="108">
        <f t="shared" si="3"/>
        <v>2.6656</v>
      </c>
      <c r="AD11" s="108">
        <f t="shared" si="3"/>
        <v>2.6656</v>
      </c>
      <c r="AE11" s="108">
        <f t="shared" si="3"/>
        <v>2.6656</v>
      </c>
      <c r="AF11" s="108">
        <f t="shared" si="3"/>
        <v>2.6656</v>
      </c>
      <c r="AG11" s="108">
        <f t="shared" si="3"/>
        <v>2.6656</v>
      </c>
      <c r="AH11" s="108">
        <f t="shared" si="3"/>
        <v>2.6656</v>
      </c>
      <c r="AI11" s="108">
        <f t="shared" si="3"/>
        <v>1.9753999999999998</v>
      </c>
      <c r="AJ11" s="108">
        <f t="shared" si="3"/>
        <v>1.9753999999999998</v>
      </c>
      <c r="AK11" s="342"/>
      <c r="AL11" s="342"/>
      <c r="AM11" s="342"/>
      <c r="AN11" s="342"/>
      <c r="AO11" s="342"/>
      <c r="AP11" s="342"/>
      <c r="AQ11" s="342"/>
      <c r="AR11" s="342"/>
    </row>
    <row r="12" spans="1:44" s="341" customFormat="1" ht="18" x14ac:dyDescent="0.25">
      <c r="A12" s="46" t="s">
        <v>37</v>
      </c>
      <c r="B12" s="46" t="s">
        <v>122</v>
      </c>
      <c r="C12" s="46" t="s">
        <v>468</v>
      </c>
      <c r="D12" s="46" t="s">
        <v>476</v>
      </c>
      <c r="E12" s="46" t="s">
        <v>482</v>
      </c>
      <c r="F12" s="341" t="s">
        <v>180</v>
      </c>
      <c r="G12" s="382" t="s">
        <v>412</v>
      </c>
      <c r="H12" s="387">
        <v>0.86580000000000013</v>
      </c>
      <c r="I12" s="108">
        <f>$H$12*I42</f>
        <v>0.86580000000000013</v>
      </c>
      <c r="J12" s="108">
        <f t="shared" ref="J12:AJ12" si="4">$H$12*J42</f>
        <v>0.86580000000000013</v>
      </c>
      <c r="K12" s="108">
        <f t="shared" si="4"/>
        <v>0.86580000000000013</v>
      </c>
      <c r="L12" s="108">
        <f t="shared" si="4"/>
        <v>0.86580000000000013</v>
      </c>
      <c r="M12" s="108">
        <f t="shared" si="4"/>
        <v>0.86580000000000013</v>
      </c>
      <c r="N12" s="108">
        <f t="shared" si="4"/>
        <v>0.86580000000000013</v>
      </c>
      <c r="O12" s="108">
        <f t="shared" si="4"/>
        <v>0.86580000000000013</v>
      </c>
      <c r="P12" s="108">
        <f t="shared" si="4"/>
        <v>0.86580000000000013</v>
      </c>
      <c r="Q12" s="108">
        <f t="shared" si="4"/>
        <v>0.86580000000000013</v>
      </c>
      <c r="R12" s="108">
        <f t="shared" si="4"/>
        <v>0.86580000000000013</v>
      </c>
      <c r="S12" s="108">
        <f t="shared" si="4"/>
        <v>0.86580000000000013</v>
      </c>
      <c r="T12" s="108">
        <f t="shared" si="4"/>
        <v>0.86580000000000013</v>
      </c>
      <c r="U12" s="108">
        <f t="shared" si="4"/>
        <v>0.86580000000000013</v>
      </c>
      <c r="V12" s="108">
        <f t="shared" si="4"/>
        <v>0.86580000000000013</v>
      </c>
      <c r="W12" s="108">
        <f t="shared" si="4"/>
        <v>0.86580000000000013</v>
      </c>
      <c r="X12" s="108">
        <f t="shared" si="4"/>
        <v>0.86580000000000013</v>
      </c>
      <c r="Y12" s="108">
        <f t="shared" si="4"/>
        <v>0.86580000000000013</v>
      </c>
      <c r="Z12" s="108">
        <f t="shared" si="4"/>
        <v>0.86580000000000013</v>
      </c>
      <c r="AA12" s="108">
        <f t="shared" si="4"/>
        <v>0.86580000000000013</v>
      </c>
      <c r="AB12" s="108">
        <f t="shared" si="4"/>
        <v>0.86580000000000013</v>
      </c>
      <c r="AC12" s="108">
        <f t="shared" si="4"/>
        <v>0.86580000000000013</v>
      </c>
      <c r="AD12" s="108">
        <f t="shared" si="4"/>
        <v>0.86580000000000013</v>
      </c>
      <c r="AE12" s="108">
        <f t="shared" si="4"/>
        <v>0.86580000000000013</v>
      </c>
      <c r="AF12" s="108">
        <f t="shared" si="4"/>
        <v>0.86580000000000013</v>
      </c>
      <c r="AG12" s="108">
        <f t="shared" si="4"/>
        <v>0.86580000000000013</v>
      </c>
      <c r="AH12" s="108">
        <f t="shared" si="4"/>
        <v>0.86580000000000013</v>
      </c>
      <c r="AI12" s="108">
        <f t="shared" si="4"/>
        <v>0.86580000000000013</v>
      </c>
      <c r="AJ12" s="108">
        <f t="shared" si="4"/>
        <v>0.86580000000000013</v>
      </c>
      <c r="AK12" s="342"/>
      <c r="AL12" s="342"/>
      <c r="AM12" s="342"/>
      <c r="AN12" s="342"/>
      <c r="AO12" s="342"/>
      <c r="AP12" s="342"/>
      <c r="AQ12" s="342"/>
      <c r="AR12" s="342"/>
    </row>
    <row r="13" spans="1:44" s="341" customFormat="1" ht="18" x14ac:dyDescent="0.25">
      <c r="A13" s="46" t="s">
        <v>37</v>
      </c>
      <c r="B13" s="46" t="s">
        <v>122</v>
      </c>
      <c r="C13" s="46" t="s">
        <v>468</v>
      </c>
      <c r="D13" s="46" t="s">
        <v>21</v>
      </c>
      <c r="E13" s="46" t="s">
        <v>107</v>
      </c>
      <c r="F13" s="341" t="s">
        <v>180</v>
      </c>
      <c r="G13" s="382" t="s">
        <v>412</v>
      </c>
      <c r="H13" s="387">
        <v>0.72320888520081605</v>
      </c>
      <c r="I13" s="108">
        <f>$H$13*I42</f>
        <v>0.72320888520081605</v>
      </c>
      <c r="J13" s="108">
        <f t="shared" ref="J13:AJ13" si="5">$H$13*J42</f>
        <v>0.72320888520081605</v>
      </c>
      <c r="K13" s="108">
        <f t="shared" si="5"/>
        <v>0.72320888520081605</v>
      </c>
      <c r="L13" s="108">
        <f t="shared" si="5"/>
        <v>0.72320888520081605</v>
      </c>
      <c r="M13" s="108">
        <f t="shared" si="5"/>
        <v>0.72320888520081605</v>
      </c>
      <c r="N13" s="108">
        <f t="shared" si="5"/>
        <v>0.72320888520081605</v>
      </c>
      <c r="O13" s="108">
        <f t="shared" si="5"/>
        <v>0.72320888520081605</v>
      </c>
      <c r="P13" s="108">
        <f t="shared" si="5"/>
        <v>0.72320888520081605</v>
      </c>
      <c r="Q13" s="108">
        <f t="shared" si="5"/>
        <v>0.72320888520081605</v>
      </c>
      <c r="R13" s="108">
        <f t="shared" si="5"/>
        <v>0.72320888520081605</v>
      </c>
      <c r="S13" s="108">
        <f t="shared" si="5"/>
        <v>0.72320888520081605</v>
      </c>
      <c r="T13" s="108">
        <f t="shared" si="5"/>
        <v>0.72320888520081605</v>
      </c>
      <c r="U13" s="108">
        <f t="shared" si="5"/>
        <v>0.72320888520081605</v>
      </c>
      <c r="V13" s="108">
        <f t="shared" si="5"/>
        <v>0.72320888520081605</v>
      </c>
      <c r="W13" s="108">
        <f t="shared" si="5"/>
        <v>0.72320888520081605</v>
      </c>
      <c r="X13" s="108">
        <f t="shared" si="5"/>
        <v>0.72320888520081605</v>
      </c>
      <c r="Y13" s="108">
        <f t="shared" si="5"/>
        <v>0.72320888520081605</v>
      </c>
      <c r="Z13" s="108">
        <f t="shared" si="5"/>
        <v>0.72320888520081605</v>
      </c>
      <c r="AA13" s="108">
        <f t="shared" si="5"/>
        <v>0.72320888520081605</v>
      </c>
      <c r="AB13" s="108">
        <f t="shared" si="5"/>
        <v>0.72320888520081605</v>
      </c>
      <c r="AC13" s="108">
        <f t="shared" si="5"/>
        <v>0.72320888520081605</v>
      </c>
      <c r="AD13" s="108">
        <f t="shared" si="5"/>
        <v>0.72320888520081605</v>
      </c>
      <c r="AE13" s="108">
        <f t="shared" si="5"/>
        <v>0.72320888520081605</v>
      </c>
      <c r="AF13" s="108">
        <f t="shared" si="5"/>
        <v>0.72320888520081605</v>
      </c>
      <c r="AG13" s="108">
        <f t="shared" si="5"/>
        <v>0.72320888520081605</v>
      </c>
      <c r="AH13" s="108">
        <f t="shared" si="5"/>
        <v>0.72320888520081605</v>
      </c>
      <c r="AI13" s="108">
        <f t="shared" si="5"/>
        <v>0.72320888520081605</v>
      </c>
      <c r="AJ13" s="108">
        <f t="shared" si="5"/>
        <v>0.72320888520081605</v>
      </c>
      <c r="AK13" s="342"/>
      <c r="AL13" s="342"/>
      <c r="AM13" s="342"/>
      <c r="AN13" s="342"/>
      <c r="AO13" s="342"/>
      <c r="AP13" s="342"/>
      <c r="AQ13" s="342"/>
      <c r="AR13" s="342"/>
    </row>
    <row r="14" spans="1:44" s="341" customFormat="1" ht="18" x14ac:dyDescent="0.25">
      <c r="A14" s="46" t="s">
        <v>37</v>
      </c>
      <c r="B14" s="46" t="s">
        <v>122</v>
      </c>
      <c r="C14" s="46" t="s">
        <v>468</v>
      </c>
      <c r="D14" s="46" t="s">
        <v>20</v>
      </c>
      <c r="E14" s="46" t="s">
        <v>108</v>
      </c>
      <c r="F14" s="341" t="s">
        <v>180</v>
      </c>
      <c r="G14" s="382" t="s">
        <v>412</v>
      </c>
      <c r="H14" s="387">
        <v>0.72320888520081605</v>
      </c>
      <c r="I14" s="108">
        <f>$H$14*I42</f>
        <v>0.72320888520081605</v>
      </c>
      <c r="J14" s="108">
        <f t="shared" ref="J14:AJ14" si="6">$H$14*J42</f>
        <v>0.72320888520081605</v>
      </c>
      <c r="K14" s="108">
        <f t="shared" si="6"/>
        <v>0.72320888520081605</v>
      </c>
      <c r="L14" s="108">
        <f t="shared" si="6"/>
        <v>0.72320888520081605</v>
      </c>
      <c r="M14" s="108">
        <f t="shared" si="6"/>
        <v>0.72320888520081605</v>
      </c>
      <c r="N14" s="108">
        <f t="shared" si="6"/>
        <v>0.72320888520081605</v>
      </c>
      <c r="O14" s="108">
        <f t="shared" si="6"/>
        <v>0.72320888520081605</v>
      </c>
      <c r="P14" s="108">
        <f t="shared" si="6"/>
        <v>0.72320888520081605</v>
      </c>
      <c r="Q14" s="108">
        <f t="shared" si="6"/>
        <v>0.72320888520081605</v>
      </c>
      <c r="R14" s="108">
        <f t="shared" si="6"/>
        <v>0.72320888520081605</v>
      </c>
      <c r="S14" s="108">
        <f t="shared" si="6"/>
        <v>0.72320888520081605</v>
      </c>
      <c r="T14" s="108">
        <f t="shared" si="6"/>
        <v>0.72320888520081605</v>
      </c>
      <c r="U14" s="108">
        <f t="shared" si="6"/>
        <v>0.72320888520081605</v>
      </c>
      <c r="V14" s="108">
        <f t="shared" si="6"/>
        <v>0.72320888520081605</v>
      </c>
      <c r="W14" s="108">
        <f t="shared" si="6"/>
        <v>0.72320888520081605</v>
      </c>
      <c r="X14" s="108">
        <f t="shared" si="6"/>
        <v>0.72320888520081605</v>
      </c>
      <c r="Y14" s="108">
        <f t="shared" si="6"/>
        <v>0.72320888520081605</v>
      </c>
      <c r="Z14" s="108">
        <f t="shared" si="6"/>
        <v>0.72320888520081605</v>
      </c>
      <c r="AA14" s="108">
        <f t="shared" si="6"/>
        <v>0.72320888520081605</v>
      </c>
      <c r="AB14" s="108">
        <f t="shared" si="6"/>
        <v>0.72320888520081605</v>
      </c>
      <c r="AC14" s="108">
        <f t="shared" si="6"/>
        <v>0.72320888520081605</v>
      </c>
      <c r="AD14" s="108">
        <f t="shared" si="6"/>
        <v>0.72320888520081605</v>
      </c>
      <c r="AE14" s="108">
        <f t="shared" si="6"/>
        <v>0.72320888520081605</v>
      </c>
      <c r="AF14" s="108">
        <f t="shared" si="6"/>
        <v>0.72320888520081605</v>
      </c>
      <c r="AG14" s="108">
        <f t="shared" si="6"/>
        <v>0.72320888520081605</v>
      </c>
      <c r="AH14" s="108">
        <f t="shared" si="6"/>
        <v>0.72320888520081605</v>
      </c>
      <c r="AI14" s="108">
        <f t="shared" si="6"/>
        <v>0.72320888520081605</v>
      </c>
      <c r="AJ14" s="108">
        <f t="shared" si="6"/>
        <v>0.72320888520081605</v>
      </c>
      <c r="AK14" s="342"/>
      <c r="AL14" s="342"/>
      <c r="AM14" s="342"/>
      <c r="AN14" s="342"/>
      <c r="AO14" s="342"/>
      <c r="AP14" s="342"/>
      <c r="AQ14" s="342"/>
      <c r="AR14" s="342"/>
    </row>
    <row r="15" spans="1:44" s="341" customFormat="1" ht="18" x14ac:dyDescent="0.25">
      <c r="A15" s="46" t="s">
        <v>37</v>
      </c>
      <c r="B15" s="46" t="s">
        <v>122</v>
      </c>
      <c r="C15" s="46" t="s">
        <v>468</v>
      </c>
      <c r="D15" s="46" t="s">
        <v>0</v>
      </c>
      <c r="E15" s="46" t="s">
        <v>109</v>
      </c>
      <c r="F15" s="341" t="s">
        <v>180</v>
      </c>
      <c r="G15" s="382" t="s">
        <v>412</v>
      </c>
      <c r="H15" s="387">
        <v>0.94340000000000002</v>
      </c>
      <c r="I15" s="108">
        <f>$H$15*I42</f>
        <v>0.94340000000000002</v>
      </c>
      <c r="J15" s="108">
        <f t="shared" ref="J15:AJ15" si="7">$H$15*J42</f>
        <v>0.94340000000000002</v>
      </c>
      <c r="K15" s="108">
        <f t="shared" si="7"/>
        <v>0.94340000000000002</v>
      </c>
      <c r="L15" s="108">
        <f t="shared" si="7"/>
        <v>0.94340000000000002</v>
      </c>
      <c r="M15" s="108">
        <f t="shared" si="7"/>
        <v>0.94340000000000002</v>
      </c>
      <c r="N15" s="108">
        <f t="shared" si="7"/>
        <v>0.94340000000000002</v>
      </c>
      <c r="O15" s="108">
        <f t="shared" si="7"/>
        <v>0.94340000000000002</v>
      </c>
      <c r="P15" s="108">
        <f t="shared" si="7"/>
        <v>0.94340000000000002</v>
      </c>
      <c r="Q15" s="108">
        <f t="shared" si="7"/>
        <v>0.94340000000000002</v>
      </c>
      <c r="R15" s="108">
        <f t="shared" si="7"/>
        <v>0.94340000000000002</v>
      </c>
      <c r="S15" s="108">
        <f t="shared" si="7"/>
        <v>0.94340000000000002</v>
      </c>
      <c r="T15" s="108">
        <f t="shared" si="7"/>
        <v>0.94340000000000002</v>
      </c>
      <c r="U15" s="108">
        <f t="shared" si="7"/>
        <v>0.94340000000000002</v>
      </c>
      <c r="V15" s="108">
        <f t="shared" si="7"/>
        <v>0.94340000000000002</v>
      </c>
      <c r="W15" s="108">
        <f t="shared" si="7"/>
        <v>0.94340000000000002</v>
      </c>
      <c r="X15" s="108">
        <f t="shared" si="7"/>
        <v>0.94340000000000002</v>
      </c>
      <c r="Y15" s="108">
        <f t="shared" si="7"/>
        <v>0.94340000000000002</v>
      </c>
      <c r="Z15" s="108">
        <f t="shared" si="7"/>
        <v>0.94340000000000002</v>
      </c>
      <c r="AA15" s="108">
        <f t="shared" si="7"/>
        <v>0.94340000000000002</v>
      </c>
      <c r="AB15" s="108">
        <f t="shared" si="7"/>
        <v>0.94340000000000002</v>
      </c>
      <c r="AC15" s="108">
        <f t="shared" si="7"/>
        <v>0.94340000000000002</v>
      </c>
      <c r="AD15" s="108">
        <f t="shared" si="7"/>
        <v>0.94340000000000002</v>
      </c>
      <c r="AE15" s="108">
        <f t="shared" si="7"/>
        <v>0.94340000000000002</v>
      </c>
      <c r="AF15" s="108">
        <f t="shared" si="7"/>
        <v>0.94340000000000002</v>
      </c>
      <c r="AG15" s="108">
        <f t="shared" si="7"/>
        <v>0.94340000000000002</v>
      </c>
      <c r="AH15" s="108">
        <f t="shared" si="7"/>
        <v>0.94340000000000002</v>
      </c>
      <c r="AI15" s="108">
        <f t="shared" si="7"/>
        <v>0.94340000000000002</v>
      </c>
      <c r="AJ15" s="108">
        <f t="shared" si="7"/>
        <v>0.94340000000000002</v>
      </c>
      <c r="AK15" s="342"/>
      <c r="AL15" s="342"/>
      <c r="AM15" s="342"/>
      <c r="AN15" s="342"/>
      <c r="AO15" s="342"/>
      <c r="AP15" s="342"/>
      <c r="AQ15" s="342"/>
      <c r="AR15" s="342"/>
    </row>
    <row r="16" spans="1:44" s="341" customFormat="1" ht="18" x14ac:dyDescent="0.25">
      <c r="A16" s="46" t="s">
        <v>37</v>
      </c>
      <c r="B16" s="46" t="s">
        <v>122</v>
      </c>
      <c r="C16" s="46" t="s">
        <v>468</v>
      </c>
      <c r="D16" s="46" t="s">
        <v>18</v>
      </c>
      <c r="E16" s="46" t="s">
        <v>104</v>
      </c>
      <c r="F16" s="341" t="s">
        <v>180</v>
      </c>
      <c r="G16" s="341" t="s">
        <v>214</v>
      </c>
      <c r="H16" s="142">
        <v>0.75</v>
      </c>
      <c r="I16" s="108">
        <f>$H16*I$42</f>
        <v>0.75</v>
      </c>
      <c r="J16" s="108">
        <f t="shared" ref="J16:AJ16" si="8">$H16*J$42</f>
        <v>0.75</v>
      </c>
      <c r="K16" s="108">
        <f t="shared" si="8"/>
        <v>0.75</v>
      </c>
      <c r="L16" s="108">
        <f t="shared" si="8"/>
        <v>0.75</v>
      </c>
      <c r="M16" s="108">
        <f t="shared" si="8"/>
        <v>0.75</v>
      </c>
      <c r="N16" s="108">
        <f t="shared" si="8"/>
        <v>0.75</v>
      </c>
      <c r="O16" s="108">
        <f t="shared" si="8"/>
        <v>0.75</v>
      </c>
      <c r="P16" s="108">
        <f t="shared" si="8"/>
        <v>0.75</v>
      </c>
      <c r="Q16" s="108">
        <f t="shared" si="8"/>
        <v>0.75</v>
      </c>
      <c r="R16" s="108">
        <f t="shared" si="8"/>
        <v>0.75</v>
      </c>
      <c r="S16" s="108">
        <f t="shared" si="8"/>
        <v>0.75</v>
      </c>
      <c r="T16" s="108">
        <f t="shared" si="8"/>
        <v>0.75</v>
      </c>
      <c r="U16" s="108">
        <f t="shared" si="8"/>
        <v>0.75</v>
      </c>
      <c r="V16" s="108">
        <f t="shared" si="8"/>
        <v>0.75</v>
      </c>
      <c r="W16" s="108">
        <f t="shared" si="8"/>
        <v>0.75</v>
      </c>
      <c r="X16" s="108">
        <f t="shared" si="8"/>
        <v>0.75</v>
      </c>
      <c r="Y16" s="108">
        <f t="shared" si="8"/>
        <v>0.75</v>
      </c>
      <c r="Z16" s="108">
        <f t="shared" si="8"/>
        <v>0.75</v>
      </c>
      <c r="AA16" s="108">
        <f t="shared" si="8"/>
        <v>0.75</v>
      </c>
      <c r="AB16" s="108">
        <f t="shared" si="8"/>
        <v>0.75</v>
      </c>
      <c r="AC16" s="108">
        <f t="shared" si="8"/>
        <v>0.75</v>
      </c>
      <c r="AD16" s="108">
        <f t="shared" si="8"/>
        <v>0.75</v>
      </c>
      <c r="AE16" s="108">
        <f t="shared" si="8"/>
        <v>0.75</v>
      </c>
      <c r="AF16" s="108">
        <f t="shared" si="8"/>
        <v>0.75</v>
      </c>
      <c r="AG16" s="108">
        <f t="shared" si="8"/>
        <v>0.75</v>
      </c>
      <c r="AH16" s="108">
        <f t="shared" si="8"/>
        <v>0.75</v>
      </c>
      <c r="AI16" s="108">
        <f t="shared" si="8"/>
        <v>0.75</v>
      </c>
      <c r="AJ16" s="108">
        <f t="shared" si="8"/>
        <v>0.75</v>
      </c>
      <c r="AK16" s="342"/>
      <c r="AL16" s="342"/>
      <c r="AM16" s="342"/>
      <c r="AN16" s="342"/>
      <c r="AO16" s="342"/>
      <c r="AP16" s="342"/>
      <c r="AQ16" s="342"/>
      <c r="AR16" s="342"/>
    </row>
    <row r="17" spans="1:44" s="341" customFormat="1" ht="18" x14ac:dyDescent="0.25">
      <c r="A17" s="46" t="s">
        <v>37</v>
      </c>
      <c r="B17" s="46" t="s">
        <v>122</v>
      </c>
      <c r="C17" s="46" t="s">
        <v>468</v>
      </c>
      <c r="D17" s="46" t="s">
        <v>474</v>
      </c>
      <c r="E17" s="46" t="s">
        <v>475</v>
      </c>
      <c r="F17" s="341" t="s">
        <v>180</v>
      </c>
      <c r="G17" s="382" t="s">
        <v>412</v>
      </c>
      <c r="H17" s="387">
        <v>0.94340000000000002</v>
      </c>
      <c r="I17" s="108">
        <f>$H$17*I42</f>
        <v>0.94340000000000002</v>
      </c>
      <c r="J17" s="108">
        <f t="shared" ref="J17:AJ17" si="9">$H$17*J42</f>
        <v>0.94340000000000002</v>
      </c>
      <c r="K17" s="108">
        <f t="shared" si="9"/>
        <v>0.94340000000000002</v>
      </c>
      <c r="L17" s="108">
        <f t="shared" si="9"/>
        <v>0.94340000000000002</v>
      </c>
      <c r="M17" s="108">
        <f t="shared" si="9"/>
        <v>0.94340000000000002</v>
      </c>
      <c r="N17" s="108">
        <f t="shared" si="9"/>
        <v>0.94340000000000002</v>
      </c>
      <c r="O17" s="108">
        <f t="shared" si="9"/>
        <v>0.94340000000000002</v>
      </c>
      <c r="P17" s="108">
        <f t="shared" si="9"/>
        <v>0.94340000000000002</v>
      </c>
      <c r="Q17" s="108">
        <f t="shared" si="9"/>
        <v>0.94340000000000002</v>
      </c>
      <c r="R17" s="108">
        <f t="shared" si="9"/>
        <v>0.94340000000000002</v>
      </c>
      <c r="S17" s="108">
        <f t="shared" si="9"/>
        <v>0.94340000000000002</v>
      </c>
      <c r="T17" s="108">
        <f t="shared" si="9"/>
        <v>0.94340000000000002</v>
      </c>
      <c r="U17" s="108">
        <f t="shared" si="9"/>
        <v>0.94340000000000002</v>
      </c>
      <c r="V17" s="108">
        <f t="shared" si="9"/>
        <v>0.94340000000000002</v>
      </c>
      <c r="W17" s="108">
        <f t="shared" si="9"/>
        <v>0.94340000000000002</v>
      </c>
      <c r="X17" s="108">
        <f t="shared" si="9"/>
        <v>0.94340000000000002</v>
      </c>
      <c r="Y17" s="108">
        <f t="shared" si="9"/>
        <v>0.94340000000000002</v>
      </c>
      <c r="Z17" s="108">
        <f t="shared" si="9"/>
        <v>0.94340000000000002</v>
      </c>
      <c r="AA17" s="108">
        <f t="shared" si="9"/>
        <v>0.94340000000000002</v>
      </c>
      <c r="AB17" s="108">
        <f t="shared" si="9"/>
        <v>0.94340000000000002</v>
      </c>
      <c r="AC17" s="108">
        <f t="shared" si="9"/>
        <v>0.94340000000000002</v>
      </c>
      <c r="AD17" s="108">
        <f t="shared" si="9"/>
        <v>0.94340000000000002</v>
      </c>
      <c r="AE17" s="108">
        <f t="shared" si="9"/>
        <v>0.94340000000000002</v>
      </c>
      <c r="AF17" s="108">
        <f t="shared" si="9"/>
        <v>0.94340000000000002</v>
      </c>
      <c r="AG17" s="108">
        <f t="shared" si="9"/>
        <v>0.94340000000000002</v>
      </c>
      <c r="AH17" s="108">
        <f t="shared" si="9"/>
        <v>0.94340000000000002</v>
      </c>
      <c r="AI17" s="108">
        <f t="shared" si="9"/>
        <v>0.94340000000000002</v>
      </c>
      <c r="AJ17" s="108">
        <f t="shared" si="9"/>
        <v>0.94340000000000002</v>
      </c>
      <c r="AK17" s="342"/>
    </row>
    <row r="18" spans="1:44" s="341" customFormat="1" ht="18" x14ac:dyDescent="0.25">
      <c r="A18" s="46" t="s">
        <v>37</v>
      </c>
      <c r="B18" s="51" t="s">
        <v>122</v>
      </c>
      <c r="C18" s="51" t="s">
        <v>469</v>
      </c>
      <c r="D18" s="51" t="s">
        <v>22</v>
      </c>
      <c r="E18" s="51" t="s">
        <v>111</v>
      </c>
      <c r="F18" s="388" t="s">
        <v>180</v>
      </c>
      <c r="G18" s="388" t="s">
        <v>214</v>
      </c>
      <c r="H18" s="389">
        <v>1</v>
      </c>
      <c r="I18" s="390">
        <f>$H$18*I42</f>
        <v>1</v>
      </c>
      <c r="J18" s="390">
        <f t="shared" ref="J18:AJ18" si="10">$H$18*J42</f>
        <v>1</v>
      </c>
      <c r="K18" s="390">
        <f t="shared" si="10"/>
        <v>1</v>
      </c>
      <c r="L18" s="390">
        <f t="shared" si="10"/>
        <v>1</v>
      </c>
      <c r="M18" s="390">
        <f t="shared" si="10"/>
        <v>1</v>
      </c>
      <c r="N18" s="390">
        <f t="shared" si="10"/>
        <v>1</v>
      </c>
      <c r="O18" s="390">
        <f t="shared" si="10"/>
        <v>1</v>
      </c>
      <c r="P18" s="390">
        <f t="shared" si="10"/>
        <v>1</v>
      </c>
      <c r="Q18" s="390">
        <f t="shared" si="10"/>
        <v>1</v>
      </c>
      <c r="R18" s="390">
        <f t="shared" si="10"/>
        <v>1</v>
      </c>
      <c r="S18" s="390">
        <f t="shared" si="10"/>
        <v>1</v>
      </c>
      <c r="T18" s="390">
        <f t="shared" si="10"/>
        <v>1</v>
      </c>
      <c r="U18" s="390">
        <f t="shared" si="10"/>
        <v>1</v>
      </c>
      <c r="V18" s="390">
        <f t="shared" si="10"/>
        <v>1</v>
      </c>
      <c r="W18" s="390">
        <f t="shared" si="10"/>
        <v>1</v>
      </c>
      <c r="X18" s="390">
        <f t="shared" si="10"/>
        <v>1</v>
      </c>
      <c r="Y18" s="390">
        <f t="shared" si="10"/>
        <v>1</v>
      </c>
      <c r="Z18" s="390">
        <f t="shared" si="10"/>
        <v>1</v>
      </c>
      <c r="AA18" s="390">
        <f t="shared" si="10"/>
        <v>1</v>
      </c>
      <c r="AB18" s="390">
        <f t="shared" si="10"/>
        <v>1</v>
      </c>
      <c r="AC18" s="390">
        <f t="shared" si="10"/>
        <v>1</v>
      </c>
      <c r="AD18" s="390">
        <f t="shared" si="10"/>
        <v>1</v>
      </c>
      <c r="AE18" s="390">
        <f t="shared" si="10"/>
        <v>1</v>
      </c>
      <c r="AF18" s="390">
        <f t="shared" si="10"/>
        <v>1</v>
      </c>
      <c r="AG18" s="390">
        <f t="shared" si="10"/>
        <v>1</v>
      </c>
      <c r="AH18" s="390">
        <f t="shared" si="10"/>
        <v>1</v>
      </c>
      <c r="AI18" s="390">
        <f t="shared" si="10"/>
        <v>1</v>
      </c>
      <c r="AJ18" s="390">
        <f t="shared" si="10"/>
        <v>1</v>
      </c>
      <c r="AK18" s="342"/>
    </row>
    <row r="19" spans="1:44" s="341" customFormat="1" ht="18" x14ac:dyDescent="0.25">
      <c r="A19" s="46" t="s">
        <v>37</v>
      </c>
      <c r="B19" s="46" t="s">
        <v>122</v>
      </c>
      <c r="C19" s="46" t="s">
        <v>469</v>
      </c>
      <c r="D19" s="46" t="s">
        <v>115</v>
      </c>
      <c r="E19" s="46" t="s">
        <v>368</v>
      </c>
      <c r="F19" s="341" t="s">
        <v>180</v>
      </c>
      <c r="G19" s="382" t="s">
        <v>412</v>
      </c>
      <c r="H19" s="391">
        <v>0.72</v>
      </c>
      <c r="I19" s="108">
        <f>$H19*I$42</f>
        <v>0.72</v>
      </c>
      <c r="J19" s="108">
        <f t="shared" ref="J19:AJ19" si="11">$H19*J$42</f>
        <v>0.72</v>
      </c>
      <c r="K19" s="108">
        <f t="shared" si="11"/>
        <v>0.72</v>
      </c>
      <c r="L19" s="108">
        <f t="shared" si="11"/>
        <v>0.72</v>
      </c>
      <c r="M19" s="108">
        <f t="shared" si="11"/>
        <v>0.72</v>
      </c>
      <c r="N19" s="108">
        <f t="shared" si="11"/>
        <v>0.72</v>
      </c>
      <c r="O19" s="108">
        <f t="shared" si="11"/>
        <v>0.72</v>
      </c>
      <c r="P19" s="108">
        <f t="shared" si="11"/>
        <v>0.72</v>
      </c>
      <c r="Q19" s="108">
        <f t="shared" si="11"/>
        <v>0.72</v>
      </c>
      <c r="R19" s="108">
        <f t="shared" si="11"/>
        <v>0.72</v>
      </c>
      <c r="S19" s="108">
        <f t="shared" si="11"/>
        <v>0.72</v>
      </c>
      <c r="T19" s="108">
        <f t="shared" si="11"/>
        <v>0.72</v>
      </c>
      <c r="U19" s="108">
        <f t="shared" si="11"/>
        <v>0.72</v>
      </c>
      <c r="V19" s="108">
        <f t="shared" si="11"/>
        <v>0.72</v>
      </c>
      <c r="W19" s="108">
        <f t="shared" si="11"/>
        <v>0.72</v>
      </c>
      <c r="X19" s="108">
        <f t="shared" si="11"/>
        <v>0.72</v>
      </c>
      <c r="Y19" s="108">
        <f t="shared" si="11"/>
        <v>0.72</v>
      </c>
      <c r="Z19" s="108">
        <f t="shared" si="11"/>
        <v>0.72</v>
      </c>
      <c r="AA19" s="108">
        <f t="shared" si="11"/>
        <v>0.72</v>
      </c>
      <c r="AB19" s="108">
        <f t="shared" si="11"/>
        <v>0.72</v>
      </c>
      <c r="AC19" s="108">
        <f t="shared" si="11"/>
        <v>0.72</v>
      </c>
      <c r="AD19" s="108">
        <f t="shared" si="11"/>
        <v>0.72</v>
      </c>
      <c r="AE19" s="108">
        <f t="shared" si="11"/>
        <v>0.72</v>
      </c>
      <c r="AF19" s="108">
        <f t="shared" si="11"/>
        <v>0.72</v>
      </c>
      <c r="AG19" s="108">
        <f t="shared" si="11"/>
        <v>0.72</v>
      </c>
      <c r="AH19" s="108">
        <f t="shared" si="11"/>
        <v>0.72</v>
      </c>
      <c r="AI19" s="108">
        <f t="shared" si="11"/>
        <v>0.72</v>
      </c>
      <c r="AJ19" s="108">
        <f t="shared" si="11"/>
        <v>0.72</v>
      </c>
      <c r="AK19" s="342"/>
      <c r="AL19" s="342"/>
      <c r="AM19" s="342"/>
      <c r="AN19" s="342"/>
      <c r="AO19" s="342"/>
      <c r="AP19" s="342"/>
      <c r="AQ19" s="342"/>
      <c r="AR19" s="342"/>
    </row>
    <row r="20" spans="1:44" s="341" customFormat="1" ht="18" x14ac:dyDescent="0.25">
      <c r="A20" s="46" t="s">
        <v>37</v>
      </c>
      <c r="B20" s="46" t="s">
        <v>122</v>
      </c>
      <c r="C20" s="46" t="s">
        <v>469</v>
      </c>
      <c r="D20" s="46" t="s">
        <v>19</v>
      </c>
      <c r="E20" s="46" t="s">
        <v>105</v>
      </c>
      <c r="F20" s="341" t="s">
        <v>180</v>
      </c>
      <c r="G20" s="382" t="s">
        <v>412</v>
      </c>
      <c r="H20" s="391">
        <v>0.99</v>
      </c>
      <c r="I20" s="108">
        <f>$H$20</f>
        <v>0.99</v>
      </c>
      <c r="J20" s="108">
        <f t="shared" ref="J20:AJ20" si="12">$H$20</f>
        <v>0.99</v>
      </c>
      <c r="K20" s="108">
        <f t="shared" si="12"/>
        <v>0.99</v>
      </c>
      <c r="L20" s="108">
        <f t="shared" si="12"/>
        <v>0.99</v>
      </c>
      <c r="M20" s="108">
        <f t="shared" si="12"/>
        <v>0.99</v>
      </c>
      <c r="N20" s="108">
        <f t="shared" si="12"/>
        <v>0.99</v>
      </c>
      <c r="O20" s="108">
        <f t="shared" si="12"/>
        <v>0.99</v>
      </c>
      <c r="P20" s="108">
        <f t="shared" si="12"/>
        <v>0.99</v>
      </c>
      <c r="Q20" s="108">
        <f t="shared" si="12"/>
        <v>0.99</v>
      </c>
      <c r="R20" s="108">
        <f t="shared" si="12"/>
        <v>0.99</v>
      </c>
      <c r="S20" s="108">
        <f t="shared" si="12"/>
        <v>0.99</v>
      </c>
      <c r="T20" s="108">
        <f t="shared" si="12"/>
        <v>0.99</v>
      </c>
      <c r="U20" s="108">
        <f t="shared" si="12"/>
        <v>0.99</v>
      </c>
      <c r="V20" s="108">
        <f t="shared" si="12"/>
        <v>0.99</v>
      </c>
      <c r="W20" s="108">
        <f t="shared" si="12"/>
        <v>0.99</v>
      </c>
      <c r="X20" s="108">
        <f t="shared" si="12"/>
        <v>0.99</v>
      </c>
      <c r="Y20" s="108">
        <f t="shared" si="12"/>
        <v>0.99</v>
      </c>
      <c r="Z20" s="108">
        <f t="shared" si="12"/>
        <v>0.99</v>
      </c>
      <c r="AA20" s="108">
        <f t="shared" si="12"/>
        <v>0.99</v>
      </c>
      <c r="AB20" s="108">
        <f t="shared" si="12"/>
        <v>0.99</v>
      </c>
      <c r="AC20" s="108">
        <f t="shared" si="12"/>
        <v>0.99</v>
      </c>
      <c r="AD20" s="108">
        <f t="shared" si="12"/>
        <v>0.99</v>
      </c>
      <c r="AE20" s="108">
        <f t="shared" si="12"/>
        <v>0.99</v>
      </c>
      <c r="AF20" s="108">
        <f t="shared" si="12"/>
        <v>0.99</v>
      </c>
      <c r="AG20" s="108">
        <f t="shared" si="12"/>
        <v>0.99</v>
      </c>
      <c r="AH20" s="108">
        <f t="shared" si="12"/>
        <v>0.99</v>
      </c>
      <c r="AI20" s="108">
        <f t="shared" si="12"/>
        <v>0.99</v>
      </c>
      <c r="AJ20" s="108">
        <f t="shared" si="12"/>
        <v>0.99</v>
      </c>
      <c r="AM20" s="342"/>
      <c r="AN20" s="342"/>
      <c r="AO20" s="342"/>
      <c r="AP20" s="342"/>
      <c r="AQ20" s="342"/>
      <c r="AR20" s="342"/>
    </row>
    <row r="21" spans="1:44" s="341" customFormat="1" ht="18" x14ac:dyDescent="0.25">
      <c r="A21" s="46" t="s">
        <v>37</v>
      </c>
      <c r="B21" s="46" t="s">
        <v>122</v>
      </c>
      <c r="C21" s="46" t="s">
        <v>469</v>
      </c>
      <c r="D21" s="46" t="s">
        <v>341</v>
      </c>
      <c r="E21" s="46" t="s">
        <v>105</v>
      </c>
      <c r="F21" s="341" t="s">
        <v>180</v>
      </c>
      <c r="G21" s="382" t="s">
        <v>412</v>
      </c>
      <c r="H21" s="391">
        <v>2.38</v>
      </c>
      <c r="I21" s="108">
        <f>$H$21*I43</f>
        <v>2.6656</v>
      </c>
      <c r="J21" s="108">
        <f t="shared" ref="J21:AJ21" si="13">$H$21*J43</f>
        <v>2.6656</v>
      </c>
      <c r="K21" s="108">
        <f t="shared" si="13"/>
        <v>2.6656</v>
      </c>
      <c r="L21" s="108">
        <f t="shared" si="13"/>
        <v>2.6656</v>
      </c>
      <c r="M21" s="108">
        <f t="shared" si="13"/>
        <v>2.38</v>
      </c>
      <c r="N21" s="108">
        <f t="shared" si="13"/>
        <v>1.9753999999999998</v>
      </c>
      <c r="O21" s="108">
        <f t="shared" si="13"/>
        <v>1.9753999999999998</v>
      </c>
      <c r="P21" s="108">
        <f t="shared" si="13"/>
        <v>2.38</v>
      </c>
      <c r="Q21" s="108">
        <f t="shared" si="13"/>
        <v>2.6656</v>
      </c>
      <c r="R21" s="108">
        <f t="shared" si="13"/>
        <v>2.38</v>
      </c>
      <c r="S21" s="108">
        <f t="shared" si="13"/>
        <v>2.6656</v>
      </c>
      <c r="T21" s="108">
        <f t="shared" si="13"/>
        <v>1.9753999999999998</v>
      </c>
      <c r="U21" s="108">
        <f t="shared" si="13"/>
        <v>2.6656</v>
      </c>
      <c r="V21" s="108">
        <f t="shared" si="13"/>
        <v>2.6656</v>
      </c>
      <c r="W21" s="108">
        <f t="shared" si="13"/>
        <v>2.6656</v>
      </c>
      <c r="X21" s="108">
        <f t="shared" si="13"/>
        <v>1.9753999999999998</v>
      </c>
      <c r="Y21" s="108">
        <f t="shared" si="13"/>
        <v>1.9753999999999998</v>
      </c>
      <c r="Z21" s="108">
        <f t="shared" si="13"/>
        <v>1.9753999999999998</v>
      </c>
      <c r="AA21" s="108">
        <f t="shared" si="13"/>
        <v>2.38</v>
      </c>
      <c r="AB21" s="108">
        <f t="shared" si="13"/>
        <v>2.38</v>
      </c>
      <c r="AC21" s="108">
        <f t="shared" si="13"/>
        <v>2.6656</v>
      </c>
      <c r="AD21" s="108">
        <f t="shared" si="13"/>
        <v>2.6656</v>
      </c>
      <c r="AE21" s="108">
        <f t="shared" si="13"/>
        <v>2.6656</v>
      </c>
      <c r="AF21" s="108">
        <f t="shared" si="13"/>
        <v>2.6656</v>
      </c>
      <c r="AG21" s="108">
        <f t="shared" si="13"/>
        <v>2.6656</v>
      </c>
      <c r="AH21" s="108">
        <f t="shared" si="13"/>
        <v>2.6656</v>
      </c>
      <c r="AI21" s="108">
        <f t="shared" si="13"/>
        <v>1.9753999999999998</v>
      </c>
      <c r="AJ21" s="108">
        <f t="shared" si="13"/>
        <v>1.9753999999999998</v>
      </c>
      <c r="AM21" s="342"/>
      <c r="AN21" s="342"/>
      <c r="AO21" s="342"/>
      <c r="AP21" s="342"/>
      <c r="AQ21" s="342"/>
      <c r="AR21" s="342"/>
    </row>
    <row r="22" spans="1:44" s="341" customFormat="1" ht="18" x14ac:dyDescent="0.25">
      <c r="A22" s="46" t="s">
        <v>37</v>
      </c>
      <c r="B22" s="46" t="s">
        <v>122</v>
      </c>
      <c r="C22" s="46" t="s">
        <v>469</v>
      </c>
      <c r="D22" s="46" t="s">
        <v>476</v>
      </c>
      <c r="E22" s="46" t="s">
        <v>482</v>
      </c>
      <c r="F22" s="341" t="s">
        <v>180</v>
      </c>
      <c r="G22" s="382" t="s">
        <v>412</v>
      </c>
      <c r="H22" s="391">
        <v>0.86580000000000013</v>
      </c>
      <c r="I22" s="108">
        <f>$H$22*I42</f>
        <v>0.86580000000000013</v>
      </c>
      <c r="J22" s="108">
        <f t="shared" ref="J22:AJ22" si="14">$H$22*J42</f>
        <v>0.86580000000000013</v>
      </c>
      <c r="K22" s="108">
        <f t="shared" si="14"/>
        <v>0.86580000000000013</v>
      </c>
      <c r="L22" s="108">
        <f t="shared" si="14"/>
        <v>0.86580000000000013</v>
      </c>
      <c r="M22" s="108">
        <f t="shared" si="14"/>
        <v>0.86580000000000013</v>
      </c>
      <c r="N22" s="108">
        <f t="shared" si="14"/>
        <v>0.86580000000000013</v>
      </c>
      <c r="O22" s="108">
        <f t="shared" si="14"/>
        <v>0.86580000000000013</v>
      </c>
      <c r="P22" s="108">
        <f t="shared" si="14"/>
        <v>0.86580000000000013</v>
      </c>
      <c r="Q22" s="108">
        <f t="shared" si="14"/>
        <v>0.86580000000000013</v>
      </c>
      <c r="R22" s="108">
        <f t="shared" si="14"/>
        <v>0.86580000000000013</v>
      </c>
      <c r="S22" s="108">
        <f t="shared" si="14"/>
        <v>0.86580000000000013</v>
      </c>
      <c r="T22" s="108">
        <f t="shared" si="14"/>
        <v>0.86580000000000013</v>
      </c>
      <c r="U22" s="108">
        <f t="shared" si="14"/>
        <v>0.86580000000000013</v>
      </c>
      <c r="V22" s="108">
        <f t="shared" si="14"/>
        <v>0.86580000000000013</v>
      </c>
      <c r="W22" s="108">
        <f t="shared" si="14"/>
        <v>0.86580000000000013</v>
      </c>
      <c r="X22" s="108">
        <f t="shared" si="14"/>
        <v>0.86580000000000013</v>
      </c>
      <c r="Y22" s="108">
        <f t="shared" si="14"/>
        <v>0.86580000000000013</v>
      </c>
      <c r="Z22" s="108">
        <f t="shared" si="14"/>
        <v>0.86580000000000013</v>
      </c>
      <c r="AA22" s="108">
        <f t="shared" si="14"/>
        <v>0.86580000000000013</v>
      </c>
      <c r="AB22" s="108">
        <f t="shared" si="14"/>
        <v>0.86580000000000013</v>
      </c>
      <c r="AC22" s="108">
        <f t="shared" si="14"/>
        <v>0.86580000000000013</v>
      </c>
      <c r="AD22" s="108">
        <f t="shared" si="14"/>
        <v>0.86580000000000013</v>
      </c>
      <c r="AE22" s="108">
        <f t="shared" si="14"/>
        <v>0.86580000000000013</v>
      </c>
      <c r="AF22" s="108">
        <f t="shared" si="14"/>
        <v>0.86580000000000013</v>
      </c>
      <c r="AG22" s="108">
        <f t="shared" si="14"/>
        <v>0.86580000000000013</v>
      </c>
      <c r="AH22" s="108">
        <f t="shared" si="14"/>
        <v>0.86580000000000013</v>
      </c>
      <c r="AI22" s="108">
        <f t="shared" si="14"/>
        <v>0.86580000000000013</v>
      </c>
      <c r="AJ22" s="108">
        <f t="shared" si="14"/>
        <v>0.86580000000000013</v>
      </c>
      <c r="AM22" s="342"/>
      <c r="AN22" s="342"/>
      <c r="AO22" s="342"/>
      <c r="AP22" s="342"/>
      <c r="AQ22" s="342"/>
      <c r="AR22" s="342"/>
    </row>
    <row r="23" spans="1:44" s="341" customFormat="1" ht="18" x14ac:dyDescent="0.25">
      <c r="A23" s="46" t="s">
        <v>37</v>
      </c>
      <c r="B23" s="46" t="s">
        <v>122</v>
      </c>
      <c r="C23" s="46" t="s">
        <v>469</v>
      </c>
      <c r="D23" s="46" t="s">
        <v>21</v>
      </c>
      <c r="E23" s="46" t="s">
        <v>107</v>
      </c>
      <c r="F23" s="341" t="s">
        <v>180</v>
      </c>
      <c r="G23" s="382" t="s">
        <v>412</v>
      </c>
      <c r="H23" s="391">
        <v>0.72320888520081605</v>
      </c>
      <c r="I23" s="108">
        <f>$H$23*I42</f>
        <v>0.72320888520081605</v>
      </c>
      <c r="J23" s="108">
        <f t="shared" ref="J23:AJ23" si="15">$H$23*J42</f>
        <v>0.72320888520081605</v>
      </c>
      <c r="K23" s="108">
        <f t="shared" si="15"/>
        <v>0.72320888520081605</v>
      </c>
      <c r="L23" s="108">
        <f t="shared" si="15"/>
        <v>0.72320888520081605</v>
      </c>
      <c r="M23" s="108">
        <f t="shared" si="15"/>
        <v>0.72320888520081605</v>
      </c>
      <c r="N23" s="108">
        <f t="shared" si="15"/>
        <v>0.72320888520081605</v>
      </c>
      <c r="O23" s="108">
        <f t="shared" si="15"/>
        <v>0.72320888520081605</v>
      </c>
      <c r="P23" s="108">
        <f t="shared" si="15"/>
        <v>0.72320888520081605</v>
      </c>
      <c r="Q23" s="108">
        <f t="shared" si="15"/>
        <v>0.72320888520081605</v>
      </c>
      <c r="R23" s="108">
        <f t="shared" si="15"/>
        <v>0.72320888520081605</v>
      </c>
      <c r="S23" s="108">
        <f t="shared" si="15"/>
        <v>0.72320888520081605</v>
      </c>
      <c r="T23" s="108">
        <f t="shared" si="15"/>
        <v>0.72320888520081605</v>
      </c>
      <c r="U23" s="108">
        <f t="shared" si="15"/>
        <v>0.72320888520081605</v>
      </c>
      <c r="V23" s="108">
        <f t="shared" si="15"/>
        <v>0.72320888520081605</v>
      </c>
      <c r="W23" s="108">
        <f t="shared" si="15"/>
        <v>0.72320888520081605</v>
      </c>
      <c r="X23" s="108">
        <f t="shared" si="15"/>
        <v>0.72320888520081605</v>
      </c>
      <c r="Y23" s="108">
        <f t="shared" si="15"/>
        <v>0.72320888520081605</v>
      </c>
      <c r="Z23" s="108">
        <f t="shared" si="15"/>
        <v>0.72320888520081605</v>
      </c>
      <c r="AA23" s="108">
        <f t="shared" si="15"/>
        <v>0.72320888520081605</v>
      </c>
      <c r="AB23" s="108">
        <f t="shared" si="15"/>
        <v>0.72320888520081605</v>
      </c>
      <c r="AC23" s="108">
        <f t="shared" si="15"/>
        <v>0.72320888520081605</v>
      </c>
      <c r="AD23" s="108">
        <f t="shared" si="15"/>
        <v>0.72320888520081605</v>
      </c>
      <c r="AE23" s="108">
        <f t="shared" si="15"/>
        <v>0.72320888520081605</v>
      </c>
      <c r="AF23" s="108">
        <f t="shared" si="15"/>
        <v>0.72320888520081605</v>
      </c>
      <c r="AG23" s="108">
        <f t="shared" si="15"/>
        <v>0.72320888520081605</v>
      </c>
      <c r="AH23" s="108">
        <f t="shared" si="15"/>
        <v>0.72320888520081605</v>
      </c>
      <c r="AI23" s="108">
        <f t="shared" si="15"/>
        <v>0.72320888520081605</v>
      </c>
      <c r="AJ23" s="108">
        <f t="shared" si="15"/>
        <v>0.72320888520081605</v>
      </c>
      <c r="AM23" s="342"/>
      <c r="AN23" s="342"/>
      <c r="AO23" s="342"/>
      <c r="AP23" s="342"/>
      <c r="AQ23" s="342"/>
      <c r="AR23" s="342"/>
    </row>
    <row r="24" spans="1:44" ht="18" x14ac:dyDescent="0.25">
      <c r="A24" s="46" t="s">
        <v>37</v>
      </c>
      <c r="B24" s="46" t="s">
        <v>122</v>
      </c>
      <c r="C24" s="46" t="s">
        <v>469</v>
      </c>
      <c r="D24" s="46" t="s">
        <v>20</v>
      </c>
      <c r="E24" s="46" t="s">
        <v>108</v>
      </c>
      <c r="F24" s="341" t="s">
        <v>180</v>
      </c>
      <c r="G24" s="382" t="s">
        <v>412</v>
      </c>
      <c r="H24" s="391">
        <v>0.72320888520081605</v>
      </c>
      <c r="I24" s="108">
        <f>$H$24*I42</f>
        <v>0.72320888520081605</v>
      </c>
      <c r="J24" s="108">
        <f t="shared" ref="J24:AJ24" si="16">$H$24*J42</f>
        <v>0.72320888520081605</v>
      </c>
      <c r="K24" s="108">
        <f t="shared" si="16"/>
        <v>0.72320888520081605</v>
      </c>
      <c r="L24" s="108">
        <f t="shared" si="16"/>
        <v>0.72320888520081605</v>
      </c>
      <c r="M24" s="108">
        <f t="shared" si="16"/>
        <v>0.72320888520081605</v>
      </c>
      <c r="N24" s="108">
        <f t="shared" si="16"/>
        <v>0.72320888520081605</v>
      </c>
      <c r="O24" s="108">
        <f t="shared" si="16"/>
        <v>0.72320888520081605</v>
      </c>
      <c r="P24" s="108">
        <f t="shared" si="16"/>
        <v>0.72320888520081605</v>
      </c>
      <c r="Q24" s="108">
        <f t="shared" si="16"/>
        <v>0.72320888520081605</v>
      </c>
      <c r="R24" s="108">
        <f t="shared" si="16"/>
        <v>0.72320888520081605</v>
      </c>
      <c r="S24" s="108">
        <f t="shared" si="16"/>
        <v>0.72320888520081605</v>
      </c>
      <c r="T24" s="108">
        <f t="shared" si="16"/>
        <v>0.72320888520081605</v>
      </c>
      <c r="U24" s="108">
        <f t="shared" si="16"/>
        <v>0.72320888520081605</v>
      </c>
      <c r="V24" s="108">
        <f t="shared" si="16"/>
        <v>0.72320888520081605</v>
      </c>
      <c r="W24" s="108">
        <f t="shared" si="16"/>
        <v>0.72320888520081605</v>
      </c>
      <c r="X24" s="108">
        <f t="shared" si="16"/>
        <v>0.72320888520081605</v>
      </c>
      <c r="Y24" s="108">
        <f t="shared" si="16"/>
        <v>0.72320888520081605</v>
      </c>
      <c r="Z24" s="108">
        <f t="shared" si="16"/>
        <v>0.72320888520081605</v>
      </c>
      <c r="AA24" s="108">
        <f t="shared" si="16"/>
        <v>0.72320888520081605</v>
      </c>
      <c r="AB24" s="108">
        <f t="shared" si="16"/>
        <v>0.72320888520081605</v>
      </c>
      <c r="AC24" s="108">
        <f t="shared" si="16"/>
        <v>0.72320888520081605</v>
      </c>
      <c r="AD24" s="108">
        <f t="shared" si="16"/>
        <v>0.72320888520081605</v>
      </c>
      <c r="AE24" s="108">
        <f t="shared" si="16"/>
        <v>0.72320888520081605</v>
      </c>
      <c r="AF24" s="108">
        <f t="shared" si="16"/>
        <v>0.72320888520081605</v>
      </c>
      <c r="AG24" s="108">
        <f t="shared" si="16"/>
        <v>0.72320888520081605</v>
      </c>
      <c r="AH24" s="108">
        <f t="shared" si="16"/>
        <v>0.72320888520081605</v>
      </c>
      <c r="AI24" s="108">
        <f t="shared" si="16"/>
        <v>0.72320888520081605</v>
      </c>
      <c r="AJ24" s="108">
        <f t="shared" si="16"/>
        <v>0.72320888520081605</v>
      </c>
      <c r="AM24" s="342"/>
      <c r="AN24" s="342"/>
      <c r="AO24" s="342"/>
      <c r="AP24" s="342"/>
      <c r="AQ24" s="342"/>
      <c r="AR24" s="342"/>
    </row>
    <row r="25" spans="1:44" ht="18" x14ac:dyDescent="0.25">
      <c r="A25" s="46" t="s">
        <v>37</v>
      </c>
      <c r="B25" s="46" t="s">
        <v>122</v>
      </c>
      <c r="C25" s="46" t="s">
        <v>469</v>
      </c>
      <c r="D25" s="46" t="s">
        <v>0</v>
      </c>
      <c r="E25" s="46" t="s">
        <v>109</v>
      </c>
      <c r="F25" s="341" t="s">
        <v>180</v>
      </c>
      <c r="G25" s="382" t="s">
        <v>412</v>
      </c>
      <c r="H25" s="391">
        <v>0.94340000000000002</v>
      </c>
      <c r="I25" s="108">
        <f>$H$25*I42</f>
        <v>0.94340000000000002</v>
      </c>
      <c r="J25" s="108">
        <f t="shared" ref="J25:AJ25" si="17">$H$25*J42</f>
        <v>0.94340000000000002</v>
      </c>
      <c r="K25" s="108">
        <f t="shared" si="17"/>
        <v>0.94340000000000002</v>
      </c>
      <c r="L25" s="108">
        <f t="shared" si="17"/>
        <v>0.94340000000000002</v>
      </c>
      <c r="M25" s="108">
        <f>$H$25*M42</f>
        <v>0.94340000000000002</v>
      </c>
      <c r="N25" s="108">
        <f t="shared" si="17"/>
        <v>0.94340000000000002</v>
      </c>
      <c r="O25" s="108">
        <f t="shared" si="17"/>
        <v>0.94340000000000002</v>
      </c>
      <c r="P25" s="108">
        <f t="shared" si="17"/>
        <v>0.94340000000000002</v>
      </c>
      <c r="Q25" s="108">
        <f t="shared" si="17"/>
        <v>0.94340000000000002</v>
      </c>
      <c r="R25" s="108">
        <f t="shared" si="17"/>
        <v>0.94340000000000002</v>
      </c>
      <c r="S25" s="108">
        <f t="shared" si="17"/>
        <v>0.94340000000000002</v>
      </c>
      <c r="T25" s="108">
        <f t="shared" si="17"/>
        <v>0.94340000000000002</v>
      </c>
      <c r="U25" s="108">
        <f t="shared" si="17"/>
        <v>0.94340000000000002</v>
      </c>
      <c r="V25" s="108">
        <f t="shared" si="17"/>
        <v>0.94340000000000002</v>
      </c>
      <c r="W25" s="108">
        <f t="shared" si="17"/>
        <v>0.94340000000000002</v>
      </c>
      <c r="X25" s="108">
        <f t="shared" si="17"/>
        <v>0.94340000000000002</v>
      </c>
      <c r="Y25" s="108">
        <f t="shared" si="17"/>
        <v>0.94340000000000002</v>
      </c>
      <c r="Z25" s="108">
        <f t="shared" si="17"/>
        <v>0.94340000000000002</v>
      </c>
      <c r="AA25" s="108">
        <f t="shared" si="17"/>
        <v>0.94340000000000002</v>
      </c>
      <c r="AB25" s="108">
        <f t="shared" si="17"/>
        <v>0.94340000000000002</v>
      </c>
      <c r="AC25" s="108">
        <f t="shared" si="17"/>
        <v>0.94340000000000002</v>
      </c>
      <c r="AD25" s="108">
        <f t="shared" si="17"/>
        <v>0.94340000000000002</v>
      </c>
      <c r="AE25" s="108">
        <f t="shared" si="17"/>
        <v>0.94340000000000002</v>
      </c>
      <c r="AF25" s="108">
        <f t="shared" si="17"/>
        <v>0.94340000000000002</v>
      </c>
      <c r="AG25" s="108">
        <f t="shared" si="17"/>
        <v>0.94340000000000002</v>
      </c>
      <c r="AH25" s="108">
        <f t="shared" si="17"/>
        <v>0.94340000000000002</v>
      </c>
      <c r="AI25" s="108">
        <f t="shared" si="17"/>
        <v>0.94340000000000002</v>
      </c>
      <c r="AJ25" s="108">
        <f t="shared" si="17"/>
        <v>0.94340000000000002</v>
      </c>
      <c r="AM25" s="342"/>
      <c r="AN25" s="342"/>
      <c r="AO25" s="342"/>
      <c r="AP25" s="342"/>
      <c r="AQ25" s="342"/>
      <c r="AR25" s="342"/>
    </row>
    <row r="26" spans="1:44" s="341" customFormat="1" ht="18" x14ac:dyDescent="0.25">
      <c r="A26" s="46" t="s">
        <v>37</v>
      </c>
      <c r="B26" s="46" t="s">
        <v>122</v>
      </c>
      <c r="C26" s="46" t="s">
        <v>469</v>
      </c>
      <c r="D26" s="46" t="s">
        <v>18</v>
      </c>
      <c r="E26" s="46" t="s">
        <v>104</v>
      </c>
      <c r="F26" s="341" t="s">
        <v>180</v>
      </c>
      <c r="G26" s="341" t="s">
        <v>214</v>
      </c>
      <c r="H26" s="142">
        <v>0.75</v>
      </c>
      <c r="I26" s="108">
        <f>$H26*I$42</f>
        <v>0.75</v>
      </c>
      <c r="J26" s="108">
        <f t="shared" ref="J26:AJ26" si="18">$H26*J$42</f>
        <v>0.75</v>
      </c>
      <c r="K26" s="108">
        <f t="shared" si="18"/>
        <v>0.75</v>
      </c>
      <c r="L26" s="108">
        <f t="shared" si="18"/>
        <v>0.75</v>
      </c>
      <c r="M26" s="108">
        <f t="shared" si="18"/>
        <v>0.75</v>
      </c>
      <c r="N26" s="108">
        <f t="shared" si="18"/>
        <v>0.75</v>
      </c>
      <c r="O26" s="108">
        <f t="shared" si="18"/>
        <v>0.75</v>
      </c>
      <c r="P26" s="108">
        <f t="shared" si="18"/>
        <v>0.75</v>
      </c>
      <c r="Q26" s="108">
        <f t="shared" si="18"/>
        <v>0.75</v>
      </c>
      <c r="R26" s="108">
        <f t="shared" si="18"/>
        <v>0.75</v>
      </c>
      <c r="S26" s="108">
        <f t="shared" si="18"/>
        <v>0.75</v>
      </c>
      <c r="T26" s="108">
        <f t="shared" si="18"/>
        <v>0.75</v>
      </c>
      <c r="U26" s="108">
        <f t="shared" si="18"/>
        <v>0.75</v>
      </c>
      <c r="V26" s="108">
        <f t="shared" si="18"/>
        <v>0.75</v>
      </c>
      <c r="W26" s="108">
        <f t="shared" si="18"/>
        <v>0.75</v>
      </c>
      <c r="X26" s="108">
        <f t="shared" si="18"/>
        <v>0.75</v>
      </c>
      <c r="Y26" s="108">
        <f t="shared" si="18"/>
        <v>0.75</v>
      </c>
      <c r="Z26" s="108">
        <f t="shared" si="18"/>
        <v>0.75</v>
      </c>
      <c r="AA26" s="108">
        <f t="shared" si="18"/>
        <v>0.75</v>
      </c>
      <c r="AB26" s="108">
        <f t="shared" si="18"/>
        <v>0.75</v>
      </c>
      <c r="AC26" s="108">
        <f t="shared" si="18"/>
        <v>0.75</v>
      </c>
      <c r="AD26" s="108">
        <f t="shared" si="18"/>
        <v>0.75</v>
      </c>
      <c r="AE26" s="108">
        <f t="shared" si="18"/>
        <v>0.75</v>
      </c>
      <c r="AF26" s="108">
        <f t="shared" si="18"/>
        <v>0.75</v>
      </c>
      <c r="AG26" s="108">
        <f t="shared" si="18"/>
        <v>0.75</v>
      </c>
      <c r="AH26" s="108">
        <f t="shared" si="18"/>
        <v>0.75</v>
      </c>
      <c r="AI26" s="108">
        <f t="shared" si="18"/>
        <v>0.75</v>
      </c>
      <c r="AJ26" s="108">
        <f t="shared" si="18"/>
        <v>0.75</v>
      </c>
      <c r="AM26" s="342"/>
      <c r="AN26" s="342"/>
      <c r="AO26" s="342"/>
      <c r="AP26" s="342"/>
      <c r="AQ26" s="342"/>
      <c r="AR26" s="342"/>
    </row>
    <row r="27" spans="1:44" s="150" customFormat="1" ht="18" x14ac:dyDescent="0.25">
      <c r="A27" s="46" t="s">
        <v>37</v>
      </c>
      <c r="B27" s="48" t="s">
        <v>122</v>
      </c>
      <c r="C27" s="48" t="s">
        <v>469</v>
      </c>
      <c r="D27" s="48" t="s">
        <v>474</v>
      </c>
      <c r="E27" s="48" t="s">
        <v>475</v>
      </c>
      <c r="F27" s="380" t="s">
        <v>180</v>
      </c>
      <c r="G27" s="392" t="s">
        <v>412</v>
      </c>
      <c r="H27" s="386">
        <v>0.94340000000000002</v>
      </c>
      <c r="I27" s="145">
        <f>$H$27*I42</f>
        <v>0.94340000000000002</v>
      </c>
      <c r="J27" s="145">
        <f t="shared" ref="J27:AJ27" si="19">$H$27*J42</f>
        <v>0.94340000000000002</v>
      </c>
      <c r="K27" s="145">
        <f t="shared" si="19"/>
        <v>0.94340000000000002</v>
      </c>
      <c r="L27" s="145">
        <f t="shared" si="19"/>
        <v>0.94340000000000002</v>
      </c>
      <c r="M27" s="145">
        <f t="shared" si="19"/>
        <v>0.94340000000000002</v>
      </c>
      <c r="N27" s="145">
        <f t="shared" si="19"/>
        <v>0.94340000000000002</v>
      </c>
      <c r="O27" s="145">
        <f t="shared" si="19"/>
        <v>0.94340000000000002</v>
      </c>
      <c r="P27" s="145">
        <f t="shared" si="19"/>
        <v>0.94340000000000002</v>
      </c>
      <c r="Q27" s="145">
        <f t="shared" si="19"/>
        <v>0.94340000000000002</v>
      </c>
      <c r="R27" s="145">
        <f t="shared" si="19"/>
        <v>0.94340000000000002</v>
      </c>
      <c r="S27" s="145">
        <f t="shared" si="19"/>
        <v>0.94340000000000002</v>
      </c>
      <c r="T27" s="145">
        <f t="shared" si="19"/>
        <v>0.94340000000000002</v>
      </c>
      <c r="U27" s="145">
        <f t="shared" si="19"/>
        <v>0.94340000000000002</v>
      </c>
      <c r="V27" s="145">
        <f t="shared" si="19"/>
        <v>0.94340000000000002</v>
      </c>
      <c r="W27" s="145">
        <f t="shared" si="19"/>
        <v>0.94340000000000002</v>
      </c>
      <c r="X27" s="145">
        <f t="shared" si="19"/>
        <v>0.94340000000000002</v>
      </c>
      <c r="Y27" s="145">
        <f t="shared" si="19"/>
        <v>0.94340000000000002</v>
      </c>
      <c r="Z27" s="145">
        <f t="shared" si="19"/>
        <v>0.94340000000000002</v>
      </c>
      <c r="AA27" s="145">
        <f t="shared" si="19"/>
        <v>0.94340000000000002</v>
      </c>
      <c r="AB27" s="145">
        <f t="shared" si="19"/>
        <v>0.94340000000000002</v>
      </c>
      <c r="AC27" s="145">
        <f t="shared" si="19"/>
        <v>0.94340000000000002</v>
      </c>
      <c r="AD27" s="145">
        <f t="shared" si="19"/>
        <v>0.94340000000000002</v>
      </c>
      <c r="AE27" s="145">
        <f t="shared" si="19"/>
        <v>0.94340000000000002</v>
      </c>
      <c r="AF27" s="145">
        <f t="shared" si="19"/>
        <v>0.94340000000000002</v>
      </c>
      <c r="AG27" s="145">
        <f t="shared" si="19"/>
        <v>0.94340000000000002</v>
      </c>
      <c r="AH27" s="145">
        <f t="shared" si="19"/>
        <v>0.94340000000000002</v>
      </c>
      <c r="AI27" s="145">
        <f t="shared" si="19"/>
        <v>0.94340000000000002</v>
      </c>
      <c r="AJ27" s="145">
        <f t="shared" si="19"/>
        <v>0.94340000000000002</v>
      </c>
      <c r="AM27" s="342"/>
      <c r="AN27" s="342"/>
      <c r="AO27" s="342"/>
      <c r="AP27" s="342"/>
      <c r="AQ27" s="342"/>
      <c r="AR27" s="342"/>
    </row>
    <row r="28" spans="1:44" s="150" customFormat="1" ht="18" x14ac:dyDescent="0.25">
      <c r="A28" s="46" t="s">
        <v>37</v>
      </c>
      <c r="B28" s="51" t="s">
        <v>124</v>
      </c>
      <c r="C28" s="51" t="s">
        <v>470</v>
      </c>
      <c r="D28" s="51" t="s">
        <v>476</v>
      </c>
      <c r="E28" s="46" t="s">
        <v>482</v>
      </c>
      <c r="F28" s="388" t="s">
        <v>180</v>
      </c>
      <c r="G28" s="393" t="s">
        <v>412</v>
      </c>
      <c r="H28" s="389">
        <v>1.3</v>
      </c>
      <c r="I28" s="390">
        <f>$H$28*I45</f>
        <v>1.3</v>
      </c>
      <c r="J28" s="390">
        <f t="shared" ref="J28:AJ28" si="20">$H$28*J45</f>
        <v>1.3</v>
      </c>
      <c r="K28" s="390">
        <f t="shared" si="20"/>
        <v>1.3</v>
      </c>
      <c r="L28" s="390">
        <f t="shared" si="20"/>
        <v>1.3</v>
      </c>
      <c r="M28" s="390">
        <f t="shared" si="20"/>
        <v>1.3</v>
      </c>
      <c r="N28" s="390">
        <f t="shared" si="20"/>
        <v>1.3</v>
      </c>
      <c r="O28" s="390">
        <f t="shared" si="20"/>
        <v>1.3</v>
      </c>
      <c r="P28" s="390">
        <f t="shared" si="20"/>
        <v>1.3</v>
      </c>
      <c r="Q28" s="390">
        <f t="shared" si="20"/>
        <v>1.3</v>
      </c>
      <c r="R28" s="390">
        <f t="shared" si="20"/>
        <v>1.3</v>
      </c>
      <c r="S28" s="390">
        <f t="shared" si="20"/>
        <v>1.3</v>
      </c>
      <c r="T28" s="390">
        <f t="shared" si="20"/>
        <v>1.3</v>
      </c>
      <c r="U28" s="390">
        <f t="shared" si="20"/>
        <v>1.3</v>
      </c>
      <c r="V28" s="390">
        <f t="shared" si="20"/>
        <v>1.3</v>
      </c>
      <c r="W28" s="390">
        <f t="shared" si="20"/>
        <v>1.3</v>
      </c>
      <c r="X28" s="390">
        <f t="shared" si="20"/>
        <v>1.3</v>
      </c>
      <c r="Y28" s="390">
        <f t="shared" si="20"/>
        <v>1.3</v>
      </c>
      <c r="Z28" s="390">
        <f t="shared" si="20"/>
        <v>1.3</v>
      </c>
      <c r="AA28" s="390">
        <f t="shared" si="20"/>
        <v>1.3</v>
      </c>
      <c r="AB28" s="390">
        <f t="shared" si="20"/>
        <v>1.3</v>
      </c>
      <c r="AC28" s="390">
        <f t="shared" si="20"/>
        <v>1.3</v>
      </c>
      <c r="AD28" s="390">
        <f t="shared" si="20"/>
        <v>1.3</v>
      </c>
      <c r="AE28" s="390">
        <f t="shared" si="20"/>
        <v>1.3</v>
      </c>
      <c r="AF28" s="390">
        <f t="shared" si="20"/>
        <v>1.3</v>
      </c>
      <c r="AG28" s="390">
        <f t="shared" si="20"/>
        <v>1.3</v>
      </c>
      <c r="AH28" s="390">
        <f t="shared" si="20"/>
        <v>1.3</v>
      </c>
      <c r="AI28" s="390">
        <f t="shared" si="20"/>
        <v>1.3</v>
      </c>
      <c r="AJ28" s="390">
        <f t="shared" si="20"/>
        <v>1.3</v>
      </c>
      <c r="AM28" s="342"/>
      <c r="AN28" s="385"/>
      <c r="AO28" s="385"/>
      <c r="AP28" s="385"/>
      <c r="AQ28" s="385"/>
      <c r="AR28" s="385"/>
    </row>
    <row r="29" spans="1:44" s="150" customFormat="1" ht="18" x14ac:dyDescent="0.25">
      <c r="A29" s="46" t="s">
        <v>37</v>
      </c>
      <c r="B29" s="48" t="s">
        <v>124</v>
      </c>
      <c r="C29" s="48" t="s">
        <v>470</v>
      </c>
      <c r="D29" s="48" t="s">
        <v>19</v>
      </c>
      <c r="E29" s="48" t="s">
        <v>105</v>
      </c>
      <c r="F29" s="380" t="s">
        <v>180</v>
      </c>
      <c r="G29" s="392" t="s">
        <v>412</v>
      </c>
      <c r="H29" s="386">
        <v>2.34</v>
      </c>
      <c r="I29" s="145">
        <f>$H$29*I45</f>
        <v>2.34</v>
      </c>
      <c r="J29" s="145">
        <f t="shared" ref="J29:AJ29" si="21">$H$29*J45</f>
        <v>2.34</v>
      </c>
      <c r="K29" s="145">
        <f t="shared" si="21"/>
        <v>2.34</v>
      </c>
      <c r="L29" s="145">
        <f t="shared" si="21"/>
        <v>2.34</v>
      </c>
      <c r="M29" s="145">
        <f t="shared" si="21"/>
        <v>2.34</v>
      </c>
      <c r="N29" s="145">
        <f t="shared" si="21"/>
        <v>2.34</v>
      </c>
      <c r="O29" s="145">
        <f t="shared" si="21"/>
        <v>2.34</v>
      </c>
      <c r="P29" s="145">
        <f t="shared" si="21"/>
        <v>2.34</v>
      </c>
      <c r="Q29" s="145">
        <f t="shared" si="21"/>
        <v>2.34</v>
      </c>
      <c r="R29" s="145">
        <f t="shared" si="21"/>
        <v>2.34</v>
      </c>
      <c r="S29" s="145">
        <f t="shared" si="21"/>
        <v>2.34</v>
      </c>
      <c r="T29" s="145">
        <f t="shared" si="21"/>
        <v>2.34</v>
      </c>
      <c r="U29" s="145">
        <f t="shared" si="21"/>
        <v>2.34</v>
      </c>
      <c r="V29" s="145">
        <f t="shared" si="21"/>
        <v>2.34</v>
      </c>
      <c r="W29" s="145">
        <f t="shared" si="21"/>
        <v>2.34</v>
      </c>
      <c r="X29" s="145">
        <f t="shared" si="21"/>
        <v>2.34</v>
      </c>
      <c r="Y29" s="145">
        <f t="shared" si="21"/>
        <v>2.34</v>
      </c>
      <c r="Z29" s="145">
        <f t="shared" si="21"/>
        <v>2.34</v>
      </c>
      <c r="AA29" s="145">
        <f t="shared" si="21"/>
        <v>2.34</v>
      </c>
      <c r="AB29" s="145">
        <f t="shared" si="21"/>
        <v>2.34</v>
      </c>
      <c r="AC29" s="145">
        <f t="shared" si="21"/>
        <v>2.34</v>
      </c>
      <c r="AD29" s="145">
        <f t="shared" si="21"/>
        <v>2.34</v>
      </c>
      <c r="AE29" s="145">
        <f t="shared" si="21"/>
        <v>2.34</v>
      </c>
      <c r="AF29" s="145">
        <f t="shared" si="21"/>
        <v>2.34</v>
      </c>
      <c r="AG29" s="145">
        <f t="shared" si="21"/>
        <v>2.34</v>
      </c>
      <c r="AH29" s="145">
        <f t="shared" si="21"/>
        <v>2.34</v>
      </c>
      <c r="AI29" s="145">
        <f t="shared" si="21"/>
        <v>2.34</v>
      </c>
      <c r="AJ29" s="145">
        <f t="shared" si="21"/>
        <v>2.34</v>
      </c>
      <c r="AM29" s="342"/>
      <c r="AN29" s="385"/>
      <c r="AO29" s="385"/>
      <c r="AP29" s="385"/>
      <c r="AQ29" s="385"/>
      <c r="AR29" s="385"/>
    </row>
    <row r="30" spans="1:44" s="150" customFormat="1" ht="18" x14ac:dyDescent="0.25">
      <c r="A30" s="46" t="s">
        <v>37</v>
      </c>
      <c r="B30" s="51" t="s">
        <v>124</v>
      </c>
      <c r="C30" s="51" t="s">
        <v>471</v>
      </c>
      <c r="D30" s="51" t="s">
        <v>476</v>
      </c>
      <c r="E30" s="46" t="s">
        <v>482</v>
      </c>
      <c r="F30" s="388" t="s">
        <v>180</v>
      </c>
      <c r="G30" s="393" t="s">
        <v>412</v>
      </c>
      <c r="H30" s="389">
        <v>1.3</v>
      </c>
      <c r="I30" s="390">
        <f>$H$30*I45</f>
        <v>1.3</v>
      </c>
      <c r="J30" s="390">
        <f t="shared" ref="J30:AJ30" si="22">$H$30*J45</f>
        <v>1.3</v>
      </c>
      <c r="K30" s="390">
        <f t="shared" si="22"/>
        <v>1.3</v>
      </c>
      <c r="L30" s="390">
        <f t="shared" si="22"/>
        <v>1.3</v>
      </c>
      <c r="M30" s="390">
        <f t="shared" si="22"/>
        <v>1.3</v>
      </c>
      <c r="N30" s="390">
        <f t="shared" si="22"/>
        <v>1.3</v>
      </c>
      <c r="O30" s="390">
        <f t="shared" si="22"/>
        <v>1.3</v>
      </c>
      <c r="P30" s="390">
        <f t="shared" si="22"/>
        <v>1.3</v>
      </c>
      <c r="Q30" s="390">
        <f t="shared" si="22"/>
        <v>1.3</v>
      </c>
      <c r="R30" s="390">
        <f t="shared" si="22"/>
        <v>1.3</v>
      </c>
      <c r="S30" s="390">
        <f t="shared" si="22"/>
        <v>1.3</v>
      </c>
      <c r="T30" s="390">
        <f t="shared" si="22"/>
        <v>1.3</v>
      </c>
      <c r="U30" s="390">
        <f t="shared" si="22"/>
        <v>1.3</v>
      </c>
      <c r="V30" s="390">
        <f t="shared" si="22"/>
        <v>1.3</v>
      </c>
      <c r="W30" s="390">
        <f t="shared" si="22"/>
        <v>1.3</v>
      </c>
      <c r="X30" s="390">
        <f t="shared" si="22"/>
        <v>1.3</v>
      </c>
      <c r="Y30" s="390">
        <f t="shared" si="22"/>
        <v>1.3</v>
      </c>
      <c r="Z30" s="390">
        <f t="shared" si="22"/>
        <v>1.3</v>
      </c>
      <c r="AA30" s="390">
        <f t="shared" si="22"/>
        <v>1.3</v>
      </c>
      <c r="AB30" s="390">
        <f t="shared" si="22"/>
        <v>1.3</v>
      </c>
      <c r="AC30" s="390">
        <f t="shared" si="22"/>
        <v>1.3</v>
      </c>
      <c r="AD30" s="390">
        <f t="shared" si="22"/>
        <v>1.3</v>
      </c>
      <c r="AE30" s="390">
        <f t="shared" si="22"/>
        <v>1.3</v>
      </c>
      <c r="AF30" s="390">
        <f t="shared" si="22"/>
        <v>1.3</v>
      </c>
      <c r="AG30" s="390">
        <f t="shared" si="22"/>
        <v>1.3</v>
      </c>
      <c r="AH30" s="390">
        <f t="shared" si="22"/>
        <v>1.3</v>
      </c>
      <c r="AI30" s="390">
        <f t="shared" si="22"/>
        <v>1.3</v>
      </c>
      <c r="AJ30" s="390">
        <f t="shared" si="22"/>
        <v>1.3</v>
      </c>
      <c r="AM30" s="342"/>
      <c r="AN30" s="385"/>
      <c r="AO30" s="385"/>
      <c r="AP30" s="385"/>
      <c r="AQ30" s="385"/>
      <c r="AR30" s="385"/>
    </row>
    <row r="31" spans="1:44" s="150" customFormat="1" ht="18" x14ac:dyDescent="0.25">
      <c r="A31" s="46" t="s">
        <v>37</v>
      </c>
      <c r="B31" s="48" t="s">
        <v>124</v>
      </c>
      <c r="C31" s="48" t="s">
        <v>471</v>
      </c>
      <c r="D31" s="48" t="s">
        <v>19</v>
      </c>
      <c r="E31" s="48" t="s">
        <v>105</v>
      </c>
      <c r="F31" s="380" t="s">
        <v>180</v>
      </c>
      <c r="G31" s="392" t="s">
        <v>412</v>
      </c>
      <c r="H31" s="386">
        <v>2.34</v>
      </c>
      <c r="I31" s="145">
        <f>$H$31*I45</f>
        <v>2.34</v>
      </c>
      <c r="J31" s="145">
        <f t="shared" ref="J31:AJ31" si="23">$H$31*J45</f>
        <v>2.34</v>
      </c>
      <c r="K31" s="145">
        <f t="shared" si="23"/>
        <v>2.34</v>
      </c>
      <c r="L31" s="145">
        <f t="shared" si="23"/>
        <v>2.34</v>
      </c>
      <c r="M31" s="145">
        <f t="shared" si="23"/>
        <v>2.34</v>
      </c>
      <c r="N31" s="145">
        <f t="shared" si="23"/>
        <v>2.34</v>
      </c>
      <c r="O31" s="145">
        <f t="shared" si="23"/>
        <v>2.34</v>
      </c>
      <c r="P31" s="145">
        <f t="shared" si="23"/>
        <v>2.34</v>
      </c>
      <c r="Q31" s="145">
        <f t="shared" si="23"/>
        <v>2.34</v>
      </c>
      <c r="R31" s="145">
        <f t="shared" si="23"/>
        <v>2.34</v>
      </c>
      <c r="S31" s="145">
        <f t="shared" si="23"/>
        <v>2.34</v>
      </c>
      <c r="T31" s="145">
        <f t="shared" si="23"/>
        <v>2.34</v>
      </c>
      <c r="U31" s="145">
        <f t="shared" si="23"/>
        <v>2.34</v>
      </c>
      <c r="V31" s="145">
        <f t="shared" si="23"/>
        <v>2.34</v>
      </c>
      <c r="W31" s="145">
        <f t="shared" si="23"/>
        <v>2.34</v>
      </c>
      <c r="X31" s="145">
        <f t="shared" si="23"/>
        <v>2.34</v>
      </c>
      <c r="Y31" s="145">
        <f t="shared" si="23"/>
        <v>2.34</v>
      </c>
      <c r="Z31" s="145">
        <f t="shared" si="23"/>
        <v>2.34</v>
      </c>
      <c r="AA31" s="145">
        <f t="shared" si="23"/>
        <v>2.34</v>
      </c>
      <c r="AB31" s="145">
        <f t="shared" si="23"/>
        <v>2.34</v>
      </c>
      <c r="AC31" s="145">
        <f t="shared" si="23"/>
        <v>2.34</v>
      </c>
      <c r="AD31" s="145">
        <f t="shared" si="23"/>
        <v>2.34</v>
      </c>
      <c r="AE31" s="145">
        <f t="shared" si="23"/>
        <v>2.34</v>
      </c>
      <c r="AF31" s="145">
        <f t="shared" si="23"/>
        <v>2.34</v>
      </c>
      <c r="AG31" s="145">
        <f t="shared" si="23"/>
        <v>2.34</v>
      </c>
      <c r="AH31" s="145">
        <f t="shared" si="23"/>
        <v>2.34</v>
      </c>
      <c r="AI31" s="145">
        <f t="shared" si="23"/>
        <v>2.34</v>
      </c>
      <c r="AJ31" s="145">
        <f t="shared" si="23"/>
        <v>2.34</v>
      </c>
      <c r="AM31" s="342"/>
      <c r="AN31" s="385"/>
      <c r="AO31" s="385"/>
      <c r="AP31" s="385"/>
      <c r="AQ31" s="385"/>
      <c r="AR31" s="385"/>
    </row>
    <row r="32" spans="1:44" ht="18" x14ac:dyDescent="0.25">
      <c r="A32" s="46" t="s">
        <v>37</v>
      </c>
      <c r="B32" s="46" t="s">
        <v>119</v>
      </c>
      <c r="C32" s="46" t="s">
        <v>118</v>
      </c>
      <c r="D32" s="46" t="s">
        <v>22</v>
      </c>
      <c r="E32" s="46" t="s">
        <v>111</v>
      </c>
      <c r="F32" s="341" t="s">
        <v>180</v>
      </c>
      <c r="G32" s="394"/>
      <c r="H32" s="391">
        <v>1</v>
      </c>
      <c r="I32" s="108">
        <f>$H$32</f>
        <v>1</v>
      </c>
      <c r="J32" s="108">
        <f t="shared" ref="J32:AJ32" si="24">$H$32</f>
        <v>1</v>
      </c>
      <c r="K32" s="108">
        <f t="shared" si="24"/>
        <v>1</v>
      </c>
      <c r="L32" s="108">
        <f t="shared" si="24"/>
        <v>1</v>
      </c>
      <c r="M32" s="108">
        <f t="shared" si="24"/>
        <v>1</v>
      </c>
      <c r="N32" s="108">
        <f t="shared" si="24"/>
        <v>1</v>
      </c>
      <c r="O32" s="108">
        <f t="shared" si="24"/>
        <v>1</v>
      </c>
      <c r="P32" s="108">
        <f t="shared" si="24"/>
        <v>1</v>
      </c>
      <c r="Q32" s="108">
        <f t="shared" si="24"/>
        <v>1</v>
      </c>
      <c r="R32" s="108">
        <f t="shared" si="24"/>
        <v>1</v>
      </c>
      <c r="S32" s="108">
        <f t="shared" si="24"/>
        <v>1</v>
      </c>
      <c r="T32" s="108">
        <f t="shared" si="24"/>
        <v>1</v>
      </c>
      <c r="U32" s="108">
        <f t="shared" si="24"/>
        <v>1</v>
      </c>
      <c r="V32" s="108">
        <f t="shared" si="24"/>
        <v>1</v>
      </c>
      <c r="W32" s="108">
        <f t="shared" si="24"/>
        <v>1</v>
      </c>
      <c r="X32" s="108">
        <f t="shared" si="24"/>
        <v>1</v>
      </c>
      <c r="Y32" s="108">
        <f t="shared" si="24"/>
        <v>1</v>
      </c>
      <c r="Z32" s="108">
        <f t="shared" si="24"/>
        <v>1</v>
      </c>
      <c r="AA32" s="108">
        <f t="shared" si="24"/>
        <v>1</v>
      </c>
      <c r="AB32" s="108">
        <f t="shared" si="24"/>
        <v>1</v>
      </c>
      <c r="AC32" s="108">
        <f t="shared" si="24"/>
        <v>1</v>
      </c>
      <c r="AD32" s="108">
        <f t="shared" si="24"/>
        <v>1</v>
      </c>
      <c r="AE32" s="108">
        <f t="shared" si="24"/>
        <v>1</v>
      </c>
      <c r="AF32" s="108">
        <f t="shared" si="24"/>
        <v>1</v>
      </c>
      <c r="AG32" s="108">
        <f t="shared" si="24"/>
        <v>1</v>
      </c>
      <c r="AH32" s="108">
        <f t="shared" si="24"/>
        <v>1</v>
      </c>
      <c r="AI32" s="108">
        <f t="shared" si="24"/>
        <v>1</v>
      </c>
      <c r="AJ32" s="108">
        <f t="shared" si="24"/>
        <v>1</v>
      </c>
      <c r="AK32" s="342"/>
      <c r="AL32" s="342"/>
      <c r="AM32" s="342"/>
    </row>
    <row r="33" spans="1:40" ht="18" x14ac:dyDescent="0.25">
      <c r="A33" s="46" t="s">
        <v>37</v>
      </c>
      <c r="B33" s="46" t="s">
        <v>119</v>
      </c>
      <c r="C33" s="46" t="s">
        <v>118</v>
      </c>
      <c r="D33" s="46" t="s">
        <v>115</v>
      </c>
      <c r="E33" s="46" t="s">
        <v>368</v>
      </c>
      <c r="F33" s="341" t="s">
        <v>180</v>
      </c>
      <c r="G33" s="341" t="s">
        <v>214</v>
      </c>
      <c r="H33" s="387">
        <v>0.45100000000000001</v>
      </c>
      <c r="I33" s="108">
        <f>$H$33*I46</f>
        <v>0.54120000000000001</v>
      </c>
      <c r="J33" s="108">
        <f t="shared" ref="J33:AJ33" si="25">$H$33*J46</f>
        <v>0.54120000000000001</v>
      </c>
      <c r="K33" s="108">
        <f t="shared" si="25"/>
        <v>0.54120000000000001</v>
      </c>
      <c r="L33" s="108">
        <f t="shared" si="25"/>
        <v>0.54120000000000001</v>
      </c>
      <c r="M33" s="108">
        <f t="shared" si="25"/>
        <v>0.54120000000000001</v>
      </c>
      <c r="N33" s="108">
        <f t="shared" si="25"/>
        <v>0.54120000000000001</v>
      </c>
      <c r="O33" s="108">
        <f t="shared" si="25"/>
        <v>0.45100000000000001</v>
      </c>
      <c r="P33" s="108">
        <f t="shared" si="25"/>
        <v>0.54120000000000001</v>
      </c>
      <c r="Q33" s="108">
        <f t="shared" si="25"/>
        <v>0.48391535544046005</v>
      </c>
      <c r="R33" s="108">
        <f t="shared" si="25"/>
        <v>0.54120000000000001</v>
      </c>
      <c r="S33" s="108">
        <f t="shared" si="25"/>
        <v>0.54120000000000001</v>
      </c>
      <c r="T33" s="108">
        <f t="shared" si="25"/>
        <v>0.54120000000000001</v>
      </c>
      <c r="U33" s="108">
        <f t="shared" si="25"/>
        <v>0.54120000000000001</v>
      </c>
      <c r="V33" s="108">
        <f t="shared" si="25"/>
        <v>0.54120000000000001</v>
      </c>
      <c r="W33" s="108">
        <f t="shared" si="25"/>
        <v>0.54120000000000001</v>
      </c>
      <c r="X33" s="108">
        <f t="shared" si="25"/>
        <v>0.54120000000000001</v>
      </c>
      <c r="Y33" s="108">
        <f t="shared" si="25"/>
        <v>0.54120000000000001</v>
      </c>
      <c r="Z33" s="108">
        <f t="shared" si="25"/>
        <v>0.54120000000000001</v>
      </c>
      <c r="AA33" s="108">
        <f t="shared" si="25"/>
        <v>0.54120000000000001</v>
      </c>
      <c r="AB33" s="108">
        <f t="shared" si="25"/>
        <v>0.54120000000000001</v>
      </c>
      <c r="AC33" s="108">
        <f t="shared" si="25"/>
        <v>0.54120000000000001</v>
      </c>
      <c r="AD33" s="108">
        <f t="shared" si="25"/>
        <v>0.54120000000000001</v>
      </c>
      <c r="AE33" s="108">
        <f t="shared" si="25"/>
        <v>0.54120000000000001</v>
      </c>
      <c r="AF33" s="108">
        <f t="shared" si="25"/>
        <v>0.54120000000000001</v>
      </c>
      <c r="AG33" s="108">
        <f t="shared" si="25"/>
        <v>0.54120000000000001</v>
      </c>
      <c r="AH33" s="108">
        <f t="shared" si="25"/>
        <v>0.54120000000000001</v>
      </c>
      <c r="AI33" s="108">
        <f t="shared" si="25"/>
        <v>0.54120000000000001</v>
      </c>
      <c r="AJ33" s="108">
        <f t="shared" si="25"/>
        <v>0.54120000000000001</v>
      </c>
      <c r="AK33" s="342"/>
      <c r="AL33" s="342"/>
      <c r="AM33" s="342"/>
    </row>
    <row r="34" spans="1:40" ht="18" x14ac:dyDescent="0.25">
      <c r="A34" s="46" t="s">
        <v>37</v>
      </c>
      <c r="B34" s="46" t="s">
        <v>119</v>
      </c>
      <c r="C34" s="46" t="s">
        <v>118</v>
      </c>
      <c r="D34" s="46" t="s">
        <v>19</v>
      </c>
      <c r="E34" s="46" t="s">
        <v>105</v>
      </c>
      <c r="F34" s="341" t="s">
        <v>180</v>
      </c>
      <c r="G34" s="382" t="s">
        <v>412</v>
      </c>
      <c r="H34" s="387">
        <v>0.79</v>
      </c>
      <c r="I34" s="108">
        <f>$H$34*I46</f>
        <v>0.94799999999999995</v>
      </c>
      <c r="J34" s="108">
        <f t="shared" ref="J34:AJ34" si="26">$H$34*J46</f>
        <v>0.94799999999999995</v>
      </c>
      <c r="K34" s="108">
        <f t="shared" si="26"/>
        <v>0.94799999999999995</v>
      </c>
      <c r="L34" s="108">
        <f t="shared" si="26"/>
        <v>0.94799999999999995</v>
      </c>
      <c r="M34" s="108">
        <f t="shared" si="26"/>
        <v>0.94799999999999995</v>
      </c>
      <c r="N34" s="108">
        <f t="shared" si="26"/>
        <v>0.94799999999999995</v>
      </c>
      <c r="O34" s="108">
        <f t="shared" si="26"/>
        <v>0.79</v>
      </c>
      <c r="P34" s="108">
        <f t="shared" si="26"/>
        <v>0.94799999999999995</v>
      </c>
      <c r="Q34" s="108">
        <f t="shared" si="26"/>
        <v>0.84765660930812292</v>
      </c>
      <c r="R34" s="108">
        <f t="shared" si="26"/>
        <v>0.94799999999999995</v>
      </c>
      <c r="S34" s="108">
        <f t="shared" si="26"/>
        <v>0.94799999999999995</v>
      </c>
      <c r="T34" s="108">
        <f t="shared" si="26"/>
        <v>0.94799999999999995</v>
      </c>
      <c r="U34" s="108">
        <f t="shared" si="26"/>
        <v>0.94799999999999995</v>
      </c>
      <c r="V34" s="108">
        <f t="shared" si="26"/>
        <v>0.94799999999999995</v>
      </c>
      <c r="W34" s="108">
        <f t="shared" si="26"/>
        <v>0.94799999999999995</v>
      </c>
      <c r="X34" s="108">
        <f t="shared" si="26"/>
        <v>0.94799999999999995</v>
      </c>
      <c r="Y34" s="108">
        <f t="shared" si="26"/>
        <v>0.94799999999999995</v>
      </c>
      <c r="Z34" s="108">
        <f t="shared" si="26"/>
        <v>0.94799999999999995</v>
      </c>
      <c r="AA34" s="108">
        <f t="shared" si="26"/>
        <v>0.94799999999999995</v>
      </c>
      <c r="AB34" s="108">
        <f t="shared" si="26"/>
        <v>0.94799999999999995</v>
      </c>
      <c r="AC34" s="108">
        <f t="shared" si="26"/>
        <v>0.94799999999999995</v>
      </c>
      <c r="AD34" s="108">
        <f t="shared" si="26"/>
        <v>0.94799999999999995</v>
      </c>
      <c r="AE34" s="108">
        <f t="shared" si="26"/>
        <v>0.94799999999999995</v>
      </c>
      <c r="AF34" s="108">
        <f t="shared" si="26"/>
        <v>0.94799999999999995</v>
      </c>
      <c r="AG34" s="108">
        <f t="shared" si="26"/>
        <v>0.94799999999999995</v>
      </c>
      <c r="AH34" s="108">
        <f t="shared" si="26"/>
        <v>0.94799999999999995</v>
      </c>
      <c r="AI34" s="108">
        <f t="shared" si="26"/>
        <v>0.94799999999999995</v>
      </c>
      <c r="AJ34" s="108">
        <f t="shared" si="26"/>
        <v>0.94799999999999995</v>
      </c>
      <c r="AK34" s="342"/>
      <c r="AL34" s="342"/>
      <c r="AM34" s="342"/>
    </row>
    <row r="35" spans="1:40" ht="18" x14ac:dyDescent="0.25">
      <c r="A35" s="46" t="s">
        <v>37</v>
      </c>
      <c r="B35" s="46" t="s">
        <v>119</v>
      </c>
      <c r="C35" s="46" t="s">
        <v>118</v>
      </c>
      <c r="D35" s="46" t="s">
        <v>476</v>
      </c>
      <c r="E35" s="46" t="s">
        <v>482</v>
      </c>
      <c r="F35" s="341" t="s">
        <v>180</v>
      </c>
      <c r="G35" s="382" t="s">
        <v>412</v>
      </c>
      <c r="H35" s="387">
        <v>0.42</v>
      </c>
      <c r="I35" s="108">
        <f>$H$35*I46</f>
        <v>0.504</v>
      </c>
      <c r="J35" s="108">
        <f t="shared" ref="J35:AJ35" si="27">$H$35*J46</f>
        <v>0.504</v>
      </c>
      <c r="K35" s="108">
        <f t="shared" si="27"/>
        <v>0.504</v>
      </c>
      <c r="L35" s="108">
        <f t="shared" si="27"/>
        <v>0.504</v>
      </c>
      <c r="M35" s="108">
        <f t="shared" si="27"/>
        <v>0.504</v>
      </c>
      <c r="N35" s="108">
        <f t="shared" si="27"/>
        <v>0.504</v>
      </c>
      <c r="O35" s="108">
        <f t="shared" si="27"/>
        <v>0.42</v>
      </c>
      <c r="P35" s="108">
        <f t="shared" si="27"/>
        <v>0.504</v>
      </c>
      <c r="Q35" s="108">
        <f t="shared" si="27"/>
        <v>0.45065288089798938</v>
      </c>
      <c r="R35" s="108">
        <f t="shared" si="27"/>
        <v>0.504</v>
      </c>
      <c r="S35" s="108">
        <f t="shared" si="27"/>
        <v>0.504</v>
      </c>
      <c r="T35" s="108">
        <f t="shared" si="27"/>
        <v>0.504</v>
      </c>
      <c r="U35" s="108">
        <f t="shared" si="27"/>
        <v>0.504</v>
      </c>
      <c r="V35" s="108">
        <f t="shared" si="27"/>
        <v>0.504</v>
      </c>
      <c r="W35" s="108">
        <f t="shared" si="27"/>
        <v>0.504</v>
      </c>
      <c r="X35" s="108">
        <f t="shared" si="27"/>
        <v>0.504</v>
      </c>
      <c r="Y35" s="108">
        <f t="shared" si="27"/>
        <v>0.504</v>
      </c>
      <c r="Z35" s="108">
        <f t="shared" si="27"/>
        <v>0.504</v>
      </c>
      <c r="AA35" s="108">
        <f t="shared" si="27"/>
        <v>0.504</v>
      </c>
      <c r="AB35" s="108">
        <f t="shared" si="27"/>
        <v>0.504</v>
      </c>
      <c r="AC35" s="108">
        <f t="shared" si="27"/>
        <v>0.504</v>
      </c>
      <c r="AD35" s="108">
        <f t="shared" si="27"/>
        <v>0.504</v>
      </c>
      <c r="AE35" s="108">
        <f t="shared" si="27"/>
        <v>0.504</v>
      </c>
      <c r="AF35" s="108">
        <f t="shared" si="27"/>
        <v>0.504</v>
      </c>
      <c r="AG35" s="108">
        <f t="shared" si="27"/>
        <v>0.504</v>
      </c>
      <c r="AH35" s="108">
        <f t="shared" si="27"/>
        <v>0.504</v>
      </c>
      <c r="AI35" s="108">
        <f t="shared" si="27"/>
        <v>0.504</v>
      </c>
      <c r="AJ35" s="108">
        <f t="shared" si="27"/>
        <v>0.504</v>
      </c>
      <c r="AK35" s="342"/>
      <c r="AL35" s="342"/>
      <c r="AM35" s="342"/>
    </row>
    <row r="36" spans="1:40" ht="18" x14ac:dyDescent="0.25">
      <c r="A36" s="46" t="s">
        <v>37</v>
      </c>
      <c r="B36" s="46" t="s">
        <v>119</v>
      </c>
      <c r="C36" s="46" t="s">
        <v>118</v>
      </c>
      <c r="D36" s="46" t="s">
        <v>0</v>
      </c>
      <c r="E36" s="46" t="s">
        <v>109</v>
      </c>
      <c r="F36" s="341" t="s">
        <v>180</v>
      </c>
      <c r="G36" s="341" t="s">
        <v>214</v>
      </c>
      <c r="H36" s="387">
        <v>0.60399999999999998</v>
      </c>
      <c r="I36" s="108">
        <f>$H$36*I46</f>
        <v>0.7248</v>
      </c>
      <c r="J36" s="108">
        <f t="shared" ref="J36:AJ36" si="28">$H$36*J46</f>
        <v>0.7248</v>
      </c>
      <c r="K36" s="108">
        <f t="shared" si="28"/>
        <v>0.7248</v>
      </c>
      <c r="L36" s="108">
        <f t="shared" si="28"/>
        <v>0.7248</v>
      </c>
      <c r="M36" s="108">
        <f t="shared" si="28"/>
        <v>0.7248</v>
      </c>
      <c r="N36" s="108">
        <f t="shared" si="28"/>
        <v>0.7248</v>
      </c>
      <c r="O36" s="108">
        <f t="shared" si="28"/>
        <v>0.60399999999999998</v>
      </c>
      <c r="P36" s="108">
        <f t="shared" si="28"/>
        <v>0.7248</v>
      </c>
      <c r="Q36" s="108">
        <f t="shared" si="28"/>
        <v>0.64808176205329904</v>
      </c>
      <c r="R36" s="108">
        <f t="shared" si="28"/>
        <v>0.7248</v>
      </c>
      <c r="S36" s="108">
        <f t="shared" si="28"/>
        <v>0.7248</v>
      </c>
      <c r="T36" s="108">
        <f t="shared" si="28"/>
        <v>0.7248</v>
      </c>
      <c r="U36" s="108">
        <f t="shared" si="28"/>
        <v>0.7248</v>
      </c>
      <c r="V36" s="108">
        <f t="shared" si="28"/>
        <v>0.7248</v>
      </c>
      <c r="W36" s="108">
        <f t="shared" si="28"/>
        <v>0.7248</v>
      </c>
      <c r="X36" s="108">
        <f t="shared" si="28"/>
        <v>0.7248</v>
      </c>
      <c r="Y36" s="108">
        <f t="shared" si="28"/>
        <v>0.7248</v>
      </c>
      <c r="Z36" s="108">
        <f t="shared" si="28"/>
        <v>0.7248</v>
      </c>
      <c r="AA36" s="108">
        <f t="shared" si="28"/>
        <v>0.7248</v>
      </c>
      <c r="AB36" s="108">
        <f t="shared" si="28"/>
        <v>0.7248</v>
      </c>
      <c r="AC36" s="108">
        <f t="shared" si="28"/>
        <v>0.7248</v>
      </c>
      <c r="AD36" s="108">
        <f t="shared" si="28"/>
        <v>0.7248</v>
      </c>
      <c r="AE36" s="108">
        <f t="shared" si="28"/>
        <v>0.7248</v>
      </c>
      <c r="AF36" s="108">
        <f t="shared" si="28"/>
        <v>0.7248</v>
      </c>
      <c r="AG36" s="108">
        <f t="shared" si="28"/>
        <v>0.7248</v>
      </c>
      <c r="AH36" s="108">
        <f t="shared" si="28"/>
        <v>0.7248</v>
      </c>
      <c r="AI36" s="108">
        <f t="shared" si="28"/>
        <v>0.7248</v>
      </c>
      <c r="AJ36" s="108">
        <f t="shared" si="28"/>
        <v>0.7248</v>
      </c>
      <c r="AK36" s="342"/>
      <c r="AL36" s="342"/>
    </row>
    <row r="37" spans="1:40" ht="18" x14ac:dyDescent="0.25">
      <c r="A37" s="46" t="s">
        <v>37</v>
      </c>
      <c r="B37" s="46" t="s">
        <v>119</v>
      </c>
      <c r="C37" s="46" t="s">
        <v>118</v>
      </c>
      <c r="D37" s="46" t="s">
        <v>18</v>
      </c>
      <c r="E37" s="46" t="s">
        <v>104</v>
      </c>
      <c r="F37" s="341" t="s">
        <v>180</v>
      </c>
      <c r="G37" s="382" t="s">
        <v>412</v>
      </c>
      <c r="H37" s="387">
        <v>0.45100000000000001</v>
      </c>
      <c r="I37" s="108">
        <f>$H$37*I46</f>
        <v>0.54120000000000001</v>
      </c>
      <c r="J37" s="108">
        <f t="shared" ref="J37:AJ37" si="29">$H$37*J46</f>
        <v>0.54120000000000001</v>
      </c>
      <c r="K37" s="108">
        <f t="shared" si="29"/>
        <v>0.54120000000000001</v>
      </c>
      <c r="L37" s="108">
        <f t="shared" si="29"/>
        <v>0.54120000000000001</v>
      </c>
      <c r="M37" s="108">
        <f t="shared" si="29"/>
        <v>0.54120000000000001</v>
      </c>
      <c r="N37" s="108">
        <f t="shared" si="29"/>
        <v>0.54120000000000001</v>
      </c>
      <c r="O37" s="108">
        <f t="shared" si="29"/>
        <v>0.45100000000000001</v>
      </c>
      <c r="P37" s="108">
        <f t="shared" si="29"/>
        <v>0.54120000000000001</v>
      </c>
      <c r="Q37" s="108">
        <f t="shared" si="29"/>
        <v>0.48391535544046005</v>
      </c>
      <c r="R37" s="108">
        <f t="shared" si="29"/>
        <v>0.54120000000000001</v>
      </c>
      <c r="S37" s="108">
        <f t="shared" si="29"/>
        <v>0.54120000000000001</v>
      </c>
      <c r="T37" s="108">
        <f t="shared" si="29"/>
        <v>0.54120000000000001</v>
      </c>
      <c r="U37" s="108">
        <f t="shared" si="29"/>
        <v>0.54120000000000001</v>
      </c>
      <c r="V37" s="108">
        <f t="shared" si="29"/>
        <v>0.54120000000000001</v>
      </c>
      <c r="W37" s="108">
        <f t="shared" si="29"/>
        <v>0.54120000000000001</v>
      </c>
      <c r="X37" s="108">
        <f t="shared" si="29"/>
        <v>0.54120000000000001</v>
      </c>
      <c r="Y37" s="108">
        <f t="shared" si="29"/>
        <v>0.54120000000000001</v>
      </c>
      <c r="Z37" s="108">
        <f t="shared" si="29"/>
        <v>0.54120000000000001</v>
      </c>
      <c r="AA37" s="108">
        <f>$H$37*AA46</f>
        <v>0.54120000000000001</v>
      </c>
      <c r="AB37" s="108">
        <f t="shared" si="29"/>
        <v>0.54120000000000001</v>
      </c>
      <c r="AC37" s="108">
        <f t="shared" si="29"/>
        <v>0.54120000000000001</v>
      </c>
      <c r="AD37" s="108">
        <f t="shared" si="29"/>
        <v>0.54120000000000001</v>
      </c>
      <c r="AE37" s="108">
        <f t="shared" si="29"/>
        <v>0.54120000000000001</v>
      </c>
      <c r="AF37" s="108">
        <f t="shared" si="29"/>
        <v>0.54120000000000001</v>
      </c>
      <c r="AG37" s="108">
        <f t="shared" si="29"/>
        <v>0.54120000000000001</v>
      </c>
      <c r="AH37" s="108">
        <f t="shared" si="29"/>
        <v>0.54120000000000001</v>
      </c>
      <c r="AI37" s="108">
        <f t="shared" si="29"/>
        <v>0.54120000000000001</v>
      </c>
      <c r="AJ37" s="108">
        <f t="shared" si="29"/>
        <v>0.54120000000000001</v>
      </c>
      <c r="AK37" s="342"/>
      <c r="AL37" s="342"/>
    </row>
    <row r="38" spans="1:40" ht="18" x14ac:dyDescent="0.25">
      <c r="A38" s="46" t="s">
        <v>37</v>
      </c>
      <c r="B38" s="46" t="s">
        <v>119</v>
      </c>
      <c r="C38" s="46" t="s">
        <v>118</v>
      </c>
      <c r="D38" s="46" t="s">
        <v>474</v>
      </c>
      <c r="E38" s="46" t="s">
        <v>475</v>
      </c>
      <c r="F38" s="341" t="s">
        <v>180</v>
      </c>
      <c r="G38" s="341" t="s">
        <v>214</v>
      </c>
      <c r="H38" s="387">
        <v>0.60399999999999998</v>
      </c>
      <c r="I38" s="108">
        <f>$H$38*I46</f>
        <v>0.7248</v>
      </c>
      <c r="J38" s="108">
        <f t="shared" ref="J38:AJ38" si="30">$H$38*J46</f>
        <v>0.7248</v>
      </c>
      <c r="K38" s="108">
        <f t="shared" si="30"/>
        <v>0.7248</v>
      </c>
      <c r="L38" s="108">
        <f t="shared" si="30"/>
        <v>0.7248</v>
      </c>
      <c r="M38" s="108">
        <f t="shared" si="30"/>
        <v>0.7248</v>
      </c>
      <c r="N38" s="108">
        <f t="shared" si="30"/>
        <v>0.7248</v>
      </c>
      <c r="O38" s="108">
        <f t="shared" si="30"/>
        <v>0.60399999999999998</v>
      </c>
      <c r="P38" s="108">
        <f t="shared" si="30"/>
        <v>0.7248</v>
      </c>
      <c r="Q38" s="108">
        <f t="shared" si="30"/>
        <v>0.64808176205329904</v>
      </c>
      <c r="R38" s="108">
        <f t="shared" si="30"/>
        <v>0.7248</v>
      </c>
      <c r="S38" s="108">
        <f t="shared" si="30"/>
        <v>0.7248</v>
      </c>
      <c r="T38" s="108">
        <f t="shared" si="30"/>
        <v>0.7248</v>
      </c>
      <c r="U38" s="108">
        <f t="shared" si="30"/>
        <v>0.7248</v>
      </c>
      <c r="V38" s="108">
        <f t="shared" si="30"/>
        <v>0.7248</v>
      </c>
      <c r="W38" s="108">
        <f t="shared" si="30"/>
        <v>0.7248</v>
      </c>
      <c r="X38" s="108">
        <f t="shared" si="30"/>
        <v>0.7248</v>
      </c>
      <c r="Y38" s="108">
        <f t="shared" si="30"/>
        <v>0.7248</v>
      </c>
      <c r="Z38" s="108">
        <f t="shared" si="30"/>
        <v>0.7248</v>
      </c>
      <c r="AA38" s="108">
        <f t="shared" si="30"/>
        <v>0.7248</v>
      </c>
      <c r="AB38" s="108">
        <f t="shared" si="30"/>
        <v>0.7248</v>
      </c>
      <c r="AC38" s="108">
        <f t="shared" si="30"/>
        <v>0.7248</v>
      </c>
      <c r="AD38" s="108">
        <f t="shared" si="30"/>
        <v>0.7248</v>
      </c>
      <c r="AE38" s="108">
        <f t="shared" si="30"/>
        <v>0.7248</v>
      </c>
      <c r="AF38" s="108">
        <f t="shared" si="30"/>
        <v>0.7248</v>
      </c>
      <c r="AG38" s="108">
        <f t="shared" si="30"/>
        <v>0.7248</v>
      </c>
      <c r="AH38" s="108">
        <f t="shared" si="30"/>
        <v>0.7248</v>
      </c>
      <c r="AI38" s="108">
        <f t="shared" si="30"/>
        <v>0.7248</v>
      </c>
      <c r="AJ38" s="108">
        <f t="shared" si="30"/>
        <v>0.7248</v>
      </c>
      <c r="AK38" s="342"/>
      <c r="AL38" s="342"/>
      <c r="AM38" s="341"/>
    </row>
    <row r="39" spans="1:40" ht="18" x14ac:dyDescent="0.25">
      <c r="A39" s="46" t="s">
        <v>37</v>
      </c>
      <c r="B39" s="61" t="s">
        <v>94</v>
      </c>
      <c r="C39" s="61" t="s">
        <v>125</v>
      </c>
      <c r="D39" s="61" t="s">
        <v>19</v>
      </c>
      <c r="E39" s="61" t="s">
        <v>105</v>
      </c>
      <c r="F39" s="381" t="s">
        <v>373</v>
      </c>
      <c r="G39" s="381"/>
      <c r="H39" s="239">
        <f>1/0.04</f>
        <v>25</v>
      </c>
      <c r="I39" s="240">
        <f>$H$39</f>
        <v>25</v>
      </c>
      <c r="J39" s="240">
        <f t="shared" ref="J39:AJ39" si="31">$H$39</f>
        <v>25</v>
      </c>
      <c r="K39" s="240">
        <f t="shared" si="31"/>
        <v>25</v>
      </c>
      <c r="L39" s="240">
        <f t="shared" si="31"/>
        <v>25</v>
      </c>
      <c r="M39" s="240">
        <f t="shared" si="31"/>
        <v>25</v>
      </c>
      <c r="N39" s="240">
        <f t="shared" si="31"/>
        <v>25</v>
      </c>
      <c r="O39" s="240">
        <f t="shared" si="31"/>
        <v>25</v>
      </c>
      <c r="P39" s="240">
        <f t="shared" si="31"/>
        <v>25</v>
      </c>
      <c r="Q39" s="240">
        <f t="shared" si="31"/>
        <v>25</v>
      </c>
      <c r="R39" s="240">
        <f t="shared" si="31"/>
        <v>25</v>
      </c>
      <c r="S39" s="240">
        <f t="shared" si="31"/>
        <v>25</v>
      </c>
      <c r="T39" s="240">
        <f t="shared" si="31"/>
        <v>25</v>
      </c>
      <c r="U39" s="240">
        <f t="shared" si="31"/>
        <v>25</v>
      </c>
      <c r="V39" s="240">
        <f t="shared" si="31"/>
        <v>25</v>
      </c>
      <c r="W39" s="240">
        <f t="shared" si="31"/>
        <v>25</v>
      </c>
      <c r="X39" s="240">
        <f t="shared" si="31"/>
        <v>25</v>
      </c>
      <c r="Y39" s="240">
        <f t="shared" si="31"/>
        <v>25</v>
      </c>
      <c r="Z39" s="240">
        <f t="shared" si="31"/>
        <v>25</v>
      </c>
      <c r="AA39" s="240">
        <f t="shared" si="31"/>
        <v>25</v>
      </c>
      <c r="AB39" s="240">
        <f t="shared" si="31"/>
        <v>25</v>
      </c>
      <c r="AC39" s="240">
        <f t="shared" si="31"/>
        <v>25</v>
      </c>
      <c r="AD39" s="240">
        <f t="shared" si="31"/>
        <v>25</v>
      </c>
      <c r="AE39" s="240">
        <f t="shared" si="31"/>
        <v>25</v>
      </c>
      <c r="AF39" s="240">
        <f t="shared" si="31"/>
        <v>25</v>
      </c>
      <c r="AG39" s="240">
        <f t="shared" si="31"/>
        <v>25</v>
      </c>
      <c r="AH39" s="240">
        <f t="shared" si="31"/>
        <v>25</v>
      </c>
      <c r="AI39" s="240">
        <f t="shared" si="31"/>
        <v>25</v>
      </c>
      <c r="AJ39" s="240">
        <f t="shared" si="31"/>
        <v>25</v>
      </c>
      <c r="AK39" s="342"/>
      <c r="AL39" s="342"/>
    </row>
    <row r="40" spans="1:40" ht="18" x14ac:dyDescent="0.25">
      <c r="A40" s="46" t="s">
        <v>37</v>
      </c>
      <c r="B40" s="89" t="s">
        <v>148</v>
      </c>
      <c r="C40" s="89" t="s">
        <v>173</v>
      </c>
      <c r="D40" s="89" t="s">
        <v>19</v>
      </c>
      <c r="E40" s="89" t="s">
        <v>105</v>
      </c>
      <c r="F40" s="380" t="s">
        <v>180</v>
      </c>
      <c r="G40" s="380"/>
      <c r="H40" s="70">
        <v>1</v>
      </c>
      <c r="I40" s="395">
        <f>$H$40</f>
        <v>1</v>
      </c>
      <c r="J40" s="395">
        <f t="shared" ref="J40:AJ40" si="32">$H$40</f>
        <v>1</v>
      </c>
      <c r="K40" s="395">
        <f t="shared" si="32"/>
        <v>1</v>
      </c>
      <c r="L40" s="395">
        <f t="shared" si="32"/>
        <v>1</v>
      </c>
      <c r="M40" s="395">
        <f t="shared" si="32"/>
        <v>1</v>
      </c>
      <c r="N40" s="395">
        <f t="shared" si="32"/>
        <v>1</v>
      </c>
      <c r="O40" s="395">
        <f t="shared" si="32"/>
        <v>1</v>
      </c>
      <c r="P40" s="395">
        <f t="shared" si="32"/>
        <v>1</v>
      </c>
      <c r="Q40" s="395">
        <f t="shared" si="32"/>
        <v>1</v>
      </c>
      <c r="R40" s="395">
        <f t="shared" si="32"/>
        <v>1</v>
      </c>
      <c r="S40" s="395">
        <f t="shared" si="32"/>
        <v>1</v>
      </c>
      <c r="T40" s="395">
        <f t="shared" si="32"/>
        <v>1</v>
      </c>
      <c r="U40" s="395">
        <f t="shared" si="32"/>
        <v>1</v>
      </c>
      <c r="V40" s="395">
        <f t="shared" si="32"/>
        <v>1</v>
      </c>
      <c r="W40" s="395">
        <f t="shared" si="32"/>
        <v>1</v>
      </c>
      <c r="X40" s="395">
        <f t="shared" si="32"/>
        <v>1</v>
      </c>
      <c r="Y40" s="395">
        <f t="shared" si="32"/>
        <v>1</v>
      </c>
      <c r="Z40" s="395">
        <f t="shared" si="32"/>
        <v>1</v>
      </c>
      <c r="AA40" s="395">
        <f t="shared" si="32"/>
        <v>1</v>
      </c>
      <c r="AB40" s="395">
        <f t="shared" si="32"/>
        <v>1</v>
      </c>
      <c r="AC40" s="395">
        <f t="shared" si="32"/>
        <v>1</v>
      </c>
      <c r="AD40" s="395">
        <f t="shared" si="32"/>
        <v>1</v>
      </c>
      <c r="AE40" s="395">
        <f t="shared" si="32"/>
        <v>1</v>
      </c>
      <c r="AF40" s="395">
        <f t="shared" si="32"/>
        <v>1</v>
      </c>
      <c r="AG40" s="395">
        <f t="shared" si="32"/>
        <v>1</v>
      </c>
      <c r="AH40" s="395">
        <f t="shared" si="32"/>
        <v>1</v>
      </c>
      <c r="AI40" s="395">
        <f t="shared" si="32"/>
        <v>1</v>
      </c>
      <c r="AJ40" s="395">
        <f t="shared" si="32"/>
        <v>1</v>
      </c>
      <c r="AK40" s="342"/>
      <c r="AL40" s="342"/>
    </row>
    <row r="41" spans="1:40" ht="18" x14ac:dyDescent="0.25">
      <c r="A41" s="46" t="s">
        <v>37</v>
      </c>
      <c r="B41" s="61" t="s">
        <v>169</v>
      </c>
      <c r="C41" s="61" t="s">
        <v>120</v>
      </c>
      <c r="D41" s="61"/>
      <c r="E41" s="61"/>
      <c r="F41" s="381" t="s">
        <v>180</v>
      </c>
      <c r="G41" s="380"/>
      <c r="H41" s="70">
        <v>1</v>
      </c>
      <c r="I41" s="396">
        <f>$H$41</f>
        <v>1</v>
      </c>
      <c r="J41" s="396">
        <f t="shared" ref="J41:AJ41" si="33">$H$41</f>
        <v>1</v>
      </c>
      <c r="K41" s="396">
        <f t="shared" si="33"/>
        <v>1</v>
      </c>
      <c r="L41" s="396">
        <f t="shared" si="33"/>
        <v>1</v>
      </c>
      <c r="M41" s="396">
        <f t="shared" si="33"/>
        <v>1</v>
      </c>
      <c r="N41" s="396">
        <f t="shared" si="33"/>
        <v>1</v>
      </c>
      <c r="O41" s="396">
        <f t="shared" si="33"/>
        <v>1</v>
      </c>
      <c r="P41" s="396">
        <f t="shared" si="33"/>
        <v>1</v>
      </c>
      <c r="Q41" s="396">
        <f t="shared" si="33"/>
        <v>1</v>
      </c>
      <c r="R41" s="396">
        <f t="shared" si="33"/>
        <v>1</v>
      </c>
      <c r="S41" s="396">
        <f t="shared" si="33"/>
        <v>1</v>
      </c>
      <c r="T41" s="396">
        <f t="shared" si="33"/>
        <v>1</v>
      </c>
      <c r="U41" s="396">
        <f t="shared" si="33"/>
        <v>1</v>
      </c>
      <c r="V41" s="396">
        <f t="shared" si="33"/>
        <v>1</v>
      </c>
      <c r="W41" s="396">
        <f t="shared" si="33"/>
        <v>1</v>
      </c>
      <c r="X41" s="396">
        <f t="shared" si="33"/>
        <v>1</v>
      </c>
      <c r="Y41" s="396">
        <f t="shared" si="33"/>
        <v>1</v>
      </c>
      <c r="Z41" s="396">
        <f t="shared" si="33"/>
        <v>1</v>
      </c>
      <c r="AA41" s="396">
        <f t="shared" si="33"/>
        <v>1</v>
      </c>
      <c r="AB41" s="396">
        <f t="shared" si="33"/>
        <v>1</v>
      </c>
      <c r="AC41" s="396">
        <f t="shared" si="33"/>
        <v>1</v>
      </c>
      <c r="AD41" s="396">
        <f t="shared" si="33"/>
        <v>1</v>
      </c>
      <c r="AE41" s="396">
        <f t="shared" si="33"/>
        <v>1</v>
      </c>
      <c r="AF41" s="396">
        <f t="shared" si="33"/>
        <v>1</v>
      </c>
      <c r="AG41" s="396">
        <f t="shared" si="33"/>
        <v>1</v>
      </c>
      <c r="AH41" s="396">
        <f t="shared" si="33"/>
        <v>1</v>
      </c>
      <c r="AI41" s="396">
        <f t="shared" si="33"/>
        <v>1</v>
      </c>
      <c r="AJ41" s="396">
        <f t="shared" si="33"/>
        <v>1</v>
      </c>
      <c r="AK41" s="342"/>
      <c r="AL41" s="342"/>
    </row>
    <row r="42" spans="1:40" ht="15.75" x14ac:dyDescent="0.25">
      <c r="A42"/>
      <c r="B42" s="150"/>
      <c r="C42" s="150"/>
      <c r="D42" s="397" t="s">
        <v>294</v>
      </c>
      <c r="E42" s="150" t="s">
        <v>122</v>
      </c>
      <c r="F42" s="150"/>
      <c r="G42" s="150"/>
      <c r="H42" s="150"/>
      <c r="I42" s="398">
        <v>1</v>
      </c>
      <c r="J42" s="398">
        <v>1</v>
      </c>
      <c r="K42" s="398">
        <v>1</v>
      </c>
      <c r="L42" s="398">
        <v>1</v>
      </c>
      <c r="M42" s="398">
        <v>1</v>
      </c>
      <c r="N42" s="398">
        <v>1</v>
      </c>
      <c r="O42" s="398">
        <v>1</v>
      </c>
      <c r="P42" s="398">
        <v>1</v>
      </c>
      <c r="Q42" s="398">
        <v>1</v>
      </c>
      <c r="R42" s="398">
        <v>1</v>
      </c>
      <c r="S42" s="398">
        <v>1</v>
      </c>
      <c r="T42" s="398">
        <v>1</v>
      </c>
      <c r="U42" s="398">
        <v>1</v>
      </c>
      <c r="V42" s="398">
        <v>1</v>
      </c>
      <c r="W42" s="398">
        <v>1</v>
      </c>
      <c r="X42" s="398">
        <v>1</v>
      </c>
      <c r="Y42" s="398">
        <v>1</v>
      </c>
      <c r="Z42" s="398">
        <v>1</v>
      </c>
      <c r="AA42" s="398">
        <v>1</v>
      </c>
      <c r="AB42" s="398">
        <v>1</v>
      </c>
      <c r="AC42" s="398">
        <v>1</v>
      </c>
      <c r="AD42" s="398">
        <v>1</v>
      </c>
      <c r="AE42" s="398">
        <v>1</v>
      </c>
      <c r="AF42" s="398">
        <v>1</v>
      </c>
      <c r="AG42" s="398">
        <v>1</v>
      </c>
      <c r="AH42" s="398">
        <v>1</v>
      </c>
      <c r="AI42" s="398">
        <v>1</v>
      </c>
      <c r="AJ42" s="398">
        <v>1</v>
      </c>
      <c r="AK42" s="342"/>
      <c r="AL42" s="342"/>
    </row>
    <row r="43" spans="1:40" x14ac:dyDescent="0.25">
      <c r="A43" s="46"/>
      <c r="B43" s="150"/>
      <c r="C43" s="150"/>
      <c r="D43" s="397" t="s">
        <v>294</v>
      </c>
      <c r="E43" s="150" t="s">
        <v>278</v>
      </c>
      <c r="F43" s="150"/>
      <c r="G43" s="150"/>
      <c r="H43" s="150"/>
      <c r="I43" s="505">
        <v>1.1200000000000001</v>
      </c>
      <c r="J43" s="398">
        <v>1.1200000000000001</v>
      </c>
      <c r="K43" s="398">
        <v>1.1200000000000001</v>
      </c>
      <c r="L43" s="398">
        <v>1.1200000000000001</v>
      </c>
      <c r="M43" s="399">
        <v>1</v>
      </c>
      <c r="N43" s="399">
        <v>0.83</v>
      </c>
      <c r="O43" s="399">
        <v>0.83</v>
      </c>
      <c r="P43" s="399">
        <v>1</v>
      </c>
      <c r="Q43" s="399">
        <v>1.1200000000000001</v>
      </c>
      <c r="R43" s="399">
        <v>1</v>
      </c>
      <c r="S43" s="399">
        <v>1.1200000000000001</v>
      </c>
      <c r="T43" s="399">
        <v>0.83</v>
      </c>
      <c r="U43" s="399">
        <v>1.1200000000000001</v>
      </c>
      <c r="V43" s="399">
        <v>1.1200000000000001</v>
      </c>
      <c r="W43" s="399">
        <v>1.1200000000000001</v>
      </c>
      <c r="X43" s="399">
        <v>0.83</v>
      </c>
      <c r="Y43" s="399">
        <v>0.83</v>
      </c>
      <c r="Z43" s="399">
        <v>0.83</v>
      </c>
      <c r="AA43" s="399">
        <v>1</v>
      </c>
      <c r="AB43" s="398">
        <v>1</v>
      </c>
      <c r="AC43" s="399">
        <v>1.1200000000000001</v>
      </c>
      <c r="AD43" s="399">
        <v>1.1200000000000001</v>
      </c>
      <c r="AE43" s="399">
        <v>1.1200000000000001</v>
      </c>
      <c r="AF43" s="399">
        <v>1.1200000000000001</v>
      </c>
      <c r="AG43" s="398">
        <v>1.1200000000000001</v>
      </c>
      <c r="AH43" s="399">
        <v>1.1200000000000001</v>
      </c>
      <c r="AI43" s="398">
        <v>0.83</v>
      </c>
      <c r="AJ43" s="399">
        <v>0.83</v>
      </c>
      <c r="AK43" s="342"/>
      <c r="AL43" s="342"/>
    </row>
    <row r="44" spans="1:40" x14ac:dyDescent="0.25">
      <c r="A44" s="46"/>
      <c r="B44" s="150"/>
      <c r="C44" s="150"/>
      <c r="D44" s="397" t="s">
        <v>294</v>
      </c>
      <c r="E44" s="400" t="s">
        <v>277</v>
      </c>
      <c r="F44" s="150"/>
      <c r="G44" s="150"/>
      <c r="H44" s="401" t="s">
        <v>275</v>
      </c>
      <c r="I44" s="199">
        <v>0.1</v>
      </c>
      <c r="J44" s="199">
        <v>0.1</v>
      </c>
      <c r="K44" s="199">
        <v>0.1</v>
      </c>
      <c r="L44" s="199">
        <v>0.1</v>
      </c>
      <c r="M44" s="199">
        <v>0.1</v>
      </c>
      <c r="N44" s="199">
        <v>0.1</v>
      </c>
      <c r="O44" s="199">
        <v>0.1</v>
      </c>
      <c r="P44" s="199">
        <v>0.1</v>
      </c>
      <c r="Q44" s="199">
        <v>0.1</v>
      </c>
      <c r="R44" s="199">
        <v>0.1</v>
      </c>
      <c r="S44" s="199">
        <v>0.1</v>
      </c>
      <c r="T44" s="199">
        <v>0.1</v>
      </c>
      <c r="U44" s="199">
        <v>0.1</v>
      </c>
      <c r="V44" s="199">
        <v>0.1</v>
      </c>
      <c r="W44" s="199">
        <v>0.1</v>
      </c>
      <c r="X44" s="199">
        <v>0.1</v>
      </c>
      <c r="Y44" s="199">
        <v>0.1</v>
      </c>
      <c r="Z44" s="199">
        <v>0.1</v>
      </c>
      <c r="AA44" s="199">
        <v>0.1</v>
      </c>
      <c r="AB44" s="199">
        <v>0.1</v>
      </c>
      <c r="AC44" s="199">
        <v>0.1</v>
      </c>
      <c r="AD44" s="199">
        <v>0.1</v>
      </c>
      <c r="AE44" s="199">
        <v>0.1</v>
      </c>
      <c r="AF44" s="199">
        <v>0.1</v>
      </c>
      <c r="AG44" s="199">
        <v>0.1</v>
      </c>
      <c r="AH44" s="199">
        <v>0.1</v>
      </c>
      <c r="AI44" s="199">
        <v>0.1</v>
      </c>
      <c r="AJ44" s="199">
        <v>0.1</v>
      </c>
      <c r="AK44" s="342"/>
      <c r="AL44" s="342"/>
      <c r="AN44" s="400"/>
    </row>
    <row r="45" spans="1:40" x14ac:dyDescent="0.25">
      <c r="A45" s="46"/>
      <c r="B45" s="150"/>
      <c r="C45" s="150"/>
      <c r="D45" s="397" t="s">
        <v>294</v>
      </c>
      <c r="E45" s="150" t="s">
        <v>124</v>
      </c>
      <c r="F45" s="150"/>
      <c r="G45" s="150"/>
      <c r="H45" s="150"/>
      <c r="I45" s="398">
        <v>1</v>
      </c>
      <c r="J45" s="398">
        <v>1</v>
      </c>
      <c r="K45" s="398">
        <v>1</v>
      </c>
      <c r="L45" s="398">
        <v>1</v>
      </c>
      <c r="M45" s="399">
        <v>1</v>
      </c>
      <c r="N45" s="399">
        <v>1</v>
      </c>
      <c r="O45" s="399">
        <v>1</v>
      </c>
      <c r="P45" s="399">
        <v>1</v>
      </c>
      <c r="Q45" s="399">
        <v>1</v>
      </c>
      <c r="R45" s="399">
        <v>1</v>
      </c>
      <c r="S45" s="399">
        <v>1</v>
      </c>
      <c r="T45" s="399">
        <v>1</v>
      </c>
      <c r="U45" s="399">
        <v>1</v>
      </c>
      <c r="V45" s="399">
        <v>1</v>
      </c>
      <c r="W45" s="399">
        <v>1</v>
      </c>
      <c r="X45" s="399">
        <v>1</v>
      </c>
      <c r="Y45" s="399">
        <v>1</v>
      </c>
      <c r="Z45" s="399">
        <v>1</v>
      </c>
      <c r="AA45" s="399">
        <v>1</v>
      </c>
      <c r="AB45" s="398">
        <v>1</v>
      </c>
      <c r="AC45" s="399">
        <v>1</v>
      </c>
      <c r="AD45" s="399">
        <v>1</v>
      </c>
      <c r="AE45" s="399">
        <v>1</v>
      </c>
      <c r="AF45" s="399">
        <v>1</v>
      </c>
      <c r="AG45" s="398">
        <v>1</v>
      </c>
      <c r="AH45" s="399">
        <v>1</v>
      </c>
      <c r="AI45" s="398">
        <v>1</v>
      </c>
      <c r="AJ45" s="399">
        <v>1</v>
      </c>
      <c r="AK45" s="342"/>
      <c r="AL45" s="342"/>
      <c r="AN45" s="400"/>
    </row>
    <row r="46" spans="1:40" x14ac:dyDescent="0.25">
      <c r="A46" s="46"/>
      <c r="B46" s="151"/>
      <c r="C46" s="151"/>
      <c r="D46" s="402" t="s">
        <v>294</v>
      </c>
      <c r="E46" s="153" t="s">
        <v>119</v>
      </c>
      <c r="F46" s="151"/>
      <c r="G46" s="151"/>
      <c r="H46" s="151"/>
      <c r="I46" s="403">
        <v>1.2</v>
      </c>
      <c r="J46" s="403">
        <v>1.2</v>
      </c>
      <c r="K46" s="403">
        <v>1.2</v>
      </c>
      <c r="L46" s="403">
        <v>1.2</v>
      </c>
      <c r="M46" s="404">
        <v>1.2</v>
      </c>
      <c r="N46" s="404">
        <v>1.2</v>
      </c>
      <c r="O46" s="404">
        <v>1</v>
      </c>
      <c r="P46" s="404">
        <v>1.2</v>
      </c>
      <c r="Q46" s="404">
        <v>1.0729830497571176</v>
      </c>
      <c r="R46" s="404">
        <v>1.2</v>
      </c>
      <c r="S46" s="404">
        <v>1.2</v>
      </c>
      <c r="T46" s="404">
        <v>1.2</v>
      </c>
      <c r="U46" s="404">
        <v>1.2</v>
      </c>
      <c r="V46" s="404">
        <v>1.2</v>
      </c>
      <c r="W46" s="404">
        <v>1.2</v>
      </c>
      <c r="X46" s="404">
        <v>1.2</v>
      </c>
      <c r="Y46" s="404">
        <v>1.2</v>
      </c>
      <c r="Z46" s="404">
        <v>1.2</v>
      </c>
      <c r="AA46" s="404">
        <v>1.2</v>
      </c>
      <c r="AB46" s="403">
        <v>1.2</v>
      </c>
      <c r="AC46" s="404">
        <v>1.2</v>
      </c>
      <c r="AD46" s="404">
        <v>1.2</v>
      </c>
      <c r="AE46" s="404">
        <v>1.2</v>
      </c>
      <c r="AF46" s="404">
        <v>1.2</v>
      </c>
      <c r="AG46" s="403">
        <v>1.2</v>
      </c>
      <c r="AH46" s="404">
        <v>1.2</v>
      </c>
      <c r="AI46" s="403">
        <v>1.2</v>
      </c>
      <c r="AJ46" s="404">
        <v>1.2</v>
      </c>
      <c r="AK46" s="342"/>
      <c r="AL46" s="342"/>
      <c r="AN46" s="400"/>
    </row>
    <row r="47" spans="1:40" x14ac:dyDescent="0.25">
      <c r="A47" s="46"/>
      <c r="G47" s="46"/>
      <c r="AK47" s="342"/>
      <c r="AN47" s="400"/>
    </row>
    <row r="48" spans="1:40" x14ac:dyDescent="0.25">
      <c r="G48" s="46"/>
      <c r="AN48" s="400"/>
    </row>
    <row r="49" spans="1:74" x14ac:dyDescent="0.25">
      <c r="A49" s="46"/>
      <c r="G49" s="46"/>
      <c r="AL49" s="341"/>
    </row>
    <row r="50" spans="1:74" ht="15.75" x14ac:dyDescent="0.25">
      <c r="A50" s="342"/>
      <c r="B50" s="342"/>
      <c r="C50" s="342"/>
      <c r="D50" s="342"/>
      <c r="E50" s="342"/>
      <c r="F50" s="342"/>
      <c r="G50" s="46"/>
      <c r="I50" s="342"/>
      <c r="J50" s="342"/>
      <c r="K50" s="342"/>
      <c r="L50" s="342"/>
      <c r="M50" s="342"/>
      <c r="N50" s="342"/>
      <c r="O50" s="342"/>
      <c r="P50" s="342"/>
      <c r="Q50" s="342"/>
      <c r="R50" s="342"/>
      <c r="S50" s="342"/>
      <c r="T50" s="342"/>
      <c r="U50" s="342"/>
      <c r="V50" s="342"/>
      <c r="W50" s="342"/>
      <c r="X50" s="342"/>
      <c r="Y50" s="342"/>
      <c r="Z50" s="342"/>
      <c r="AA50" s="342"/>
      <c r="AB50" s="342"/>
      <c r="AC50" s="342"/>
      <c r="AD50" s="342"/>
      <c r="AE50" s="342"/>
      <c r="AF50" s="342"/>
      <c r="AG50" s="342"/>
      <c r="AH50" s="342"/>
      <c r="AI50" s="342"/>
      <c r="AJ50" s="342"/>
      <c r="AK50" s="342"/>
      <c r="AN50"/>
    </row>
    <row r="51" spans="1:74" x14ac:dyDescent="0.25">
      <c r="A51" s="342"/>
      <c r="B51" s="342"/>
      <c r="C51" s="342"/>
      <c r="D51" s="342"/>
      <c r="E51" s="342"/>
      <c r="F51" s="342"/>
      <c r="G51" s="46"/>
      <c r="I51" s="342"/>
      <c r="J51" s="342"/>
      <c r="K51" s="342"/>
      <c r="L51" s="342"/>
      <c r="M51" s="342"/>
      <c r="N51" s="342"/>
      <c r="O51" s="342"/>
      <c r="P51" s="342"/>
      <c r="Q51" s="342"/>
      <c r="R51" s="342"/>
      <c r="S51" s="342"/>
      <c r="T51" s="342"/>
      <c r="U51" s="342"/>
      <c r="V51" s="342"/>
      <c r="W51" s="342"/>
      <c r="X51" s="342"/>
      <c r="Y51" s="342"/>
      <c r="Z51" s="342"/>
      <c r="AA51" s="342"/>
      <c r="AB51" s="342"/>
      <c r="AC51" s="342"/>
      <c r="AD51" s="342"/>
      <c r="AE51" s="342"/>
      <c r="AF51" s="342"/>
      <c r="AG51" s="342"/>
      <c r="AH51" s="342"/>
      <c r="AI51" s="342"/>
      <c r="AJ51" s="342"/>
      <c r="AK51" s="342"/>
    </row>
    <row r="52" spans="1:74" x14ac:dyDescent="0.25">
      <c r="A52" s="342"/>
      <c r="B52" s="342"/>
      <c r="C52" s="342"/>
      <c r="D52" s="342"/>
      <c r="E52" s="342"/>
      <c r="F52" s="342"/>
      <c r="G52" s="46"/>
      <c r="I52" s="342"/>
      <c r="J52" s="342"/>
      <c r="K52" s="342"/>
      <c r="L52" s="342"/>
      <c r="M52" s="342"/>
      <c r="N52" s="342"/>
      <c r="O52" s="342"/>
      <c r="P52" s="342"/>
      <c r="Q52" s="342"/>
      <c r="R52" s="342"/>
      <c r="S52" s="342"/>
      <c r="T52" s="342"/>
      <c r="U52" s="342"/>
      <c r="V52" s="342"/>
      <c r="W52" s="342"/>
      <c r="X52" s="342"/>
      <c r="Y52" s="342"/>
      <c r="Z52" s="342"/>
      <c r="AA52" s="342"/>
      <c r="AB52" s="342"/>
      <c r="AC52" s="342"/>
      <c r="AD52" s="342"/>
      <c r="AE52" s="342"/>
      <c r="AF52" s="342"/>
      <c r="AG52" s="342"/>
      <c r="AH52" s="342"/>
      <c r="AI52" s="342"/>
      <c r="AJ52" s="342"/>
      <c r="AK52" s="342"/>
    </row>
    <row r="53" spans="1:74" x14ac:dyDescent="0.25">
      <c r="G53" s="46"/>
      <c r="AM53" s="400"/>
    </row>
    <row r="54" spans="1:74" x14ac:dyDescent="0.25">
      <c r="G54" s="46"/>
      <c r="AM54" s="400"/>
    </row>
    <row r="55" spans="1:74" ht="17.25" customHeight="1" x14ac:dyDescent="0.25">
      <c r="A55" s="341"/>
      <c r="B55" s="341"/>
      <c r="C55" s="341"/>
      <c r="D55" s="341"/>
      <c r="E55" s="341"/>
      <c r="F55" s="341"/>
      <c r="G55" s="46"/>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c r="AK55" s="341"/>
      <c r="AM55" s="400"/>
    </row>
    <row r="56" spans="1:74" ht="17.25" customHeight="1" x14ac:dyDescent="0.25">
      <c r="A56" s="46"/>
      <c r="B56" s="46"/>
      <c r="C56" s="46"/>
      <c r="D56" s="46"/>
      <c r="E56" s="46"/>
      <c r="F56" s="46"/>
      <c r="G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M56" s="400"/>
    </row>
    <row r="57" spans="1:74" ht="26.25" x14ac:dyDescent="0.25">
      <c r="A57" s="46"/>
      <c r="B57" s="4" t="s">
        <v>480</v>
      </c>
      <c r="C57" s="4" t="s">
        <v>481</v>
      </c>
      <c r="D57" s="46"/>
      <c r="E57" s="46"/>
      <c r="F57" s="46"/>
      <c r="G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M57" s="400"/>
    </row>
    <row r="58" spans="1:74" x14ac:dyDescent="0.25">
      <c r="A58" s="46"/>
      <c r="B58" s="56" t="s">
        <v>95</v>
      </c>
      <c r="C58" s="56"/>
      <c r="D58" s="57" t="s">
        <v>96</v>
      </c>
      <c r="E58" s="57"/>
      <c r="F58" s="56" t="s">
        <v>46</v>
      </c>
      <c r="G58" s="56"/>
      <c r="H58" s="56"/>
      <c r="I58" s="334" t="s">
        <v>314</v>
      </c>
      <c r="J58" s="334" t="s">
        <v>315</v>
      </c>
      <c r="K58" s="334" t="s">
        <v>317</v>
      </c>
      <c r="L58" s="334" t="s">
        <v>316</v>
      </c>
      <c r="M58" s="334" t="s">
        <v>318</v>
      </c>
      <c r="N58" s="334" t="s">
        <v>319</v>
      </c>
      <c r="O58" s="334" t="s">
        <v>320</v>
      </c>
      <c r="P58" s="334" t="s">
        <v>321</v>
      </c>
      <c r="Q58" s="334" t="s">
        <v>1</v>
      </c>
      <c r="R58" s="334" t="s">
        <v>2</v>
      </c>
      <c r="S58" s="334" t="s">
        <v>416</v>
      </c>
      <c r="T58" s="334" t="s">
        <v>3</v>
      </c>
      <c r="U58" s="334" t="s">
        <v>322</v>
      </c>
      <c r="V58" s="334" t="s">
        <v>323</v>
      </c>
      <c r="W58" s="334" t="s">
        <v>324</v>
      </c>
      <c r="X58" s="334" t="s">
        <v>417</v>
      </c>
      <c r="Y58" s="334" t="s">
        <v>325</v>
      </c>
      <c r="Z58" s="334" t="s">
        <v>4</v>
      </c>
      <c r="AA58" s="334" t="s">
        <v>5</v>
      </c>
      <c r="AB58" s="334" t="s">
        <v>6</v>
      </c>
      <c r="AC58" s="334" t="s">
        <v>7</v>
      </c>
      <c r="AD58" s="334" t="s">
        <v>418</v>
      </c>
      <c r="AE58" s="334" t="s">
        <v>8</v>
      </c>
      <c r="AF58" s="334" t="s">
        <v>9</v>
      </c>
      <c r="AG58" s="334" t="s">
        <v>419</v>
      </c>
      <c r="AH58" s="334" t="s">
        <v>10</v>
      </c>
      <c r="AI58" s="334" t="s">
        <v>420</v>
      </c>
      <c r="AJ58" s="334" t="s">
        <v>11</v>
      </c>
      <c r="AK58" s="46"/>
    </row>
    <row r="59" spans="1:74" ht="16.5" thickBot="1" x14ac:dyDescent="0.3">
      <c r="A59" s="341"/>
      <c r="B59" s="58" t="s">
        <v>27</v>
      </c>
      <c r="C59" s="58" t="s">
        <v>32</v>
      </c>
      <c r="D59" s="58" t="s">
        <v>27</v>
      </c>
      <c r="E59" s="58" t="s">
        <v>32</v>
      </c>
      <c r="F59" s="58"/>
      <c r="G59" s="58"/>
      <c r="H59" s="58"/>
      <c r="I59" s="378" t="s">
        <v>327</v>
      </c>
      <c r="J59" s="378" t="s">
        <v>328</v>
      </c>
      <c r="K59" s="378" t="s">
        <v>330</v>
      </c>
      <c r="L59" s="378" t="s">
        <v>329</v>
      </c>
      <c r="M59" s="378" t="s">
        <v>331</v>
      </c>
      <c r="N59" s="378" t="s">
        <v>332</v>
      </c>
      <c r="O59" s="378" t="s">
        <v>333</v>
      </c>
      <c r="P59" s="378" t="s">
        <v>334</v>
      </c>
      <c r="Q59" s="378" t="s">
        <v>87</v>
      </c>
      <c r="R59" s="378" t="s">
        <v>88</v>
      </c>
      <c r="S59" s="378" t="s">
        <v>425</v>
      </c>
      <c r="T59" s="378" t="s">
        <v>463</v>
      </c>
      <c r="U59" s="378" t="s">
        <v>335</v>
      </c>
      <c r="V59" s="378" t="s">
        <v>336</v>
      </c>
      <c r="W59" s="378" t="s">
        <v>337</v>
      </c>
      <c r="X59" s="378" t="s">
        <v>427</v>
      </c>
      <c r="Y59" s="378" t="s">
        <v>338</v>
      </c>
      <c r="Z59" s="378" t="s">
        <v>464</v>
      </c>
      <c r="AA59" s="378" t="s">
        <v>89</v>
      </c>
      <c r="AB59" s="378" t="s">
        <v>90</v>
      </c>
      <c r="AC59" s="378" t="s">
        <v>91</v>
      </c>
      <c r="AD59" s="378" t="s">
        <v>429</v>
      </c>
      <c r="AE59" s="378" t="s">
        <v>465</v>
      </c>
      <c r="AF59" s="378" t="s">
        <v>92</v>
      </c>
      <c r="AG59" s="378" t="s">
        <v>431</v>
      </c>
      <c r="AH59" s="378" t="s">
        <v>466</v>
      </c>
      <c r="AI59" s="378" t="s">
        <v>587</v>
      </c>
      <c r="AJ59" s="378" t="s">
        <v>339</v>
      </c>
      <c r="AK59" s="341"/>
      <c r="AM59"/>
      <c r="AO59" s="341"/>
      <c r="AP59" s="341"/>
      <c r="AQ59" s="341"/>
      <c r="AR59" s="341"/>
    </row>
    <row r="60" spans="1:74" x14ac:dyDescent="0.25">
      <c r="A60" s="341" t="s">
        <v>74</v>
      </c>
      <c r="B60" s="46" t="s">
        <v>122</v>
      </c>
      <c r="C60" s="46" t="s">
        <v>468</v>
      </c>
      <c r="D60" s="46" t="s">
        <v>22</v>
      </c>
      <c r="E60" s="46" t="s">
        <v>111</v>
      </c>
      <c r="F60" s="46" t="s">
        <v>12</v>
      </c>
      <c r="G60" s="46"/>
      <c r="H60" s="46"/>
      <c r="I60" s="417">
        <f>SUMIFS('OMNIA - Key Inputs_EB'!H$268:H$311,'OMNIA - Key Inputs_EB'!$E$268:$E$311,'Key Inputs_BY Techs'!$E60,'OMNIA - Key Inputs_EB'!$C$268:$C$311,'Key Inputs_BY Techs'!$C60)*I8</f>
        <v>0</v>
      </c>
      <c r="J60" s="417">
        <f>SUMIFS('OMNIA - Key Inputs_EB'!I$268:I$311,'OMNIA - Key Inputs_EB'!$E$268:$E$311,'Key Inputs_BY Techs'!$E60,'OMNIA - Key Inputs_EB'!$C$268:$C$311,'Key Inputs_BY Techs'!$C60)*J8</f>
        <v>2.4620000000000002</v>
      </c>
      <c r="K60" s="417">
        <f>SUMIFS('OMNIA - Key Inputs_EB'!J$268:J$311,'OMNIA - Key Inputs_EB'!$E$268:$E$311,'Key Inputs_BY Techs'!$E60,'OMNIA - Key Inputs_EB'!$C$268:$C$311,'Key Inputs_BY Techs'!$C60)*K8</f>
        <v>0</v>
      </c>
      <c r="L60" s="417">
        <f>SUMIFS('OMNIA - Key Inputs_EB'!K$268:K$311,'OMNIA - Key Inputs_EB'!$E$268:$E$311,'Key Inputs_BY Techs'!$E60,'OMNIA - Key Inputs_EB'!$C$268:$C$311,'Key Inputs_BY Techs'!$C60)*L8</f>
        <v>0</v>
      </c>
      <c r="M60" s="417">
        <f>SUMIFS('OMNIA - Key Inputs_EB'!L$268:L$311,'OMNIA - Key Inputs_EB'!$E$268:$E$311,'Key Inputs_BY Techs'!$E60,'OMNIA - Key Inputs_EB'!$C$268:$C$311,'Key Inputs_BY Techs'!$C60)*M8</f>
        <v>17.373928026772557</v>
      </c>
      <c r="N60" s="417">
        <f>SUMIFS('OMNIA - Key Inputs_EB'!M$268:M$311,'OMNIA - Key Inputs_EB'!$E$268:$E$311,'Key Inputs_BY Techs'!$E60,'OMNIA - Key Inputs_EB'!$C$268:$C$311,'Key Inputs_BY Techs'!$C60)*N8</f>
        <v>0.182</v>
      </c>
      <c r="O60" s="417">
        <f>SUMIFS('OMNIA - Key Inputs_EB'!N$268:N$311,'OMNIA - Key Inputs_EB'!$E$268:$E$311,'Key Inputs_BY Techs'!$E60,'OMNIA - Key Inputs_EB'!$C$268:$C$311,'Key Inputs_BY Techs'!$C60)*O8</f>
        <v>9.4138088703905484E-2</v>
      </c>
      <c r="P60" s="417">
        <f>SUMIFS('OMNIA - Key Inputs_EB'!O$268:O$311,'OMNIA - Key Inputs_EB'!$E$268:$E$311,'Key Inputs_BY Techs'!$E60,'OMNIA - Key Inputs_EB'!$C$268:$C$311,'Key Inputs_BY Techs'!$C60)*P8</f>
        <v>0</v>
      </c>
      <c r="Q60" s="417">
        <f>SUMIFS('OMNIA - Key Inputs_EB'!P$268:P$311,'OMNIA - Key Inputs_EB'!$E$268:$E$311,'Key Inputs_BY Techs'!$E60,'OMNIA - Key Inputs_EB'!$C$268:$C$311,'Key Inputs_BY Techs'!$C60)*Q8</f>
        <v>0</v>
      </c>
      <c r="R60" s="417">
        <f>SUMIFS('OMNIA - Key Inputs_EB'!Q$268:Q$311,'OMNIA - Key Inputs_EB'!$E$268:$E$311,'Key Inputs_BY Techs'!$E60,'OMNIA - Key Inputs_EB'!$C$268:$C$311,'Key Inputs_BY Techs'!$C60)*R8</f>
        <v>0</v>
      </c>
      <c r="S60" s="417">
        <f>SUMIFS('OMNIA - Key Inputs_EB'!R$268:R$311,'OMNIA - Key Inputs_EB'!$E$268:$E$311,'Key Inputs_BY Techs'!$E60,'OMNIA - Key Inputs_EB'!$C$268:$C$311,'Key Inputs_BY Techs'!$C60)*S8</f>
        <v>0</v>
      </c>
      <c r="T60" s="417">
        <f>SUMIFS('OMNIA - Key Inputs_EB'!S$268:S$311,'OMNIA - Key Inputs_EB'!$E$268:$E$311,'Key Inputs_BY Techs'!$E60,'OMNIA - Key Inputs_EB'!$C$268:$C$311,'Key Inputs_BY Techs'!$C60)*T8</f>
        <v>0</v>
      </c>
      <c r="U60" s="417">
        <f>SUMIFS('OMNIA - Key Inputs_EB'!T$268:T$311,'OMNIA - Key Inputs_EB'!$E$268:$E$311,'Key Inputs_BY Techs'!$E60,'OMNIA - Key Inputs_EB'!$C$268:$C$311,'Key Inputs_BY Techs'!$C60)*U8</f>
        <v>0.33035466753714637</v>
      </c>
      <c r="V60" s="417">
        <f>SUMIFS('OMNIA - Key Inputs_EB'!U$268:U$311,'OMNIA - Key Inputs_EB'!$E$268:$E$311,'Key Inputs_BY Techs'!$E60,'OMNIA - Key Inputs_EB'!$C$268:$C$311,'Key Inputs_BY Techs'!$C60)*V8</f>
        <v>3.1608534452387511</v>
      </c>
      <c r="W60" s="417">
        <f>SUMIFS('OMNIA - Key Inputs_EB'!V$268:V$311,'OMNIA - Key Inputs_EB'!$E$268:$E$311,'Key Inputs_BY Techs'!$E60,'OMNIA - Key Inputs_EB'!$C$268:$C$311,'Key Inputs_BY Techs'!$C60)*W8</f>
        <v>5.531171259944724</v>
      </c>
      <c r="X60" s="417">
        <f>SUMIFS('OMNIA - Key Inputs_EB'!W$268:W$311,'OMNIA - Key Inputs_EB'!$E$268:$E$311,'Key Inputs_BY Techs'!$E60,'OMNIA - Key Inputs_EB'!$C$268:$C$311,'Key Inputs_BY Techs'!$C60)*X8</f>
        <v>39.050504212841965</v>
      </c>
      <c r="Y60" s="417">
        <f>SUMIFS('OMNIA - Key Inputs_EB'!X$268:X$311,'OMNIA - Key Inputs_EB'!$E$268:$E$311,'Key Inputs_BY Techs'!$E60,'OMNIA - Key Inputs_EB'!$C$268:$C$311,'Key Inputs_BY Techs'!$C60)*Y8</f>
        <v>37.090483412103531</v>
      </c>
      <c r="Z60" s="417">
        <f>SUMIFS('OMNIA - Key Inputs_EB'!Y$268:Y$311,'OMNIA - Key Inputs_EB'!$E$268:$E$311,'Key Inputs_BY Techs'!$E60,'OMNIA - Key Inputs_EB'!$C$268:$C$311,'Key Inputs_BY Techs'!$C60)*Z8</f>
        <v>0</v>
      </c>
      <c r="AA60" s="417">
        <f>SUMIFS('OMNIA - Key Inputs_EB'!Z$268:Z$311,'OMNIA - Key Inputs_EB'!$E$268:$E$311,'Key Inputs_BY Techs'!$E60,'OMNIA - Key Inputs_EB'!$C$268:$C$311,'Key Inputs_BY Techs'!$C60)*AA8</f>
        <v>0</v>
      </c>
      <c r="AB60" s="417">
        <f>SUMIFS('OMNIA - Key Inputs_EB'!AA$268:AA$311,'OMNIA - Key Inputs_EB'!$E$268:$E$311,'Key Inputs_BY Techs'!$E60,'OMNIA - Key Inputs_EB'!$C$268:$C$311,'Key Inputs_BY Techs'!$C60)*AB8</f>
        <v>6.7536041825395925</v>
      </c>
      <c r="AC60" s="417">
        <f>SUMIFS('OMNIA - Key Inputs_EB'!AB$268:AB$311,'OMNIA - Key Inputs_EB'!$E$268:$E$311,'Key Inputs_BY Techs'!$E60,'OMNIA - Key Inputs_EB'!$C$268:$C$311,'Key Inputs_BY Techs'!$C60)*AC8</f>
        <v>0.88615775029835298</v>
      </c>
      <c r="AD60" s="417">
        <f>SUMIFS('OMNIA - Key Inputs_EB'!AC$268:AC$311,'OMNIA - Key Inputs_EB'!$E$268:$E$311,'Key Inputs_BY Techs'!$E60,'OMNIA - Key Inputs_EB'!$C$268:$C$311,'Key Inputs_BY Techs'!$C60)*AD8</f>
        <v>43.637286942238262</v>
      </c>
      <c r="AE60" s="417">
        <f>SUMIFS('OMNIA - Key Inputs_EB'!AD$268:AD$311,'OMNIA - Key Inputs_EB'!$E$268:$E$311,'Key Inputs_BY Techs'!$E60,'OMNIA - Key Inputs_EB'!$C$268:$C$311,'Key Inputs_BY Techs'!$C60)*AE8</f>
        <v>0</v>
      </c>
      <c r="AF60" s="417">
        <f>SUMIFS('OMNIA - Key Inputs_EB'!AE$268:AE$311,'OMNIA - Key Inputs_EB'!$E$268:$E$311,'Key Inputs_BY Techs'!$E60,'OMNIA - Key Inputs_EB'!$C$268:$C$311,'Key Inputs_BY Techs'!$C60)*AF8</f>
        <v>7.7204719231631307</v>
      </c>
      <c r="AG60" s="417">
        <f>SUMIFS('OMNIA - Key Inputs_EB'!AF$268:AF$311,'OMNIA - Key Inputs_EB'!$E$268:$E$311,'Key Inputs_BY Techs'!$E60,'OMNIA - Key Inputs_EB'!$C$268:$C$311,'Key Inputs_BY Techs'!$C60)*AG8</f>
        <v>0</v>
      </c>
      <c r="AH60" s="417">
        <f>SUMIFS('OMNIA - Key Inputs_EB'!AG$268:AG$311,'OMNIA - Key Inputs_EB'!$E$268:$E$311,'Key Inputs_BY Techs'!$E60,'OMNIA - Key Inputs_EB'!$C$268:$C$311,'Key Inputs_BY Techs'!$C60)*AH8</f>
        <v>0</v>
      </c>
      <c r="AI60" s="417">
        <f>SUMIFS('OMNIA - Key Inputs_EB'!AH$268:AH$311,'OMNIA - Key Inputs_EB'!$E$268:$E$311,'Key Inputs_BY Techs'!$E60,'OMNIA - Key Inputs_EB'!$C$268:$C$311,'Key Inputs_BY Techs'!$C60)*AI8</f>
        <v>0.65177012602483242</v>
      </c>
      <c r="AJ60" s="417">
        <f>SUMIFS('OMNIA - Key Inputs_EB'!AI$268:AI$311,'OMNIA - Key Inputs_EB'!$E$268:$E$311,'Key Inputs_BY Techs'!$E60,'OMNIA - Key Inputs_EB'!$C$268:$C$311,'Key Inputs_BY Techs'!$C60)*AJ8</f>
        <v>28.053714341774175</v>
      </c>
      <c r="AK60" s="341"/>
      <c r="BV60" s="341"/>
    </row>
    <row r="61" spans="1:74" x14ac:dyDescent="0.25">
      <c r="A61" s="341" t="s">
        <v>74</v>
      </c>
      <c r="B61" s="46" t="s">
        <v>122</v>
      </c>
      <c r="C61" s="46" t="s">
        <v>468</v>
      </c>
      <c r="D61" s="46" t="s">
        <v>115</v>
      </c>
      <c r="E61" s="46" t="s">
        <v>368</v>
      </c>
      <c r="F61" s="46" t="s">
        <v>12</v>
      </c>
      <c r="G61" s="46"/>
      <c r="I61" s="46">
        <f>SUMIFS('OMNIA - Key Inputs_EB'!H$268:H$311,'OMNIA - Key Inputs_EB'!$E$268:$E$311,'Key Inputs_BY Techs'!$E61,'OMNIA - Key Inputs_EB'!$C$268:$C$311,'Key Inputs_BY Techs'!$C61)*I9</f>
        <v>415.40846047943938</v>
      </c>
      <c r="J61" s="46">
        <f>SUMIFS('OMNIA - Key Inputs_EB'!I$268:I$311,'OMNIA - Key Inputs_EB'!$E$268:$E$311,'Key Inputs_BY Techs'!$E61,'OMNIA - Key Inputs_EB'!$C$268:$C$311,'Key Inputs_BY Techs'!$C61)*J9</f>
        <v>19.431682488653557</v>
      </c>
      <c r="K61" s="46">
        <f>SUMIFS('OMNIA - Key Inputs_EB'!J$268:J$311,'OMNIA - Key Inputs_EB'!$E$268:$E$311,'Key Inputs_BY Techs'!$E61,'OMNIA - Key Inputs_EB'!$C$268:$C$311,'Key Inputs_BY Techs'!$C61)*K9</f>
        <v>293.96920910224162</v>
      </c>
      <c r="L61" s="46">
        <f>SUMIFS('OMNIA - Key Inputs_EB'!K$268:K$311,'OMNIA - Key Inputs_EB'!$E$268:$E$311,'Key Inputs_BY Techs'!$E61,'OMNIA - Key Inputs_EB'!$C$268:$C$311,'Key Inputs_BY Techs'!$C61)*L9</f>
        <v>154.59112545385779</v>
      </c>
      <c r="M61" s="46">
        <f>SUMIFS('OMNIA - Key Inputs_EB'!L$268:L$311,'OMNIA - Key Inputs_EB'!$E$268:$E$311,'Key Inputs_BY Techs'!$E61,'OMNIA - Key Inputs_EB'!$C$268:$C$311,'Key Inputs_BY Techs'!$C61)*M9</f>
        <v>10.147457173209277</v>
      </c>
      <c r="N61" s="46">
        <f>SUMIFS('OMNIA - Key Inputs_EB'!M$268:M$311,'OMNIA - Key Inputs_EB'!$E$268:$E$311,'Key Inputs_BY Techs'!$E61,'OMNIA - Key Inputs_EB'!$C$268:$C$311,'Key Inputs_BY Techs'!$C61)*N9</f>
        <v>58.380828374561482</v>
      </c>
      <c r="O61" s="46">
        <f>SUMIFS('OMNIA - Key Inputs_EB'!N$268:N$311,'OMNIA - Key Inputs_EB'!$E$268:$E$311,'Key Inputs_BY Techs'!$E61,'OMNIA - Key Inputs_EB'!$C$268:$C$311,'Key Inputs_BY Techs'!$C61)*O9</f>
        <v>609.623121812156</v>
      </c>
      <c r="P61" s="46">
        <f>SUMIFS('OMNIA - Key Inputs_EB'!O$268:O$311,'OMNIA - Key Inputs_EB'!$E$268:$E$311,'Key Inputs_BY Techs'!$E61,'OMNIA - Key Inputs_EB'!$C$268:$C$311,'Key Inputs_BY Techs'!$C61)*P9</f>
        <v>1049.702299613205</v>
      </c>
      <c r="Q61" s="46">
        <f>SUMIFS('OMNIA - Key Inputs_EB'!P$268:P$311,'OMNIA - Key Inputs_EB'!$E$268:$E$311,'Key Inputs_BY Techs'!$E61,'OMNIA - Key Inputs_EB'!$C$268:$C$311,'Key Inputs_BY Techs'!$C61)*Q9</f>
        <v>0</v>
      </c>
      <c r="R61" s="46">
        <f>SUMIFS('OMNIA - Key Inputs_EB'!Q$268:Q$311,'OMNIA - Key Inputs_EB'!$E$268:$E$311,'Key Inputs_BY Techs'!$E61,'OMNIA - Key Inputs_EB'!$C$268:$C$311,'Key Inputs_BY Techs'!$C61)*R9</f>
        <v>73.36753495596362</v>
      </c>
      <c r="S61" s="46">
        <f>SUMIFS('OMNIA - Key Inputs_EB'!R$268:R$311,'OMNIA - Key Inputs_EB'!$E$268:$E$311,'Key Inputs_BY Techs'!$E61,'OMNIA - Key Inputs_EB'!$C$268:$C$311,'Key Inputs_BY Techs'!$C61)*S9</f>
        <v>50.674934846447997</v>
      </c>
      <c r="T61" s="46">
        <f>SUMIFS('OMNIA - Key Inputs_EB'!S$268:S$311,'OMNIA - Key Inputs_EB'!$E$268:$E$311,'Key Inputs_BY Techs'!$E61,'OMNIA - Key Inputs_EB'!$C$268:$C$311,'Key Inputs_BY Techs'!$C61)*T9</f>
        <v>430.65261148456324</v>
      </c>
      <c r="U61" s="46">
        <f>SUMIFS('OMNIA - Key Inputs_EB'!T$268:T$311,'OMNIA - Key Inputs_EB'!$E$268:$E$311,'Key Inputs_BY Techs'!$E61,'OMNIA - Key Inputs_EB'!$C$268:$C$311,'Key Inputs_BY Techs'!$C61)*U9</f>
        <v>181.46337815291923</v>
      </c>
      <c r="V61" s="46">
        <f>SUMIFS('OMNIA - Key Inputs_EB'!U$268:U$311,'OMNIA - Key Inputs_EB'!$E$268:$E$311,'Key Inputs_BY Techs'!$E61,'OMNIA - Key Inputs_EB'!$C$268:$C$311,'Key Inputs_BY Techs'!$C61)*V9</f>
        <v>41.082632708639842</v>
      </c>
      <c r="W61" s="46">
        <f>SUMIFS('OMNIA - Key Inputs_EB'!V$268:V$311,'OMNIA - Key Inputs_EB'!$E$268:$E$311,'Key Inputs_BY Techs'!$E61,'OMNIA - Key Inputs_EB'!$C$268:$C$311,'Key Inputs_BY Techs'!$C61)*W9</f>
        <v>460.87730023351997</v>
      </c>
      <c r="X61" s="46">
        <f>SUMIFS('OMNIA - Key Inputs_EB'!W$268:W$311,'OMNIA - Key Inputs_EB'!$E$268:$E$311,'Key Inputs_BY Techs'!$E61,'OMNIA - Key Inputs_EB'!$C$268:$C$311,'Key Inputs_BY Techs'!$C61)*X9</f>
        <v>438.92233231368061</v>
      </c>
      <c r="Y61" s="46">
        <f>SUMIFS('OMNIA - Key Inputs_EB'!X$268:X$311,'OMNIA - Key Inputs_EB'!$E$268:$E$311,'Key Inputs_BY Techs'!$E61,'OMNIA - Key Inputs_EB'!$C$268:$C$311,'Key Inputs_BY Techs'!$C61)*Y9</f>
        <v>332.78883139844299</v>
      </c>
      <c r="Z61" s="46">
        <f>SUMIFS('OMNIA - Key Inputs_EB'!Y$268:Y$311,'OMNIA - Key Inputs_EB'!$E$268:$E$311,'Key Inputs_BY Techs'!$E61,'OMNIA - Key Inputs_EB'!$C$268:$C$311,'Key Inputs_BY Techs'!$C61)*Z9</f>
        <v>780.77649498965536</v>
      </c>
      <c r="AA61" s="46">
        <f>SUMIFS('OMNIA - Key Inputs_EB'!Z$268:Z$311,'OMNIA - Key Inputs_EB'!$E$268:$E$311,'Key Inputs_BY Techs'!$E61,'OMNIA - Key Inputs_EB'!$C$268:$C$311,'Key Inputs_BY Techs'!$C61)*AA9</f>
        <v>2795.0208642691373</v>
      </c>
      <c r="AB61" s="46">
        <f>SUMIFS('OMNIA - Key Inputs_EB'!AA$268:AA$311,'OMNIA - Key Inputs_EB'!$E$268:$E$311,'Key Inputs_BY Techs'!$E61,'OMNIA - Key Inputs_EB'!$C$268:$C$311,'Key Inputs_BY Techs'!$C61)*AB9</f>
        <v>0.19349650170674351</v>
      </c>
      <c r="AC61" s="46">
        <f>SUMIFS('OMNIA - Key Inputs_EB'!AB$268:AB$311,'OMNIA - Key Inputs_EB'!$E$268:$E$311,'Key Inputs_BY Techs'!$E61,'OMNIA - Key Inputs_EB'!$C$268:$C$311,'Key Inputs_BY Techs'!$C61)*AC9</f>
        <v>0</v>
      </c>
      <c r="AD61" s="46">
        <f>SUMIFS('OMNIA - Key Inputs_EB'!AC$268:AC$311,'OMNIA - Key Inputs_EB'!$E$268:$E$311,'Key Inputs_BY Techs'!$E61,'OMNIA - Key Inputs_EB'!$C$268:$C$311,'Key Inputs_BY Techs'!$C61)*AD9</f>
        <v>49.701232993620955</v>
      </c>
      <c r="AE61" s="46">
        <f>SUMIFS('OMNIA - Key Inputs_EB'!AD$268:AD$311,'OMNIA - Key Inputs_EB'!$E$268:$E$311,'Key Inputs_BY Techs'!$E61,'OMNIA - Key Inputs_EB'!$C$268:$C$311,'Key Inputs_BY Techs'!$C61)*AE9</f>
        <v>61.109265235518514</v>
      </c>
      <c r="AF61" s="46">
        <f>SUMIFS('OMNIA - Key Inputs_EB'!AE$268:AE$311,'OMNIA - Key Inputs_EB'!$E$268:$E$311,'Key Inputs_BY Techs'!$E61,'OMNIA - Key Inputs_EB'!$C$268:$C$311,'Key Inputs_BY Techs'!$C61)*AF9</f>
        <v>174.66357026913337</v>
      </c>
      <c r="AG61" s="46">
        <f>SUMIFS('OMNIA - Key Inputs_EB'!AF$268:AF$311,'OMNIA - Key Inputs_EB'!$E$268:$E$311,'Key Inputs_BY Techs'!$E61,'OMNIA - Key Inputs_EB'!$C$268:$C$311,'Key Inputs_BY Techs'!$C61)*AG9</f>
        <v>593.86561374584699</v>
      </c>
      <c r="AH61" s="46">
        <f>SUMIFS('OMNIA - Key Inputs_EB'!AG$268:AG$311,'OMNIA - Key Inputs_EB'!$E$268:$E$311,'Key Inputs_BY Techs'!$E61,'OMNIA - Key Inputs_EB'!$C$268:$C$311,'Key Inputs_BY Techs'!$C61)*AH9</f>
        <v>26.704248327001146</v>
      </c>
      <c r="AI61" s="46">
        <f>SUMIFS('OMNIA - Key Inputs_EB'!AH$268:AH$311,'OMNIA - Key Inputs_EB'!$E$268:$E$311,'Key Inputs_BY Techs'!$E61,'OMNIA - Key Inputs_EB'!$C$268:$C$311,'Key Inputs_BY Techs'!$C61)*AI9</f>
        <v>2.4311500134781761</v>
      </c>
      <c r="AJ61" s="46">
        <f>SUMIFS('OMNIA - Key Inputs_EB'!AI$268:AI$311,'OMNIA - Key Inputs_EB'!$E$268:$E$311,'Key Inputs_BY Techs'!$E61,'OMNIA - Key Inputs_EB'!$C$268:$C$311,'Key Inputs_BY Techs'!$C61)*AJ9</f>
        <v>278.62015711138554</v>
      </c>
      <c r="AK61" s="341"/>
      <c r="BV61" s="341"/>
    </row>
    <row r="62" spans="1:74" s="341" customFormat="1" x14ac:dyDescent="0.25">
      <c r="A62" s="341" t="s">
        <v>74</v>
      </c>
      <c r="B62" s="46" t="s">
        <v>122</v>
      </c>
      <c r="C62" s="46" t="s">
        <v>468</v>
      </c>
      <c r="D62" s="46" t="s">
        <v>19</v>
      </c>
      <c r="E62" s="46" t="s">
        <v>105</v>
      </c>
      <c r="F62" s="46" t="s">
        <v>12</v>
      </c>
      <c r="G62" s="46"/>
      <c r="H62" s="385"/>
      <c r="I62" s="46">
        <f>SUMIFS('OMNIA - Key Inputs_EB'!H$268:H$311,'OMNIA - Key Inputs_EB'!$E$268:$E$311,'Key Inputs_BY Techs'!$E62,'OMNIA - Key Inputs_EB'!$C$268:$C$311,'Key Inputs_BY Techs'!$C62)*I10*(1-I$44)</f>
        <v>1.126565892739926</v>
      </c>
      <c r="J62" s="46">
        <f>SUMIFS('OMNIA - Key Inputs_EB'!I$268:I$311,'OMNIA - Key Inputs_EB'!$E$268:$E$311,'Key Inputs_BY Techs'!$E62,'OMNIA - Key Inputs_EB'!$C$268:$C$311,'Key Inputs_BY Techs'!$C62)*J10*(1-J$44)</f>
        <v>5.8087441583722796</v>
      </c>
      <c r="K62" s="46">
        <f>SUMIFS('OMNIA - Key Inputs_EB'!J$268:J$311,'OMNIA - Key Inputs_EB'!$E$268:$E$311,'Key Inputs_BY Techs'!$E62,'OMNIA - Key Inputs_EB'!$C$268:$C$311,'Key Inputs_BY Techs'!$C62)*K10*(1-K$44)</f>
        <v>1.0782841459916364</v>
      </c>
      <c r="L62" s="46">
        <f>SUMIFS('OMNIA - Key Inputs_EB'!K$268:K$311,'OMNIA - Key Inputs_EB'!$E$268:$E$311,'Key Inputs_BY Techs'!$E62,'OMNIA - Key Inputs_EB'!$C$268:$C$311,'Key Inputs_BY Techs'!$C62)*L10*(1-L$44)</f>
        <v>3.027177611218034</v>
      </c>
      <c r="M62" s="46">
        <f>SUMIFS('OMNIA - Key Inputs_EB'!L$268:L$311,'OMNIA - Key Inputs_EB'!$E$268:$E$311,'Key Inputs_BY Techs'!$E62,'OMNIA - Key Inputs_EB'!$C$268:$C$311,'Key Inputs_BY Techs'!$C62)*M10*(1-M$44)</f>
        <v>70.090039497763854</v>
      </c>
      <c r="N62" s="46">
        <f>SUMIFS('OMNIA - Key Inputs_EB'!M$268:M$311,'OMNIA - Key Inputs_EB'!$E$268:$E$311,'Key Inputs_BY Techs'!$E62,'OMNIA - Key Inputs_EB'!$C$268:$C$311,'Key Inputs_BY Techs'!$C62)*N10*(1-N$44)</f>
        <v>26.362554868262144</v>
      </c>
      <c r="O62" s="46">
        <f>SUMIFS('OMNIA - Key Inputs_EB'!N$268:N$311,'OMNIA - Key Inputs_EB'!$E$268:$E$311,'Key Inputs_BY Techs'!$E62,'OMNIA - Key Inputs_EB'!$C$268:$C$311,'Key Inputs_BY Techs'!$C62)*O10*(1-O$44)</f>
        <v>44.665106133731058</v>
      </c>
      <c r="P62" s="46">
        <f>SUMIFS('OMNIA - Key Inputs_EB'!O$268:O$311,'OMNIA - Key Inputs_EB'!$E$268:$E$311,'Key Inputs_BY Techs'!$E62,'OMNIA - Key Inputs_EB'!$C$268:$C$311,'Key Inputs_BY Techs'!$C62)*P10*(1-P$44)</f>
        <v>41.931571607694046</v>
      </c>
      <c r="Q62" s="46">
        <f>SUMIFS('OMNIA - Key Inputs_EB'!P$268:P$311,'OMNIA - Key Inputs_EB'!$E$268:$E$311,'Key Inputs_BY Techs'!$E62,'OMNIA - Key Inputs_EB'!$C$268:$C$311,'Key Inputs_BY Techs'!$C62)*Q10*(1-Q$44)</f>
        <v>65.23121444919687</v>
      </c>
      <c r="R62" s="46">
        <f>SUMIFS('OMNIA - Key Inputs_EB'!Q$268:Q$311,'OMNIA - Key Inputs_EB'!$E$268:$E$311,'Key Inputs_BY Techs'!$E62,'OMNIA - Key Inputs_EB'!$C$268:$C$311,'Key Inputs_BY Techs'!$C62)*R10*(1-R$44)</f>
        <v>279.972052351039</v>
      </c>
      <c r="S62" s="46">
        <f>SUMIFS('OMNIA - Key Inputs_EB'!R$268:R$311,'OMNIA - Key Inputs_EB'!$E$268:$E$311,'Key Inputs_BY Techs'!$E62,'OMNIA - Key Inputs_EB'!$C$268:$C$311,'Key Inputs_BY Techs'!$C62)*S10*(1-S$44)</f>
        <v>3.1996265039673477</v>
      </c>
      <c r="T62" s="46">
        <f>SUMIFS('OMNIA - Key Inputs_EB'!S$268:S$311,'OMNIA - Key Inputs_EB'!$E$268:$E$311,'Key Inputs_BY Techs'!$E62,'OMNIA - Key Inputs_EB'!$C$268:$C$311,'Key Inputs_BY Techs'!$C62)*T10*(1-T$44)</f>
        <v>545.96066825351193</v>
      </c>
      <c r="U62" s="46">
        <f>SUMIFS('OMNIA - Key Inputs_EB'!T$268:T$311,'OMNIA - Key Inputs_EB'!$E$268:$E$311,'Key Inputs_BY Techs'!$E62,'OMNIA - Key Inputs_EB'!$C$268:$C$311,'Key Inputs_BY Techs'!$C62)*U10*(1-U$44)</f>
        <v>45.569860179677839</v>
      </c>
      <c r="V62" s="46">
        <f>SUMIFS('OMNIA - Key Inputs_EB'!U$268:U$311,'OMNIA - Key Inputs_EB'!$E$268:$E$311,'Key Inputs_BY Techs'!$E62,'OMNIA - Key Inputs_EB'!$C$268:$C$311,'Key Inputs_BY Techs'!$C62)*V10*(1-V$44)</f>
        <v>113.85917092767228</v>
      </c>
      <c r="W62" s="46">
        <f>SUMIFS('OMNIA - Key Inputs_EB'!V$268:V$311,'OMNIA - Key Inputs_EB'!$E$268:$E$311,'Key Inputs_BY Techs'!$E62,'OMNIA - Key Inputs_EB'!$C$268:$C$311,'Key Inputs_BY Techs'!$C62)*W10*(1-W$44)</f>
        <v>64.791356133009543</v>
      </c>
      <c r="X62" s="46">
        <f>SUMIFS('OMNIA - Key Inputs_EB'!W$268:W$311,'OMNIA - Key Inputs_EB'!$E$268:$E$311,'Key Inputs_BY Techs'!$E62,'OMNIA - Key Inputs_EB'!$C$268:$C$311,'Key Inputs_BY Techs'!$C62)*X10*(1-X$44)</f>
        <v>248.56860435527892</v>
      </c>
      <c r="Y62" s="46">
        <f>SUMIFS('OMNIA - Key Inputs_EB'!X$268:X$311,'OMNIA - Key Inputs_EB'!$E$268:$E$311,'Key Inputs_BY Techs'!$E62,'OMNIA - Key Inputs_EB'!$C$268:$C$311,'Key Inputs_BY Techs'!$C62)*Y10*(1-Y$44)</f>
        <v>178.00615578288784</v>
      </c>
      <c r="Z62" s="46">
        <f>SUMIFS('OMNIA - Key Inputs_EB'!Y$268:Y$311,'OMNIA - Key Inputs_EB'!$E$268:$E$311,'Key Inputs_BY Techs'!$E62,'OMNIA - Key Inputs_EB'!$C$268:$C$311,'Key Inputs_BY Techs'!$C62)*Z10*(1-Z$44)</f>
        <v>86.858737427868519</v>
      </c>
      <c r="AA62" s="46">
        <f>SUMIFS('OMNIA - Key Inputs_EB'!Z$268:Z$311,'OMNIA - Key Inputs_EB'!$E$268:$E$311,'Key Inputs_BY Techs'!$E62,'OMNIA - Key Inputs_EB'!$C$268:$C$311,'Key Inputs_BY Techs'!$C62)*AA10*(1-AA$44)</f>
        <v>132.17073991858652</v>
      </c>
      <c r="AB62" s="46">
        <f>SUMIFS('OMNIA - Key Inputs_EB'!AA$268:AA$311,'OMNIA - Key Inputs_EB'!$E$268:$E$311,'Key Inputs_BY Techs'!$E62,'OMNIA - Key Inputs_EB'!$C$268:$C$311,'Key Inputs_BY Techs'!$C62)*AB10*(1-AB$44)</f>
        <v>186.67958877170486</v>
      </c>
      <c r="AC62" s="46">
        <f>SUMIFS('OMNIA - Key Inputs_EB'!AB$268:AB$311,'OMNIA - Key Inputs_EB'!$E$268:$E$311,'Key Inputs_BY Techs'!$E62,'OMNIA - Key Inputs_EB'!$C$268:$C$311,'Key Inputs_BY Techs'!$C62)*AC10*(1-AC$44)</f>
        <v>15.546156116231156</v>
      </c>
      <c r="AD62" s="46">
        <f>SUMIFS('OMNIA - Key Inputs_EB'!AC$268:AC$311,'OMNIA - Key Inputs_EB'!$E$268:$E$311,'Key Inputs_BY Techs'!$E62,'OMNIA - Key Inputs_EB'!$C$268:$C$311,'Key Inputs_BY Techs'!$C62)*AD10*(1-AD$44)</f>
        <v>58.493204333466487</v>
      </c>
      <c r="AE62" s="46">
        <f>SUMIFS('OMNIA - Key Inputs_EB'!AD$268:AD$311,'OMNIA - Key Inputs_EB'!$E$268:$E$311,'Key Inputs_BY Techs'!$E62,'OMNIA - Key Inputs_EB'!$C$268:$C$311,'Key Inputs_BY Techs'!$C62)*AE10*(1-AE$44)</f>
        <v>209.49892416511437</v>
      </c>
      <c r="AF62" s="46">
        <f>SUMIFS('OMNIA - Key Inputs_EB'!AE$268:AE$311,'OMNIA - Key Inputs_EB'!$E$268:$E$311,'Key Inputs_BY Techs'!$E62,'OMNIA - Key Inputs_EB'!$C$268:$C$311,'Key Inputs_BY Techs'!$C62)*AF10*(1-AF$44)</f>
        <v>54.226382783231813</v>
      </c>
      <c r="AG62" s="46">
        <f>SUMIFS('OMNIA - Key Inputs_EB'!AF$268:AF$311,'OMNIA - Key Inputs_EB'!$E$268:$E$311,'Key Inputs_BY Techs'!$E62,'OMNIA - Key Inputs_EB'!$C$268:$C$311,'Key Inputs_BY Techs'!$C62)*AG10*(1-AG$44)</f>
        <v>0.78638796082732809</v>
      </c>
      <c r="AH62" s="46">
        <f>SUMIFS('OMNIA - Key Inputs_EB'!AG$268:AG$311,'OMNIA - Key Inputs_EB'!$E$268:$E$311,'Key Inputs_BY Techs'!$E62,'OMNIA - Key Inputs_EB'!$C$268:$C$311,'Key Inputs_BY Techs'!$C62)*AH10*(1-AH$44)</f>
        <v>62.352277825042222</v>
      </c>
      <c r="AI62" s="46">
        <f>SUMIFS('OMNIA - Key Inputs_EB'!AH$268:AH$311,'OMNIA - Key Inputs_EB'!$E$268:$E$311,'Key Inputs_BY Techs'!$E62,'OMNIA - Key Inputs_EB'!$C$268:$C$311,'Key Inputs_BY Techs'!$C62)*AI10*(1-AI$44)</f>
        <v>23.126468927784405</v>
      </c>
      <c r="AJ62" s="46">
        <f>SUMIFS('OMNIA - Key Inputs_EB'!AI$268:AI$311,'OMNIA - Key Inputs_EB'!$E$268:$E$311,'Key Inputs_BY Techs'!$E62,'OMNIA - Key Inputs_EB'!$C$268:$C$311,'Key Inputs_BY Techs'!$C62)*AJ10*(1-AJ$44)</f>
        <v>925.67303701920014</v>
      </c>
    </row>
    <row r="63" spans="1:74" s="46" customFormat="1" x14ac:dyDescent="0.25">
      <c r="A63" s="341" t="s">
        <v>74</v>
      </c>
      <c r="B63" s="46" t="s">
        <v>122</v>
      </c>
      <c r="C63" s="46" t="s">
        <v>468</v>
      </c>
      <c r="D63" s="46" t="s">
        <v>341</v>
      </c>
      <c r="E63" s="46" t="s">
        <v>105</v>
      </c>
      <c r="F63" s="46" t="s">
        <v>12</v>
      </c>
      <c r="H63" s="385"/>
      <c r="I63" s="46">
        <f>SUMIFS('OMNIA - Key Inputs_EB'!H$268:H$311,'OMNIA - Key Inputs_EB'!$E$268:$E$311,'Key Inputs_BY Techs'!$E63,'OMNIA - Key Inputs_EB'!$C$268:$C$311,'Key Inputs_BY Techs'!$C63)*I11*I$44</f>
        <v>0.33703412387065623</v>
      </c>
      <c r="J63" s="46">
        <f>SUMIFS('OMNIA - Key Inputs_EB'!I$268:I$311,'OMNIA - Key Inputs_EB'!$E$268:$E$311,'Key Inputs_BY Techs'!$E63,'OMNIA - Key Inputs_EB'!$C$268:$C$311,'Key Inputs_BY Techs'!$C63)*J11*J$44</f>
        <v>1.7377989257639896</v>
      </c>
      <c r="K63" s="46">
        <f>SUMIFS('OMNIA - Key Inputs_EB'!J$268:J$311,'OMNIA - Key Inputs_EB'!$E$268:$E$311,'Key Inputs_BY Techs'!$E63,'OMNIA - Key Inputs_EB'!$C$268:$C$311,'Key Inputs_BY Techs'!$C63)*K11*K$44</f>
        <v>0.32258969916445634</v>
      </c>
      <c r="L63" s="46">
        <f>SUMIFS('OMNIA - Key Inputs_EB'!K$268:K$311,'OMNIA - Key Inputs_EB'!$E$268:$E$311,'Key Inputs_BY Techs'!$E63,'OMNIA - Key Inputs_EB'!$C$268:$C$311,'Key Inputs_BY Techs'!$C63)*L11*L$44</f>
        <v>0.90563912912040312</v>
      </c>
      <c r="M63" s="46">
        <f>SUMIFS('OMNIA - Key Inputs_EB'!L$268:L$311,'OMNIA - Key Inputs_EB'!$E$268:$E$311,'Key Inputs_BY Techs'!$E63,'OMNIA - Key Inputs_EB'!$C$268:$C$311,'Key Inputs_BY Techs'!$C63)*M11*M$44</f>
        <v>18.722142985934678</v>
      </c>
      <c r="N63" s="46">
        <f>SUMIFS('OMNIA - Key Inputs_EB'!M$268:M$311,'OMNIA - Key Inputs_EB'!$E$268:$E$311,'Key Inputs_BY Techs'!$E63,'OMNIA - Key Inputs_EB'!$C$268:$C$311,'Key Inputs_BY Techs'!$C63)*N11*N$44</f>
        <v>5.8447352285931577</v>
      </c>
      <c r="O63" s="46">
        <f>SUMIFS('OMNIA - Key Inputs_EB'!N$268:N$311,'OMNIA - Key Inputs_EB'!$E$268:$E$311,'Key Inputs_BY Techs'!$E63,'OMNIA - Key Inputs_EB'!$C$268:$C$311,'Key Inputs_BY Techs'!$C63)*O11*O$44</f>
        <v>9.9025197145423505</v>
      </c>
      <c r="P63" s="46">
        <f>SUMIFS('OMNIA - Key Inputs_EB'!O$268:O$311,'OMNIA - Key Inputs_EB'!$E$268:$E$311,'Key Inputs_BY Techs'!$E63,'OMNIA - Key Inputs_EB'!$C$268:$C$311,'Key Inputs_BY Techs'!$C63)*P11*P$44</f>
        <v>11.200576927756657</v>
      </c>
      <c r="Q63" s="46">
        <f>SUMIFS('OMNIA - Key Inputs_EB'!P$268:P$311,'OMNIA - Key Inputs_EB'!$E$268:$E$311,'Key Inputs_BY Techs'!$E63,'OMNIA - Key Inputs_EB'!$C$268:$C$311,'Key Inputs_BY Techs'!$C63)*Q11*Q$44</f>
        <v>19.515188017483638</v>
      </c>
      <c r="R63" s="46">
        <f>SUMIFS('OMNIA - Key Inputs_EB'!Q$268:Q$311,'OMNIA - Key Inputs_EB'!$E$268:$E$311,'Key Inputs_BY Techs'!$E63,'OMNIA - Key Inputs_EB'!$C$268:$C$311,'Key Inputs_BY Techs'!$C63)*R11*R$44</f>
        <v>74.784902872668113</v>
      </c>
      <c r="S63" s="46">
        <f>SUMIFS('OMNIA - Key Inputs_EB'!R$268:R$311,'OMNIA - Key Inputs_EB'!$E$268:$E$311,'Key Inputs_BY Techs'!$E63,'OMNIA - Key Inputs_EB'!$C$268:$C$311,'Key Inputs_BY Techs'!$C63)*S11*S$44</f>
        <v>0.95723057339790829</v>
      </c>
      <c r="T63" s="46">
        <f>SUMIFS('OMNIA - Key Inputs_EB'!S$268:S$311,'OMNIA - Key Inputs_EB'!$E$268:$E$311,'Key Inputs_BY Techs'!$E63,'OMNIA - Key Inputs_EB'!$C$268:$C$311,'Key Inputs_BY Techs'!$C63)*T11*T$44</f>
        <v>121.04272772929151</v>
      </c>
      <c r="U63" s="46">
        <f>SUMIFS('OMNIA - Key Inputs_EB'!T$268:T$311,'OMNIA - Key Inputs_EB'!$E$268:$E$311,'Key Inputs_BY Techs'!$E63,'OMNIA - Key Inputs_EB'!$C$268:$C$311,'Key Inputs_BY Techs'!$C63)*U11*U$44</f>
        <v>13.633111031980835</v>
      </c>
      <c r="V63" s="46">
        <f>SUMIFS('OMNIA - Key Inputs_EB'!U$268:U$311,'OMNIA - Key Inputs_EB'!$E$268:$E$311,'Key Inputs_BY Techs'!$E63,'OMNIA - Key Inputs_EB'!$C$268:$C$311,'Key Inputs_BY Techs'!$C63)*V11*V$44</f>
        <v>34.063188106038524</v>
      </c>
      <c r="W63" s="46">
        <f>SUMIFS('OMNIA - Key Inputs_EB'!V$268:V$311,'OMNIA - Key Inputs_EB'!$E$268:$E$311,'Key Inputs_BY Techs'!$E63,'OMNIA - Key Inputs_EB'!$C$268:$C$311,'Key Inputs_BY Techs'!$C63)*W11*W$44</f>
        <v>19.3835958370539</v>
      </c>
      <c r="X63" s="46">
        <f>SUMIFS('OMNIA - Key Inputs_EB'!W$268:W$311,'OMNIA - Key Inputs_EB'!$E$268:$E$311,'Key Inputs_BY Techs'!$E63,'OMNIA - Key Inputs_EB'!$C$268:$C$311,'Key Inputs_BY Techs'!$C63)*X11*X$44</f>
        <v>55.109138164244442</v>
      </c>
      <c r="Y63" s="46">
        <f>SUMIFS('OMNIA - Key Inputs_EB'!X$268:X$311,'OMNIA - Key Inputs_EB'!$E$268:$E$311,'Key Inputs_BY Techs'!$E63,'OMNIA - Key Inputs_EB'!$C$268:$C$311,'Key Inputs_BY Techs'!$C63)*Y11*Y$44</f>
        <v>39.465023584008605</v>
      </c>
      <c r="Z63" s="46">
        <f>SUMIFS('OMNIA - Key Inputs_EB'!Y$268:Y$311,'OMNIA - Key Inputs_EB'!$E$268:$E$311,'Key Inputs_BY Techs'!$E63,'OMNIA - Key Inputs_EB'!$C$268:$C$311,'Key Inputs_BY Techs'!$C63)*Z11*Z$44</f>
        <v>19.257098755893541</v>
      </c>
      <c r="AA63" s="46">
        <f>SUMIFS('OMNIA - Key Inputs_EB'!Z$268:Z$311,'OMNIA - Key Inputs_EB'!$E$268:$E$311,'Key Inputs_BY Techs'!$E63,'OMNIA - Key Inputs_EB'!$C$268:$C$311,'Key Inputs_BY Techs'!$C63)*AA11*AA$44</f>
        <v>35.304866555133096</v>
      </c>
      <c r="AB63" s="46">
        <f>SUMIFS('OMNIA - Key Inputs_EB'!AA$268:AA$311,'OMNIA - Key Inputs_EB'!$E$268:$E$311,'Key Inputs_BY Techs'!$E63,'OMNIA - Key Inputs_EB'!$C$268:$C$311,'Key Inputs_BY Techs'!$C63)*AB11*AB$44</f>
        <v>49.865030446313973</v>
      </c>
      <c r="AC63" s="46">
        <f>SUMIFS('OMNIA - Key Inputs_EB'!AB$268:AB$311,'OMNIA - Key Inputs_EB'!$E$268:$E$311,'Key Inputs_BY Techs'!$E63,'OMNIA - Key Inputs_EB'!$C$268:$C$311,'Key Inputs_BY Techs'!$C63)*AC11*AC$44</f>
        <v>4.6509353247391436</v>
      </c>
      <c r="AD63" s="46">
        <f>SUMIFS('OMNIA - Key Inputs_EB'!AC$268:AC$311,'OMNIA - Key Inputs_EB'!$E$268:$E$311,'Key Inputs_BY Techs'!$E63,'OMNIA - Key Inputs_EB'!$C$268:$C$311,'Key Inputs_BY Techs'!$C63)*AD11*AD$44</f>
        <v>17.499381085442007</v>
      </c>
      <c r="AE63" s="46">
        <f>SUMIFS('OMNIA - Key Inputs_EB'!AD$268:AD$311,'OMNIA - Key Inputs_EB'!$E$268:$E$311,'Key Inputs_BY Techs'!$E63,'OMNIA - Key Inputs_EB'!$C$268:$C$311,'Key Inputs_BY Techs'!$C63)*AE11*AE$44</f>
        <v>62.675682632382589</v>
      </c>
      <c r="AF63" s="46">
        <f>SUMIFS('OMNIA - Key Inputs_EB'!AE$268:AE$311,'OMNIA - Key Inputs_EB'!$E$268:$E$311,'Key Inputs_BY Techs'!$E63,'OMNIA - Key Inputs_EB'!$C$268:$C$311,'Key Inputs_BY Techs'!$C63)*AF11*AF$44</f>
        <v>16.222878332994693</v>
      </c>
      <c r="AG63" s="46">
        <f>SUMIFS('OMNIA - Key Inputs_EB'!AF$268:AF$311,'OMNIA - Key Inputs_EB'!$E$268:$E$311,'Key Inputs_BY Techs'!$E63,'OMNIA - Key Inputs_EB'!$C$268:$C$311,'Key Inputs_BY Techs'!$C63)*AG11*AG$44</f>
        <v>0.23526327142326889</v>
      </c>
      <c r="AH63" s="46">
        <f>SUMIFS('OMNIA - Key Inputs_EB'!AG$268:AG$311,'OMNIA - Key Inputs_EB'!$E$268:$E$311,'Key Inputs_BY Techs'!$E63,'OMNIA - Key Inputs_EB'!$C$268:$C$311,'Key Inputs_BY Techs'!$C63)*AH11*AH$44</f>
        <v>18.653898066266276</v>
      </c>
      <c r="AI63" s="46">
        <f>SUMIFS('OMNIA - Key Inputs_EB'!AH$268:AH$311,'OMNIA - Key Inputs_EB'!$E$268:$E$311,'Key Inputs_BY Techs'!$E63,'OMNIA - Key Inputs_EB'!$C$268:$C$311,'Key Inputs_BY Techs'!$C63)*AI11*AI$44</f>
        <v>5.127275726144255</v>
      </c>
      <c r="AJ63" s="46">
        <f>SUMIFS('OMNIA - Key Inputs_EB'!AI$268:AI$311,'OMNIA - Key Inputs_EB'!$E$268:$E$311,'Key Inputs_BY Techs'!$E63,'OMNIA - Key Inputs_EB'!$C$268:$C$311,'Key Inputs_BY Techs'!$C63)*AJ11*AJ$44</f>
        <v>205.22721855530054</v>
      </c>
      <c r="AK63" s="385"/>
      <c r="BV63" s="341"/>
    </row>
    <row r="64" spans="1:74" s="46" customFormat="1" x14ac:dyDescent="0.25">
      <c r="A64" s="341" t="s">
        <v>74</v>
      </c>
      <c r="B64" s="46" t="s">
        <v>122</v>
      </c>
      <c r="C64" s="46" t="s">
        <v>468</v>
      </c>
      <c r="D64" s="46" t="s">
        <v>473</v>
      </c>
      <c r="E64" s="46" t="s">
        <v>482</v>
      </c>
      <c r="F64" s="46" t="s">
        <v>12</v>
      </c>
      <c r="H64" s="385"/>
      <c r="I64" s="46">
        <f>SUMIFS('OMNIA - Key Inputs_EB'!H$268:H$311,'OMNIA - Key Inputs_EB'!$E$268:$E$311,'Key Inputs_BY Techs'!$E64,'OMNIA - Key Inputs_EB'!$C$268:$C$311,'Key Inputs_BY Techs'!$C64)*I12</f>
        <v>0</v>
      </c>
      <c r="J64" s="46">
        <f>SUMIFS('OMNIA - Key Inputs_EB'!I$268:I$311,'OMNIA - Key Inputs_EB'!$E$268:$E$311,'Key Inputs_BY Techs'!$E64,'OMNIA - Key Inputs_EB'!$C$268:$C$311,'Key Inputs_BY Techs'!$C64)*J12</f>
        <v>349.23654892596903</v>
      </c>
      <c r="K64" s="46">
        <f>SUMIFS('OMNIA - Key Inputs_EB'!J$268:J$311,'OMNIA - Key Inputs_EB'!$E$268:$E$311,'Key Inputs_BY Techs'!$E64,'OMNIA - Key Inputs_EB'!$C$268:$C$311,'Key Inputs_BY Techs'!$C64)*K12</f>
        <v>0</v>
      </c>
      <c r="L64" s="46">
        <f>SUMIFS('OMNIA - Key Inputs_EB'!K$268:K$311,'OMNIA - Key Inputs_EB'!$E$268:$E$311,'Key Inputs_BY Techs'!$E64,'OMNIA - Key Inputs_EB'!$C$268:$C$311,'Key Inputs_BY Techs'!$C64)*L12</f>
        <v>0.14584723869341518</v>
      </c>
      <c r="M64" s="46">
        <f>SUMIFS('OMNIA - Key Inputs_EB'!L$268:L$311,'OMNIA - Key Inputs_EB'!$E$268:$E$311,'Key Inputs_BY Techs'!$E64,'OMNIA - Key Inputs_EB'!$C$268:$C$311,'Key Inputs_BY Techs'!$C64)*M12</f>
        <v>128.64883210320511</v>
      </c>
      <c r="N64" s="46">
        <f>SUMIFS('OMNIA - Key Inputs_EB'!M$268:M$311,'OMNIA - Key Inputs_EB'!$E$268:$E$311,'Key Inputs_BY Techs'!$E64,'OMNIA - Key Inputs_EB'!$C$268:$C$311,'Key Inputs_BY Techs'!$C64)*N12</f>
        <v>389.86759695902191</v>
      </c>
      <c r="O64" s="46">
        <f>SUMIFS('OMNIA - Key Inputs_EB'!N$268:N$311,'OMNIA - Key Inputs_EB'!$E$268:$E$311,'Key Inputs_BY Techs'!$E64,'OMNIA - Key Inputs_EB'!$C$268:$C$311,'Key Inputs_BY Techs'!$C64)*O12</f>
        <v>2.0946907053301058</v>
      </c>
      <c r="P64" s="46">
        <f>SUMIFS('OMNIA - Key Inputs_EB'!O$268:O$311,'OMNIA - Key Inputs_EB'!$E$268:$E$311,'Key Inputs_BY Techs'!$E64,'OMNIA - Key Inputs_EB'!$C$268:$C$311,'Key Inputs_BY Techs'!$C64)*P12</f>
        <v>307.35631449507696</v>
      </c>
      <c r="Q64" s="46">
        <f>SUMIFS('OMNIA - Key Inputs_EB'!P$268:P$311,'OMNIA - Key Inputs_EB'!$E$268:$E$311,'Key Inputs_BY Techs'!$E64,'OMNIA - Key Inputs_EB'!$C$268:$C$311,'Key Inputs_BY Techs'!$C64)*Q12</f>
        <v>5.5726200542779765</v>
      </c>
      <c r="R64" s="46">
        <f>SUMIFS('OMNIA - Key Inputs_EB'!Q$268:Q$311,'OMNIA - Key Inputs_EB'!$E$268:$E$311,'Key Inputs_BY Techs'!$E64,'OMNIA - Key Inputs_EB'!$C$268:$C$311,'Key Inputs_BY Techs'!$C64)*R12</f>
        <v>478.27416549114787</v>
      </c>
      <c r="S64" s="46">
        <f>SUMIFS('OMNIA - Key Inputs_EB'!R$268:R$311,'OMNIA - Key Inputs_EB'!$E$268:$E$311,'Key Inputs_BY Techs'!$E64,'OMNIA - Key Inputs_EB'!$C$268:$C$311,'Key Inputs_BY Techs'!$C64)*S12</f>
        <v>14.966385743741718</v>
      </c>
      <c r="T64" s="46">
        <f>SUMIFS('OMNIA - Key Inputs_EB'!S$268:S$311,'OMNIA - Key Inputs_EB'!$E$268:$E$311,'Key Inputs_BY Techs'!$E64,'OMNIA - Key Inputs_EB'!$C$268:$C$311,'Key Inputs_BY Techs'!$C64)*T12</f>
        <v>654.61194767520749</v>
      </c>
      <c r="U64" s="46">
        <f>SUMIFS('OMNIA - Key Inputs_EB'!T$268:T$311,'OMNIA - Key Inputs_EB'!$E$268:$E$311,'Key Inputs_BY Techs'!$E64,'OMNIA - Key Inputs_EB'!$C$268:$C$311,'Key Inputs_BY Techs'!$C64)*U12</f>
        <v>262.2247977975012</v>
      </c>
      <c r="V64" s="46">
        <f>SUMIFS('OMNIA - Key Inputs_EB'!U$268:U$311,'OMNIA - Key Inputs_EB'!$E$268:$E$311,'Key Inputs_BY Techs'!$E64,'OMNIA - Key Inputs_EB'!$C$268:$C$311,'Key Inputs_BY Techs'!$C64)*V12</f>
        <v>731.04686607501128</v>
      </c>
      <c r="W64" s="46">
        <f>SUMIFS('OMNIA - Key Inputs_EB'!V$268:V$311,'OMNIA - Key Inputs_EB'!$E$268:$E$311,'Key Inputs_BY Techs'!$E64,'OMNIA - Key Inputs_EB'!$C$268:$C$311,'Key Inputs_BY Techs'!$C64)*W12</f>
        <v>394.6100631740249</v>
      </c>
      <c r="X64" s="46">
        <f>SUMIFS('OMNIA - Key Inputs_EB'!W$268:W$311,'OMNIA - Key Inputs_EB'!$E$268:$E$311,'Key Inputs_BY Techs'!$E64,'OMNIA - Key Inputs_EB'!$C$268:$C$311,'Key Inputs_BY Techs'!$C64)*X12</f>
        <v>885.28729100894304</v>
      </c>
      <c r="Y64" s="46">
        <f>SUMIFS('OMNIA - Key Inputs_EB'!X$268:X$311,'OMNIA - Key Inputs_EB'!$E$268:$E$311,'Key Inputs_BY Techs'!$E64,'OMNIA - Key Inputs_EB'!$C$268:$C$311,'Key Inputs_BY Techs'!$C64)*Y12</f>
        <v>1230.0237312905979</v>
      </c>
      <c r="Z64" s="46">
        <f>SUMIFS('OMNIA - Key Inputs_EB'!Y$268:Y$311,'OMNIA - Key Inputs_EB'!$E$268:$E$311,'Key Inputs_BY Techs'!$E64,'OMNIA - Key Inputs_EB'!$C$268:$C$311,'Key Inputs_BY Techs'!$C64)*Z12</f>
        <v>0.87334492386519624</v>
      </c>
      <c r="AA64" s="46">
        <f>SUMIFS('OMNIA - Key Inputs_EB'!Z$268:Z$311,'OMNIA - Key Inputs_EB'!$E$268:$E$311,'Key Inputs_BY Techs'!$E64,'OMNIA - Key Inputs_EB'!$C$268:$C$311,'Key Inputs_BY Techs'!$C64)*AA12</f>
        <v>38.918293685393266</v>
      </c>
      <c r="AB64" s="46">
        <f>SUMIFS('OMNIA - Key Inputs_EB'!AA$268:AA$311,'OMNIA - Key Inputs_EB'!$E$268:$E$311,'Key Inputs_BY Techs'!$E64,'OMNIA - Key Inputs_EB'!$C$268:$C$311,'Key Inputs_BY Techs'!$C64)*AB12</f>
        <v>257.22983791664115</v>
      </c>
      <c r="AC64" s="46">
        <f>SUMIFS('OMNIA - Key Inputs_EB'!AB$268:AB$311,'OMNIA - Key Inputs_EB'!$E$268:$E$311,'Key Inputs_BY Techs'!$E64,'OMNIA - Key Inputs_EB'!$C$268:$C$311,'Key Inputs_BY Techs'!$C64)*AC12</f>
        <v>293.34498507650932</v>
      </c>
      <c r="AD64" s="46">
        <f>SUMIFS('OMNIA - Key Inputs_EB'!AC$268:AC$311,'OMNIA - Key Inputs_EB'!$E$268:$E$311,'Key Inputs_BY Techs'!$E64,'OMNIA - Key Inputs_EB'!$C$268:$C$311,'Key Inputs_BY Techs'!$C64)*AD12</f>
        <v>374.35385369492826</v>
      </c>
      <c r="AE64" s="46">
        <f>SUMIFS('OMNIA - Key Inputs_EB'!AD$268:AD$311,'OMNIA - Key Inputs_EB'!$E$268:$E$311,'Key Inputs_BY Techs'!$E64,'OMNIA - Key Inputs_EB'!$C$268:$C$311,'Key Inputs_BY Techs'!$C64)*AE12</f>
        <v>1344.6802088687646</v>
      </c>
      <c r="AF64" s="46">
        <f>SUMIFS('OMNIA - Key Inputs_EB'!AE$268:AE$311,'OMNIA - Key Inputs_EB'!$E$268:$E$311,'Key Inputs_BY Techs'!$E64,'OMNIA - Key Inputs_EB'!$C$268:$C$311,'Key Inputs_BY Techs'!$C64)*AF12</f>
        <v>21.326784293068972</v>
      </c>
      <c r="AG64" s="46">
        <f>SUMIFS('OMNIA - Key Inputs_EB'!AF$268:AF$311,'OMNIA - Key Inputs_EB'!$E$268:$E$311,'Key Inputs_BY Techs'!$E64,'OMNIA - Key Inputs_EB'!$C$268:$C$311,'Key Inputs_BY Techs'!$C64)*AG12</f>
        <v>0</v>
      </c>
      <c r="AH64" s="46">
        <f>SUMIFS('OMNIA - Key Inputs_EB'!AG$268:AG$311,'OMNIA - Key Inputs_EB'!$E$268:$E$311,'Key Inputs_BY Techs'!$E64,'OMNIA - Key Inputs_EB'!$C$268:$C$311,'Key Inputs_BY Techs'!$C64)*AH12</f>
        <v>1649.9410317747574</v>
      </c>
      <c r="AI64" s="46">
        <f>SUMIFS('OMNIA - Key Inputs_EB'!AH$268:AH$311,'OMNIA - Key Inputs_EB'!$E$268:$E$311,'Key Inputs_BY Techs'!$E64,'OMNIA - Key Inputs_EB'!$C$268:$C$311,'Key Inputs_BY Techs'!$C64)*AI12</f>
        <v>187.81752439518439</v>
      </c>
      <c r="AJ64" s="46">
        <f>SUMIFS('OMNIA - Key Inputs_EB'!AI$268:AI$311,'OMNIA - Key Inputs_EB'!$E$268:$E$311,'Key Inputs_BY Techs'!$E64,'OMNIA - Key Inputs_EB'!$C$268:$C$311,'Key Inputs_BY Techs'!$C64)*AJ12</f>
        <v>2998.3374033760028</v>
      </c>
      <c r="AK64" s="341"/>
      <c r="BV64" s="341"/>
    </row>
    <row r="65" spans="1:74" s="46" customFormat="1" x14ac:dyDescent="0.25">
      <c r="A65" s="341" t="s">
        <v>74</v>
      </c>
      <c r="B65" s="46" t="s">
        <v>122</v>
      </c>
      <c r="C65" s="46" t="s">
        <v>468</v>
      </c>
      <c r="D65" s="46" t="s">
        <v>21</v>
      </c>
      <c r="E65" s="46" t="s">
        <v>107</v>
      </c>
      <c r="F65" s="46" t="s">
        <v>12</v>
      </c>
      <c r="H65" s="385"/>
      <c r="I65" s="46">
        <f>SUMIFS('OMNIA - Key Inputs_EB'!H$268:H$311,'OMNIA - Key Inputs_EB'!$E$268:$E$311,'Key Inputs_BY Techs'!$E65,'OMNIA - Key Inputs_EB'!$C$268:$C$311,'Key Inputs_BY Techs'!$C65)*I13</f>
        <v>0</v>
      </c>
      <c r="J65" s="46">
        <f>SUMIFS('OMNIA - Key Inputs_EB'!I$268:I$311,'OMNIA - Key Inputs_EB'!$E$268:$E$311,'Key Inputs_BY Techs'!$E65,'OMNIA - Key Inputs_EB'!$C$268:$C$311,'Key Inputs_BY Techs'!$C65)*J13</f>
        <v>0</v>
      </c>
      <c r="K65" s="46">
        <f>SUMIFS('OMNIA - Key Inputs_EB'!J$268:J$311,'OMNIA - Key Inputs_EB'!$E$268:$E$311,'Key Inputs_BY Techs'!$E65,'OMNIA - Key Inputs_EB'!$C$268:$C$311,'Key Inputs_BY Techs'!$C65)*K13</f>
        <v>0</v>
      </c>
      <c r="L65" s="46">
        <f>SUMIFS('OMNIA - Key Inputs_EB'!K$268:K$311,'OMNIA - Key Inputs_EB'!$E$268:$E$311,'Key Inputs_BY Techs'!$E65,'OMNIA - Key Inputs_EB'!$C$268:$C$311,'Key Inputs_BY Techs'!$C65)*L13</f>
        <v>0</v>
      </c>
      <c r="M65" s="46">
        <f>SUMIFS('OMNIA - Key Inputs_EB'!L$268:L$311,'OMNIA - Key Inputs_EB'!$E$268:$E$311,'Key Inputs_BY Techs'!$E65,'OMNIA - Key Inputs_EB'!$C$268:$C$311,'Key Inputs_BY Techs'!$C65)*M13</f>
        <v>0.15031435307521077</v>
      </c>
      <c r="N65" s="46">
        <f>SUMIFS('OMNIA - Key Inputs_EB'!M$268:M$311,'OMNIA - Key Inputs_EB'!$E$268:$E$311,'Key Inputs_BY Techs'!$E65,'OMNIA - Key Inputs_EB'!$C$268:$C$311,'Key Inputs_BY Techs'!$C65)*N13</f>
        <v>0.19165035457821628</v>
      </c>
      <c r="O65" s="46">
        <f>SUMIFS('OMNIA - Key Inputs_EB'!N$268:N$311,'OMNIA - Key Inputs_EB'!$E$268:$E$311,'Key Inputs_BY Techs'!$E65,'OMNIA - Key Inputs_EB'!$C$268:$C$311,'Key Inputs_BY Techs'!$C65)*O13</f>
        <v>0</v>
      </c>
      <c r="P65" s="46">
        <f>SUMIFS('OMNIA - Key Inputs_EB'!O$268:O$311,'OMNIA - Key Inputs_EB'!$E$268:$E$311,'Key Inputs_BY Techs'!$E65,'OMNIA - Key Inputs_EB'!$C$268:$C$311,'Key Inputs_BY Techs'!$C65)*P13</f>
        <v>0</v>
      </c>
      <c r="Q65" s="46">
        <f>SUMIFS('OMNIA - Key Inputs_EB'!P$268:P$311,'OMNIA - Key Inputs_EB'!$E$268:$E$311,'Key Inputs_BY Techs'!$E65,'OMNIA - Key Inputs_EB'!$C$268:$C$311,'Key Inputs_BY Techs'!$C65)*Q13</f>
        <v>0</v>
      </c>
      <c r="R65" s="46">
        <f>SUMIFS('OMNIA - Key Inputs_EB'!Q$268:Q$311,'OMNIA - Key Inputs_EB'!$E$268:$E$311,'Key Inputs_BY Techs'!$E65,'OMNIA - Key Inputs_EB'!$C$268:$C$311,'Key Inputs_BY Techs'!$C65)*R13</f>
        <v>0</v>
      </c>
      <c r="S65" s="46">
        <f>SUMIFS('OMNIA - Key Inputs_EB'!R$268:R$311,'OMNIA - Key Inputs_EB'!$E$268:$E$311,'Key Inputs_BY Techs'!$E65,'OMNIA - Key Inputs_EB'!$C$268:$C$311,'Key Inputs_BY Techs'!$C65)*S13</f>
        <v>0</v>
      </c>
      <c r="T65" s="46">
        <f>SUMIFS('OMNIA - Key Inputs_EB'!S$268:S$311,'OMNIA - Key Inputs_EB'!$E$268:$E$311,'Key Inputs_BY Techs'!$E65,'OMNIA - Key Inputs_EB'!$C$268:$C$311,'Key Inputs_BY Techs'!$C65)*T13</f>
        <v>0</v>
      </c>
      <c r="U65" s="46">
        <f>SUMIFS('OMNIA - Key Inputs_EB'!T$268:T$311,'OMNIA - Key Inputs_EB'!$E$268:$E$311,'Key Inputs_BY Techs'!$E65,'OMNIA - Key Inputs_EB'!$C$268:$C$311,'Key Inputs_BY Techs'!$C65)*U13</f>
        <v>0</v>
      </c>
      <c r="V65" s="46">
        <f>SUMIFS('OMNIA - Key Inputs_EB'!U$268:U$311,'OMNIA - Key Inputs_EB'!$E$268:$E$311,'Key Inputs_BY Techs'!$E65,'OMNIA - Key Inputs_EB'!$C$268:$C$311,'Key Inputs_BY Techs'!$C65)*V13</f>
        <v>0.31742504849665626</v>
      </c>
      <c r="W65" s="46">
        <f>SUMIFS('OMNIA - Key Inputs_EB'!V$268:V$311,'OMNIA - Key Inputs_EB'!$E$268:$E$311,'Key Inputs_BY Techs'!$E65,'OMNIA - Key Inputs_EB'!$C$268:$C$311,'Key Inputs_BY Techs'!$C65)*W13</f>
        <v>0.67498290871809352</v>
      </c>
      <c r="X65" s="46">
        <f>SUMIFS('OMNIA - Key Inputs_EB'!W$268:W$311,'OMNIA - Key Inputs_EB'!$E$268:$E$311,'Key Inputs_BY Techs'!$E65,'OMNIA - Key Inputs_EB'!$C$268:$C$311,'Key Inputs_BY Techs'!$C65)*X13</f>
        <v>2.9914144227375185E-2</v>
      </c>
      <c r="Y65" s="46">
        <f>SUMIFS('OMNIA - Key Inputs_EB'!X$268:X$311,'OMNIA - Key Inputs_EB'!$E$268:$E$311,'Key Inputs_BY Techs'!$E65,'OMNIA - Key Inputs_EB'!$C$268:$C$311,'Key Inputs_BY Techs'!$C65)*Y13</f>
        <v>0.75583128710567427</v>
      </c>
      <c r="Z65" s="46">
        <f>SUMIFS('OMNIA - Key Inputs_EB'!Y$268:Y$311,'OMNIA - Key Inputs_EB'!$E$268:$E$311,'Key Inputs_BY Techs'!$E65,'OMNIA - Key Inputs_EB'!$C$268:$C$311,'Key Inputs_BY Techs'!$C65)*Z13</f>
        <v>0</v>
      </c>
      <c r="AA65" s="46">
        <f>SUMIFS('OMNIA - Key Inputs_EB'!Z$268:Z$311,'OMNIA - Key Inputs_EB'!$E$268:$E$311,'Key Inputs_BY Techs'!$E65,'OMNIA - Key Inputs_EB'!$C$268:$C$311,'Key Inputs_BY Techs'!$C65)*AA13</f>
        <v>0</v>
      </c>
      <c r="AB65" s="46">
        <f>SUMIFS('OMNIA - Key Inputs_EB'!AA$268:AA$311,'OMNIA - Key Inputs_EB'!$E$268:$E$311,'Key Inputs_BY Techs'!$E65,'OMNIA - Key Inputs_EB'!$C$268:$C$311,'Key Inputs_BY Techs'!$C65)*AB13</f>
        <v>1.7287640722583903</v>
      </c>
      <c r="AC65" s="46">
        <f>SUMIFS('OMNIA - Key Inputs_EB'!AB$268:AB$311,'OMNIA - Key Inputs_EB'!$E$268:$E$311,'Key Inputs_BY Techs'!$E65,'OMNIA - Key Inputs_EB'!$C$268:$C$311,'Key Inputs_BY Techs'!$C65)*AC13</f>
        <v>0</v>
      </c>
      <c r="AD65" s="46">
        <f>SUMIFS('OMNIA - Key Inputs_EB'!AC$268:AC$311,'OMNIA - Key Inputs_EB'!$E$268:$E$311,'Key Inputs_BY Techs'!$E65,'OMNIA - Key Inputs_EB'!$C$268:$C$311,'Key Inputs_BY Techs'!$C65)*AD13</f>
        <v>38.870698339848694</v>
      </c>
      <c r="AE65" s="46">
        <f>SUMIFS('OMNIA - Key Inputs_EB'!AD$268:AD$311,'OMNIA - Key Inputs_EB'!$E$268:$E$311,'Key Inputs_BY Techs'!$E65,'OMNIA - Key Inputs_EB'!$C$268:$C$311,'Key Inputs_BY Techs'!$C65)*AE13</f>
        <v>0</v>
      </c>
      <c r="AF65" s="46">
        <f>SUMIFS('OMNIA - Key Inputs_EB'!AE$268:AE$311,'OMNIA - Key Inputs_EB'!$E$268:$E$311,'Key Inputs_BY Techs'!$E65,'OMNIA - Key Inputs_EB'!$C$268:$C$311,'Key Inputs_BY Techs'!$C65)*AF13</f>
        <v>0</v>
      </c>
      <c r="AG65" s="46">
        <f>SUMIFS('OMNIA - Key Inputs_EB'!AF$268:AF$311,'OMNIA - Key Inputs_EB'!$E$268:$E$311,'Key Inputs_BY Techs'!$E65,'OMNIA - Key Inputs_EB'!$C$268:$C$311,'Key Inputs_BY Techs'!$C65)*AG13</f>
        <v>0</v>
      </c>
      <c r="AH65" s="46">
        <f>SUMIFS('OMNIA - Key Inputs_EB'!AG$268:AG$311,'OMNIA - Key Inputs_EB'!$E$268:$E$311,'Key Inputs_BY Techs'!$E65,'OMNIA - Key Inputs_EB'!$C$268:$C$311,'Key Inputs_BY Techs'!$C65)*AH13</f>
        <v>0</v>
      </c>
      <c r="AI65" s="46">
        <f>SUMIFS('OMNIA - Key Inputs_EB'!AH$268:AH$311,'OMNIA - Key Inputs_EB'!$E$268:$E$311,'Key Inputs_BY Techs'!$E65,'OMNIA - Key Inputs_EB'!$C$268:$C$311,'Key Inputs_BY Techs'!$C65)*AI13</f>
        <v>0.83663310975605654</v>
      </c>
      <c r="AJ65" s="46">
        <f>SUMIFS('OMNIA - Key Inputs_EB'!AI$268:AI$311,'OMNIA - Key Inputs_EB'!$E$268:$E$311,'Key Inputs_BY Techs'!$E65,'OMNIA - Key Inputs_EB'!$C$268:$C$311,'Key Inputs_BY Techs'!$C65)*AJ13</f>
        <v>7.6488219153137011</v>
      </c>
      <c r="AK65" s="341"/>
      <c r="BV65" s="341"/>
    </row>
    <row r="66" spans="1:74" s="341" customFormat="1" x14ac:dyDescent="0.25">
      <c r="A66" s="341" t="s">
        <v>74</v>
      </c>
      <c r="B66" s="46" t="s">
        <v>122</v>
      </c>
      <c r="C66" s="46" t="s">
        <v>468</v>
      </c>
      <c r="D66" s="46" t="s">
        <v>20</v>
      </c>
      <c r="E66" s="46" t="s">
        <v>108</v>
      </c>
      <c r="F66" s="46" t="s">
        <v>12</v>
      </c>
      <c r="G66" s="46"/>
      <c r="H66" s="385"/>
      <c r="I66" s="46">
        <f>SUMIFS('OMNIA - Key Inputs_EB'!H$268:H$311,'OMNIA - Key Inputs_EB'!$E$268:$E$311,'Key Inputs_BY Techs'!$E66,'OMNIA - Key Inputs_EB'!$C$268:$C$311,'Key Inputs_BY Techs'!$C66)*I14</f>
        <v>0</v>
      </c>
      <c r="J66" s="46">
        <f>SUMIFS('OMNIA - Key Inputs_EB'!I$268:I$311,'OMNIA - Key Inputs_EB'!$E$268:$E$311,'Key Inputs_BY Techs'!$E66,'OMNIA - Key Inputs_EB'!$C$268:$C$311,'Key Inputs_BY Techs'!$C66)*J14</f>
        <v>0</v>
      </c>
      <c r="K66" s="46">
        <f>SUMIFS('OMNIA - Key Inputs_EB'!J$268:J$311,'OMNIA - Key Inputs_EB'!$E$268:$E$311,'Key Inputs_BY Techs'!$E66,'OMNIA - Key Inputs_EB'!$C$268:$C$311,'Key Inputs_BY Techs'!$C66)*K14</f>
        <v>0</v>
      </c>
      <c r="L66" s="46">
        <f>SUMIFS('OMNIA - Key Inputs_EB'!K$268:K$311,'OMNIA - Key Inputs_EB'!$E$268:$E$311,'Key Inputs_BY Techs'!$E66,'OMNIA - Key Inputs_EB'!$C$268:$C$311,'Key Inputs_BY Techs'!$C66)*L14</f>
        <v>0</v>
      </c>
      <c r="M66" s="46">
        <f>SUMIFS('OMNIA - Key Inputs_EB'!L$268:L$311,'OMNIA - Key Inputs_EB'!$E$268:$E$311,'Key Inputs_BY Techs'!$E66,'OMNIA - Key Inputs_EB'!$C$268:$C$311,'Key Inputs_BY Techs'!$C66)*M14</f>
        <v>0</v>
      </c>
      <c r="N66" s="46">
        <f>SUMIFS('OMNIA - Key Inputs_EB'!M$268:M$311,'OMNIA - Key Inputs_EB'!$E$268:$E$311,'Key Inputs_BY Techs'!$E66,'OMNIA - Key Inputs_EB'!$C$268:$C$311,'Key Inputs_BY Techs'!$C66)*N14</f>
        <v>90.372182294693971</v>
      </c>
      <c r="O66" s="46">
        <f>SUMIFS('OMNIA - Key Inputs_EB'!N$268:N$311,'OMNIA - Key Inputs_EB'!$E$268:$E$311,'Key Inputs_BY Techs'!$E66,'OMNIA - Key Inputs_EB'!$C$268:$C$311,'Key Inputs_BY Techs'!$C66)*O14</f>
        <v>0</v>
      </c>
      <c r="P66" s="46">
        <f>SUMIFS('OMNIA - Key Inputs_EB'!O$268:O$311,'OMNIA - Key Inputs_EB'!$E$268:$E$311,'Key Inputs_BY Techs'!$E66,'OMNIA - Key Inputs_EB'!$C$268:$C$311,'Key Inputs_BY Techs'!$C66)*P14</f>
        <v>0</v>
      </c>
      <c r="Q66" s="46">
        <f>SUMIFS('OMNIA - Key Inputs_EB'!P$268:P$311,'OMNIA - Key Inputs_EB'!$E$268:$E$311,'Key Inputs_BY Techs'!$E66,'OMNIA - Key Inputs_EB'!$C$268:$C$311,'Key Inputs_BY Techs'!$C66)*Q14</f>
        <v>0</v>
      </c>
      <c r="R66" s="46">
        <f>SUMIFS('OMNIA - Key Inputs_EB'!Q$268:Q$311,'OMNIA - Key Inputs_EB'!$E$268:$E$311,'Key Inputs_BY Techs'!$E66,'OMNIA - Key Inputs_EB'!$C$268:$C$311,'Key Inputs_BY Techs'!$C66)*R14</f>
        <v>0</v>
      </c>
      <c r="S66" s="46">
        <f>SUMIFS('OMNIA - Key Inputs_EB'!R$268:R$311,'OMNIA - Key Inputs_EB'!$E$268:$E$311,'Key Inputs_BY Techs'!$E66,'OMNIA - Key Inputs_EB'!$C$268:$C$311,'Key Inputs_BY Techs'!$C66)*S14</f>
        <v>0</v>
      </c>
      <c r="T66" s="46">
        <f>SUMIFS('OMNIA - Key Inputs_EB'!S$268:S$311,'OMNIA - Key Inputs_EB'!$E$268:$E$311,'Key Inputs_BY Techs'!$E66,'OMNIA - Key Inputs_EB'!$C$268:$C$311,'Key Inputs_BY Techs'!$C66)*T14</f>
        <v>850.14023453960203</v>
      </c>
      <c r="U66" s="46">
        <f>SUMIFS('OMNIA - Key Inputs_EB'!T$268:T$311,'OMNIA - Key Inputs_EB'!$E$268:$E$311,'Key Inputs_BY Techs'!$E66,'OMNIA - Key Inputs_EB'!$C$268:$C$311,'Key Inputs_BY Techs'!$C66)*U14</f>
        <v>145.37101717425557</v>
      </c>
      <c r="V66" s="46">
        <f>SUMIFS('OMNIA - Key Inputs_EB'!U$268:U$311,'OMNIA - Key Inputs_EB'!$E$268:$E$311,'Key Inputs_BY Techs'!$E66,'OMNIA - Key Inputs_EB'!$C$268:$C$311,'Key Inputs_BY Techs'!$C66)*V14</f>
        <v>25.590298038881119</v>
      </c>
      <c r="W66" s="46">
        <f>SUMIFS('OMNIA - Key Inputs_EB'!V$268:V$311,'OMNIA - Key Inputs_EB'!$E$268:$E$311,'Key Inputs_BY Techs'!$E66,'OMNIA - Key Inputs_EB'!$C$268:$C$311,'Key Inputs_BY Techs'!$C66)*W14</f>
        <v>235.12024714674337</v>
      </c>
      <c r="X66" s="46">
        <f>SUMIFS('OMNIA - Key Inputs_EB'!W$268:W$311,'OMNIA - Key Inputs_EB'!$E$268:$E$311,'Key Inputs_BY Techs'!$E66,'OMNIA - Key Inputs_EB'!$C$268:$C$311,'Key Inputs_BY Techs'!$C66)*X14</f>
        <v>63.460817377633674</v>
      </c>
      <c r="Y66" s="46">
        <f>SUMIFS('OMNIA - Key Inputs_EB'!X$268:X$311,'OMNIA - Key Inputs_EB'!$E$268:$E$311,'Key Inputs_BY Techs'!$E66,'OMNIA - Key Inputs_EB'!$C$268:$C$311,'Key Inputs_BY Techs'!$C66)*Y14</f>
        <v>323.74250562211404</v>
      </c>
      <c r="Z66" s="46">
        <f>SUMIFS('OMNIA - Key Inputs_EB'!Y$268:Y$311,'OMNIA - Key Inputs_EB'!$E$268:$E$311,'Key Inputs_BY Techs'!$E66,'OMNIA - Key Inputs_EB'!$C$268:$C$311,'Key Inputs_BY Techs'!$C66)*Z14</f>
        <v>0</v>
      </c>
      <c r="AA66" s="46">
        <f>SUMIFS('OMNIA - Key Inputs_EB'!Z$268:Z$311,'OMNIA - Key Inputs_EB'!$E$268:$E$311,'Key Inputs_BY Techs'!$E66,'OMNIA - Key Inputs_EB'!$C$268:$C$311,'Key Inputs_BY Techs'!$C66)*AA14</f>
        <v>0</v>
      </c>
      <c r="AB66" s="46">
        <f>SUMIFS('OMNIA - Key Inputs_EB'!AA$268:AA$311,'OMNIA - Key Inputs_EB'!$E$268:$E$311,'Key Inputs_BY Techs'!$E66,'OMNIA - Key Inputs_EB'!$C$268:$C$311,'Key Inputs_BY Techs'!$C66)*AB14</f>
        <v>0.75471378428142943</v>
      </c>
      <c r="AC66" s="46">
        <f>SUMIFS('OMNIA - Key Inputs_EB'!AB$268:AB$311,'OMNIA - Key Inputs_EB'!$E$268:$E$311,'Key Inputs_BY Techs'!$E66,'OMNIA - Key Inputs_EB'!$C$268:$C$311,'Key Inputs_BY Techs'!$C66)*AC14</f>
        <v>0</v>
      </c>
      <c r="AD66" s="46">
        <f>SUMIFS('OMNIA - Key Inputs_EB'!AC$268:AC$311,'OMNIA - Key Inputs_EB'!$E$268:$E$311,'Key Inputs_BY Techs'!$E66,'OMNIA - Key Inputs_EB'!$C$268:$C$311,'Key Inputs_BY Techs'!$C66)*AD14</f>
        <v>2.0730012991769411</v>
      </c>
      <c r="AE66" s="46">
        <f>SUMIFS('OMNIA - Key Inputs_EB'!AD$268:AD$311,'OMNIA - Key Inputs_EB'!$E$268:$E$311,'Key Inputs_BY Techs'!$E66,'OMNIA - Key Inputs_EB'!$C$268:$C$311,'Key Inputs_BY Techs'!$C66)*AE14</f>
        <v>0</v>
      </c>
      <c r="AF66" s="46">
        <f>SUMIFS('OMNIA - Key Inputs_EB'!AE$268:AE$311,'OMNIA - Key Inputs_EB'!$E$268:$E$311,'Key Inputs_BY Techs'!$E66,'OMNIA - Key Inputs_EB'!$C$268:$C$311,'Key Inputs_BY Techs'!$C66)*AF14</f>
        <v>0</v>
      </c>
      <c r="AG66" s="46">
        <f>SUMIFS('OMNIA - Key Inputs_EB'!AF$268:AF$311,'OMNIA - Key Inputs_EB'!$E$268:$E$311,'Key Inputs_BY Techs'!$E66,'OMNIA - Key Inputs_EB'!$C$268:$C$311,'Key Inputs_BY Techs'!$C66)*AG14</f>
        <v>0</v>
      </c>
      <c r="AH66" s="46">
        <f>SUMIFS('OMNIA - Key Inputs_EB'!AG$268:AG$311,'OMNIA - Key Inputs_EB'!$E$268:$E$311,'Key Inputs_BY Techs'!$E66,'OMNIA - Key Inputs_EB'!$C$268:$C$311,'Key Inputs_BY Techs'!$C66)*AH14</f>
        <v>1312.9670341092587</v>
      </c>
      <c r="AI66" s="46">
        <f>SUMIFS('OMNIA - Key Inputs_EB'!AH$268:AH$311,'OMNIA - Key Inputs_EB'!$E$268:$E$311,'Key Inputs_BY Techs'!$E66,'OMNIA - Key Inputs_EB'!$C$268:$C$311,'Key Inputs_BY Techs'!$C66)*AI14</f>
        <v>46.133076971515607</v>
      </c>
      <c r="AJ66" s="46">
        <f>SUMIFS('OMNIA - Key Inputs_EB'!AI$268:AI$311,'OMNIA - Key Inputs_EB'!$E$268:$E$311,'Key Inputs_BY Techs'!$E66,'OMNIA - Key Inputs_EB'!$C$268:$C$311,'Key Inputs_BY Techs'!$C66)*AJ14</f>
        <v>0</v>
      </c>
    </row>
    <row r="67" spans="1:74" s="341" customFormat="1" x14ac:dyDescent="0.25">
      <c r="A67" s="341" t="s">
        <v>74</v>
      </c>
      <c r="B67" s="46" t="s">
        <v>122</v>
      </c>
      <c r="C67" s="46" t="s">
        <v>468</v>
      </c>
      <c r="D67" s="46" t="s">
        <v>0</v>
      </c>
      <c r="E67" s="46" t="s">
        <v>109</v>
      </c>
      <c r="F67" s="46" t="s">
        <v>12</v>
      </c>
      <c r="G67" s="46"/>
      <c r="H67" s="46"/>
      <c r="I67" s="46">
        <f>SUMIFS('OMNIA - Key Inputs_EB'!H$268:H$311,'OMNIA - Key Inputs_EB'!$E$268:$E$311,'Key Inputs_BY Techs'!$E67,'OMNIA - Key Inputs_EB'!$C$268:$C$311,'Key Inputs_BY Techs'!$C67)*I15</f>
        <v>5.8140723120926525</v>
      </c>
      <c r="J67" s="46">
        <f>SUMIFS('OMNIA - Key Inputs_EB'!I$268:I$311,'OMNIA - Key Inputs_EB'!$E$268:$E$311,'Key Inputs_BY Techs'!$E67,'OMNIA - Key Inputs_EB'!$C$268:$C$311,'Key Inputs_BY Techs'!$C67)*J15</f>
        <v>69.425381695951657</v>
      </c>
      <c r="K67" s="46">
        <f>SUMIFS('OMNIA - Key Inputs_EB'!J$268:J$311,'OMNIA - Key Inputs_EB'!$E$268:$E$311,'Key Inputs_BY Techs'!$E67,'OMNIA - Key Inputs_EB'!$C$268:$C$311,'Key Inputs_BY Techs'!$C67)*K15</f>
        <v>7.9673742016911735</v>
      </c>
      <c r="L67" s="46">
        <f>SUMIFS('OMNIA - Key Inputs_EB'!K$268:K$311,'OMNIA - Key Inputs_EB'!$E$268:$E$311,'Key Inputs_BY Techs'!$E67,'OMNIA - Key Inputs_EB'!$C$268:$C$311,'Key Inputs_BY Techs'!$C67)*L15</f>
        <v>4.8045958208297641</v>
      </c>
      <c r="M67" s="46">
        <f>SUMIFS('OMNIA - Key Inputs_EB'!L$268:L$311,'OMNIA - Key Inputs_EB'!$E$268:$E$311,'Key Inputs_BY Techs'!$E67,'OMNIA - Key Inputs_EB'!$C$268:$C$311,'Key Inputs_BY Techs'!$C67)*M15</f>
        <v>13.580257699647525</v>
      </c>
      <c r="N67" s="46">
        <f>SUMIFS('OMNIA - Key Inputs_EB'!M$268:M$311,'OMNIA - Key Inputs_EB'!$E$268:$E$311,'Key Inputs_BY Techs'!$E67,'OMNIA - Key Inputs_EB'!$C$268:$C$311,'Key Inputs_BY Techs'!$C67)*N15</f>
        <v>1.4867160017721499</v>
      </c>
      <c r="O67" s="46">
        <f>SUMIFS('OMNIA - Key Inputs_EB'!N$268:N$311,'OMNIA - Key Inputs_EB'!$E$268:$E$311,'Key Inputs_BY Techs'!$E67,'OMNIA - Key Inputs_EB'!$C$268:$C$311,'Key Inputs_BY Techs'!$C67)*O15</f>
        <v>1.7387343055914282</v>
      </c>
      <c r="P67" s="46">
        <f>SUMIFS('OMNIA - Key Inputs_EB'!O$268:O$311,'OMNIA - Key Inputs_EB'!$E$268:$E$311,'Key Inputs_BY Techs'!$E67,'OMNIA - Key Inputs_EB'!$C$268:$C$311,'Key Inputs_BY Techs'!$C67)*P15</f>
        <v>0.77165104455696099</v>
      </c>
      <c r="Q67" s="46">
        <f>SUMIFS('OMNIA - Key Inputs_EB'!P$268:P$311,'OMNIA - Key Inputs_EB'!$E$268:$E$311,'Key Inputs_BY Techs'!$E67,'OMNIA - Key Inputs_EB'!$C$268:$C$311,'Key Inputs_BY Techs'!$C67)*Q15</f>
        <v>25.499721853497082</v>
      </c>
      <c r="R67" s="46">
        <f>SUMIFS('OMNIA - Key Inputs_EB'!Q$268:Q$311,'OMNIA - Key Inputs_EB'!$E$268:$E$311,'Key Inputs_BY Techs'!$E67,'OMNIA - Key Inputs_EB'!$C$268:$C$311,'Key Inputs_BY Techs'!$C67)*R15</f>
        <v>12.48417123044478</v>
      </c>
      <c r="S67" s="46">
        <f>SUMIFS('OMNIA - Key Inputs_EB'!R$268:R$311,'OMNIA - Key Inputs_EB'!$E$268:$E$311,'Key Inputs_BY Techs'!$E67,'OMNIA - Key Inputs_EB'!$C$268:$C$311,'Key Inputs_BY Techs'!$C67)*S15</f>
        <v>29.81466100485509</v>
      </c>
      <c r="T67" s="46">
        <f>SUMIFS('OMNIA - Key Inputs_EB'!S$268:S$311,'OMNIA - Key Inputs_EB'!$E$268:$E$311,'Key Inputs_BY Techs'!$E67,'OMNIA - Key Inputs_EB'!$C$268:$C$311,'Key Inputs_BY Techs'!$C67)*T15</f>
        <v>400.74205978065083</v>
      </c>
      <c r="U67" s="46">
        <f>SUMIFS('OMNIA - Key Inputs_EB'!T$268:T$311,'OMNIA - Key Inputs_EB'!$E$268:$E$311,'Key Inputs_BY Techs'!$E67,'OMNIA - Key Inputs_EB'!$C$268:$C$311,'Key Inputs_BY Techs'!$C67)*U15</f>
        <v>2.8827335123656415</v>
      </c>
      <c r="V67" s="46">
        <f>SUMIFS('OMNIA - Key Inputs_EB'!U$268:U$311,'OMNIA - Key Inputs_EB'!$E$268:$E$311,'Key Inputs_BY Techs'!$E67,'OMNIA - Key Inputs_EB'!$C$268:$C$311,'Key Inputs_BY Techs'!$C67)*V15</f>
        <v>8.1849642025941431</v>
      </c>
      <c r="W67" s="46">
        <f>SUMIFS('OMNIA - Key Inputs_EB'!V$268:V$311,'OMNIA - Key Inputs_EB'!$E$268:$E$311,'Key Inputs_BY Techs'!$E67,'OMNIA - Key Inputs_EB'!$C$268:$C$311,'Key Inputs_BY Techs'!$C67)*W15</f>
        <v>16.137708247244539</v>
      </c>
      <c r="X67" s="46">
        <f>SUMIFS('OMNIA - Key Inputs_EB'!W$268:W$311,'OMNIA - Key Inputs_EB'!$E$268:$E$311,'Key Inputs_BY Techs'!$E67,'OMNIA - Key Inputs_EB'!$C$268:$C$311,'Key Inputs_BY Techs'!$C67)*X15</f>
        <v>109.07565085133757</v>
      </c>
      <c r="Y67" s="46">
        <f>SUMIFS('OMNIA - Key Inputs_EB'!X$268:X$311,'OMNIA - Key Inputs_EB'!$E$268:$E$311,'Key Inputs_BY Techs'!$E67,'OMNIA - Key Inputs_EB'!$C$268:$C$311,'Key Inputs_BY Techs'!$C67)*Y15</f>
        <v>37.888992117345801</v>
      </c>
      <c r="Z67" s="46">
        <f>SUMIFS('OMNIA - Key Inputs_EB'!Y$268:Y$311,'OMNIA - Key Inputs_EB'!$E$268:$E$311,'Key Inputs_BY Techs'!$E67,'OMNIA - Key Inputs_EB'!$C$268:$C$311,'Key Inputs_BY Techs'!$C67)*Z15</f>
        <v>6.3440688440506241</v>
      </c>
      <c r="AA67" s="46">
        <f>SUMIFS('OMNIA - Key Inputs_EB'!Z$268:Z$311,'OMNIA - Key Inputs_EB'!$E$268:$E$311,'Key Inputs_BY Techs'!$E67,'OMNIA - Key Inputs_EB'!$C$268:$C$311,'Key Inputs_BY Techs'!$C67)*AA15</f>
        <v>16.916771750886049</v>
      </c>
      <c r="AB67" s="46">
        <f>SUMIFS('OMNIA - Key Inputs_EB'!AA$268:AA$311,'OMNIA - Key Inputs_EB'!$E$268:$E$311,'Key Inputs_BY Techs'!$E67,'OMNIA - Key Inputs_EB'!$C$268:$C$311,'Key Inputs_BY Techs'!$C67)*AB15</f>
        <v>156.18466414266479</v>
      </c>
      <c r="AC67" s="46">
        <f>SUMIFS('OMNIA - Key Inputs_EB'!AB$268:AB$311,'OMNIA - Key Inputs_EB'!$E$268:$E$311,'Key Inputs_BY Techs'!$E67,'OMNIA - Key Inputs_EB'!$C$268:$C$311,'Key Inputs_BY Techs'!$C67)*AC15</f>
        <v>90.186661196726675</v>
      </c>
      <c r="AD67" s="46">
        <f>SUMIFS('OMNIA - Key Inputs_EB'!AC$268:AC$311,'OMNIA - Key Inputs_EB'!$E$268:$E$311,'Key Inputs_BY Techs'!$E67,'OMNIA - Key Inputs_EB'!$C$268:$C$311,'Key Inputs_BY Techs'!$C67)*AD15</f>
        <v>21.558393403556657</v>
      </c>
      <c r="AE67" s="46">
        <f>SUMIFS('OMNIA - Key Inputs_EB'!AD$268:AD$311,'OMNIA - Key Inputs_EB'!$E$268:$E$311,'Key Inputs_BY Techs'!$E67,'OMNIA - Key Inputs_EB'!$C$268:$C$311,'Key Inputs_BY Techs'!$C67)*AE15</f>
        <v>94.889246679821682</v>
      </c>
      <c r="AF67" s="46">
        <f>SUMIFS('OMNIA - Key Inputs_EB'!AE$268:AE$311,'OMNIA - Key Inputs_EB'!$E$268:$E$311,'Key Inputs_BY Techs'!$E67,'OMNIA - Key Inputs_EB'!$C$268:$C$311,'Key Inputs_BY Techs'!$C67)*AF15</f>
        <v>188.23549556893116</v>
      </c>
      <c r="AG67" s="46">
        <f>SUMIFS('OMNIA - Key Inputs_EB'!AF$268:AF$311,'OMNIA - Key Inputs_EB'!$E$268:$E$311,'Key Inputs_BY Techs'!$E67,'OMNIA - Key Inputs_EB'!$C$268:$C$311,'Key Inputs_BY Techs'!$C67)*AG15</f>
        <v>2.8300825296232763</v>
      </c>
      <c r="AH67" s="46">
        <f>SUMIFS('OMNIA - Key Inputs_EB'!AG$268:AG$311,'OMNIA - Key Inputs_EB'!$E$268:$E$311,'Key Inputs_BY Techs'!$E67,'OMNIA - Key Inputs_EB'!$C$268:$C$311,'Key Inputs_BY Techs'!$C67)*AH15</f>
        <v>7.3191619615947721</v>
      </c>
      <c r="AI67" s="46">
        <f>SUMIFS('OMNIA - Key Inputs_EB'!AH$268:AH$311,'OMNIA - Key Inputs_EB'!$E$268:$E$311,'Key Inputs_BY Techs'!$E67,'OMNIA - Key Inputs_EB'!$C$268:$C$311,'Key Inputs_BY Techs'!$C67)*AI15</f>
        <v>17.612932607332557</v>
      </c>
      <c r="AJ67" s="46">
        <f>SUMIFS('OMNIA - Key Inputs_EB'!AI$268:AI$311,'OMNIA - Key Inputs_EB'!$E$268:$E$311,'Key Inputs_BY Techs'!$E67,'OMNIA - Key Inputs_EB'!$C$268:$C$311,'Key Inputs_BY Techs'!$C67)*AJ15</f>
        <v>120.16385044681748</v>
      </c>
    </row>
    <row r="68" spans="1:74" s="341" customFormat="1" x14ac:dyDescent="0.25">
      <c r="A68" s="341" t="s">
        <v>74</v>
      </c>
      <c r="B68" s="46" t="s">
        <v>122</v>
      </c>
      <c r="C68" s="46" t="s">
        <v>468</v>
      </c>
      <c r="D68" s="46" t="s">
        <v>18</v>
      </c>
      <c r="E68" s="46" t="s">
        <v>104</v>
      </c>
      <c r="F68" s="46" t="s">
        <v>12</v>
      </c>
      <c r="G68" s="46"/>
      <c r="H68" s="46"/>
      <c r="I68" s="46">
        <f>SUMIFS('OMNIA - Key Inputs_EB'!H$268:H$311,'OMNIA - Key Inputs_EB'!$E$268:$E$311,'Key Inputs_BY Techs'!$E68,'OMNIA - Key Inputs_EB'!$C$268:$C$311,'Key Inputs_BY Techs'!$C68)*I16</f>
        <v>0.13489679023987733</v>
      </c>
      <c r="J68" s="46">
        <f>SUMIFS('OMNIA - Key Inputs_EB'!I$268:I$311,'OMNIA - Key Inputs_EB'!$E$268:$E$311,'Key Inputs_BY Techs'!$E68,'OMNIA - Key Inputs_EB'!$C$268:$C$311,'Key Inputs_BY Techs'!$C68)*J16</f>
        <v>7.7997208003722659E-2</v>
      </c>
      <c r="K68" s="46">
        <f>SUMIFS('OMNIA - Key Inputs_EB'!J$268:J$311,'OMNIA - Key Inputs_EB'!$E$268:$E$311,'Key Inputs_BY Techs'!$E68,'OMNIA - Key Inputs_EB'!$C$268:$C$311,'Key Inputs_BY Techs'!$C68)*K16</f>
        <v>0</v>
      </c>
      <c r="L68" s="46">
        <f>SUMIFS('OMNIA - Key Inputs_EB'!K$268:K$311,'OMNIA - Key Inputs_EB'!$E$268:$E$311,'Key Inputs_BY Techs'!$E68,'OMNIA - Key Inputs_EB'!$C$268:$C$311,'Key Inputs_BY Techs'!$C68)*L16</f>
        <v>120.25463285248952</v>
      </c>
      <c r="M68" s="46">
        <f>SUMIFS('OMNIA - Key Inputs_EB'!L$268:L$311,'OMNIA - Key Inputs_EB'!$E$268:$E$311,'Key Inputs_BY Techs'!$E68,'OMNIA - Key Inputs_EB'!$C$268:$C$311,'Key Inputs_BY Techs'!$C68)*M16</f>
        <v>0.16988172197740325</v>
      </c>
      <c r="N68" s="46">
        <f>SUMIFS('OMNIA - Key Inputs_EB'!M$268:M$311,'OMNIA - Key Inputs_EB'!$E$268:$E$311,'Key Inputs_BY Techs'!$E68,'OMNIA - Key Inputs_EB'!$C$268:$C$311,'Key Inputs_BY Techs'!$C68)*N16</f>
        <v>116.04160714285715</v>
      </c>
      <c r="O68" s="46">
        <f>SUMIFS('OMNIA - Key Inputs_EB'!N$268:N$311,'OMNIA - Key Inputs_EB'!$E$268:$E$311,'Key Inputs_BY Techs'!$E68,'OMNIA - Key Inputs_EB'!$C$268:$C$311,'Key Inputs_BY Techs'!$C68)*O16</f>
        <v>29.073540073822237</v>
      </c>
      <c r="P68" s="46">
        <f>SUMIFS('OMNIA - Key Inputs_EB'!O$268:O$311,'OMNIA - Key Inputs_EB'!$E$268:$E$311,'Key Inputs_BY Techs'!$E68,'OMNIA - Key Inputs_EB'!$C$268:$C$311,'Key Inputs_BY Techs'!$C68)*P16</f>
        <v>5.6785714285714287E-2</v>
      </c>
      <c r="Q68" s="46">
        <f>SUMIFS('OMNIA - Key Inputs_EB'!P$268:P$311,'OMNIA - Key Inputs_EB'!$E$268:$E$311,'Key Inputs_BY Techs'!$E68,'OMNIA - Key Inputs_EB'!$C$268:$C$311,'Key Inputs_BY Techs'!$C68)*Q16</f>
        <v>0</v>
      </c>
      <c r="R68" s="46">
        <f>SUMIFS('OMNIA - Key Inputs_EB'!Q$268:Q$311,'OMNIA - Key Inputs_EB'!$E$268:$E$311,'Key Inputs_BY Techs'!$E68,'OMNIA - Key Inputs_EB'!$C$268:$C$311,'Key Inputs_BY Techs'!$C68)*R16</f>
        <v>0</v>
      </c>
      <c r="S68" s="46">
        <f>SUMIFS('OMNIA - Key Inputs_EB'!R$268:R$311,'OMNIA - Key Inputs_EB'!$E$268:$E$311,'Key Inputs_BY Techs'!$E68,'OMNIA - Key Inputs_EB'!$C$268:$C$311,'Key Inputs_BY Techs'!$C68)*S16</f>
        <v>0</v>
      </c>
      <c r="T68" s="46">
        <f>SUMIFS('OMNIA - Key Inputs_EB'!S$268:S$311,'OMNIA - Key Inputs_EB'!$E$268:$E$311,'Key Inputs_BY Techs'!$E68,'OMNIA - Key Inputs_EB'!$C$268:$C$311,'Key Inputs_BY Techs'!$C68)*T16</f>
        <v>700.11396119305095</v>
      </c>
      <c r="U68" s="46">
        <f>SUMIFS('OMNIA - Key Inputs_EB'!T$268:T$311,'OMNIA - Key Inputs_EB'!$E$268:$E$311,'Key Inputs_BY Techs'!$E68,'OMNIA - Key Inputs_EB'!$C$268:$C$311,'Key Inputs_BY Techs'!$C68)*U16</f>
        <v>16.526888364118768</v>
      </c>
      <c r="V68" s="46">
        <f>SUMIFS('OMNIA - Key Inputs_EB'!U$268:U$311,'OMNIA - Key Inputs_EB'!$E$268:$E$311,'Key Inputs_BY Techs'!$E68,'OMNIA - Key Inputs_EB'!$C$268:$C$311,'Key Inputs_BY Techs'!$C68)*V16</f>
        <v>9.9313300049314197</v>
      </c>
      <c r="W68" s="46">
        <f>SUMIFS('OMNIA - Key Inputs_EB'!V$268:V$311,'OMNIA - Key Inputs_EB'!$E$268:$E$311,'Key Inputs_BY Techs'!$E68,'OMNIA - Key Inputs_EB'!$C$268:$C$311,'Key Inputs_BY Techs'!$C68)*W16</f>
        <v>147.08227042068111</v>
      </c>
      <c r="X68" s="46">
        <f>SUMIFS('OMNIA - Key Inputs_EB'!W$268:W$311,'OMNIA - Key Inputs_EB'!$E$268:$E$311,'Key Inputs_BY Techs'!$E68,'OMNIA - Key Inputs_EB'!$C$268:$C$311,'Key Inputs_BY Techs'!$C68)*X16</f>
        <v>2.1458384055321966</v>
      </c>
      <c r="Y68" s="46">
        <f>SUMIFS('OMNIA - Key Inputs_EB'!X$268:X$311,'OMNIA - Key Inputs_EB'!$E$268:$E$311,'Key Inputs_BY Techs'!$E68,'OMNIA - Key Inputs_EB'!$C$268:$C$311,'Key Inputs_BY Techs'!$C68)*Y16</f>
        <v>18.088653576346143</v>
      </c>
      <c r="Z68" s="46">
        <f>SUMIFS('OMNIA - Key Inputs_EB'!Y$268:Y$311,'OMNIA - Key Inputs_EB'!$E$268:$E$311,'Key Inputs_BY Techs'!$E68,'OMNIA - Key Inputs_EB'!$C$268:$C$311,'Key Inputs_BY Techs'!$C68)*Z16</f>
        <v>29.335178571428571</v>
      </c>
      <c r="AA68" s="46">
        <f>SUMIFS('OMNIA - Key Inputs_EB'!Z$268:Z$311,'OMNIA - Key Inputs_EB'!$E$268:$E$311,'Key Inputs_BY Techs'!$E68,'OMNIA - Key Inputs_EB'!$C$268:$C$311,'Key Inputs_BY Techs'!$C68)*AA16</f>
        <v>5.0892857142857153</v>
      </c>
      <c r="AB68" s="46">
        <f>SUMIFS('OMNIA - Key Inputs_EB'!AA$268:AA$311,'OMNIA - Key Inputs_EB'!$E$268:$E$311,'Key Inputs_BY Techs'!$E68,'OMNIA - Key Inputs_EB'!$C$268:$C$311,'Key Inputs_BY Techs'!$C68)*AB16</f>
        <v>0</v>
      </c>
      <c r="AC68" s="46">
        <f>SUMIFS('OMNIA - Key Inputs_EB'!AB$268:AB$311,'OMNIA - Key Inputs_EB'!$E$268:$E$311,'Key Inputs_BY Techs'!$E68,'OMNIA - Key Inputs_EB'!$C$268:$C$311,'Key Inputs_BY Techs'!$C68)*AC16</f>
        <v>2.8291984958787673</v>
      </c>
      <c r="AD68" s="46">
        <f>SUMIFS('OMNIA - Key Inputs_EB'!AC$268:AC$311,'OMNIA - Key Inputs_EB'!$E$268:$E$311,'Key Inputs_BY Techs'!$E68,'OMNIA - Key Inputs_EB'!$C$268:$C$311,'Key Inputs_BY Techs'!$C68)*AD16</f>
        <v>26.527442225028523</v>
      </c>
      <c r="AE68" s="46">
        <f>SUMIFS('OMNIA - Key Inputs_EB'!AD$268:AD$311,'OMNIA - Key Inputs_EB'!$E$268:$E$311,'Key Inputs_BY Techs'!$E68,'OMNIA - Key Inputs_EB'!$C$268:$C$311,'Key Inputs_BY Techs'!$C68)*AE16</f>
        <v>0.29161249637644049</v>
      </c>
      <c r="AF68" s="46">
        <f>SUMIFS('OMNIA - Key Inputs_EB'!AE$268:AE$311,'OMNIA - Key Inputs_EB'!$E$268:$E$311,'Key Inputs_BY Techs'!$E68,'OMNIA - Key Inputs_EB'!$C$268:$C$311,'Key Inputs_BY Techs'!$C68)*AF16</f>
        <v>0</v>
      </c>
      <c r="AG68" s="46">
        <f>SUMIFS('OMNIA - Key Inputs_EB'!AF$268:AF$311,'OMNIA - Key Inputs_EB'!$E$268:$E$311,'Key Inputs_BY Techs'!$E68,'OMNIA - Key Inputs_EB'!$C$268:$C$311,'Key Inputs_BY Techs'!$C68)*AG16</f>
        <v>0</v>
      </c>
      <c r="AH68" s="46">
        <f>SUMIFS('OMNIA - Key Inputs_EB'!AG$268:AG$311,'OMNIA - Key Inputs_EB'!$E$268:$E$311,'Key Inputs_BY Techs'!$E68,'OMNIA - Key Inputs_EB'!$C$268:$C$311,'Key Inputs_BY Techs'!$C68)*AH16</f>
        <v>37.160475203828256</v>
      </c>
      <c r="AI68" s="46">
        <f>SUMIFS('OMNIA - Key Inputs_EB'!AH$268:AH$311,'OMNIA - Key Inputs_EB'!$E$268:$E$311,'Key Inputs_BY Techs'!$E68,'OMNIA - Key Inputs_EB'!$C$268:$C$311,'Key Inputs_BY Techs'!$C68)*AI16</f>
        <v>5.1704870760472552</v>
      </c>
      <c r="AJ68" s="46">
        <f>SUMIFS('OMNIA - Key Inputs_EB'!AI$268:AI$311,'OMNIA - Key Inputs_EB'!$E$268:$E$311,'Key Inputs_BY Techs'!$E68,'OMNIA - Key Inputs_EB'!$C$268:$C$311,'Key Inputs_BY Techs'!$C68)*AJ16</f>
        <v>0</v>
      </c>
    </row>
    <row r="69" spans="1:74" s="341" customFormat="1" ht="15.75" thickBot="1" x14ac:dyDescent="0.3">
      <c r="A69" s="341" t="s">
        <v>74</v>
      </c>
      <c r="B69" s="48" t="s">
        <v>122</v>
      </c>
      <c r="C69" s="48" t="s">
        <v>468</v>
      </c>
      <c r="D69" s="48" t="s">
        <v>474</v>
      </c>
      <c r="E69" s="48" t="s">
        <v>475</v>
      </c>
      <c r="F69" s="48" t="s">
        <v>12</v>
      </c>
      <c r="G69" s="48"/>
      <c r="H69" s="48"/>
      <c r="I69" s="48">
        <f>SUMIFS('OMNIA - Key Inputs_EB'!H$268:H$311,'OMNIA - Key Inputs_EB'!$E$268:$E$311,'Key Inputs_BY Techs'!$E69,'OMNIA - Key Inputs_EB'!$C$268:$C$311,'Key Inputs_BY Techs'!$C69)*I17</f>
        <v>1.8614772683830461</v>
      </c>
      <c r="J69" s="48">
        <f>SUMIFS('OMNIA - Key Inputs_EB'!I$268:I$311,'OMNIA - Key Inputs_EB'!$E$268:$E$311,'Key Inputs_BY Techs'!$E69,'OMNIA - Key Inputs_EB'!$C$268:$C$311,'Key Inputs_BY Techs'!$C69)*J17</f>
        <v>0.86310311462606526</v>
      </c>
      <c r="K69" s="48">
        <f>SUMIFS('OMNIA - Key Inputs_EB'!J$268:J$311,'OMNIA - Key Inputs_EB'!$E$268:$E$311,'Key Inputs_BY Techs'!$E69,'OMNIA - Key Inputs_EB'!$C$268:$C$311,'Key Inputs_BY Techs'!$C69)*K17</f>
        <v>2.462822158763831</v>
      </c>
      <c r="L69" s="48">
        <f>SUMIFS('OMNIA - Key Inputs_EB'!K$268:K$311,'OMNIA - Key Inputs_EB'!$E$268:$E$311,'Key Inputs_BY Techs'!$E69,'OMNIA - Key Inputs_EB'!$C$268:$C$311,'Key Inputs_BY Techs'!$C69)*L17</f>
        <v>4.4298819185831793</v>
      </c>
      <c r="M69" s="48">
        <f>SUMIFS('OMNIA - Key Inputs_EB'!L$268:L$311,'OMNIA - Key Inputs_EB'!$E$268:$E$311,'Key Inputs_BY Techs'!$E69,'OMNIA - Key Inputs_EB'!$C$268:$C$311,'Key Inputs_BY Techs'!$C69)*M17</f>
        <v>9.0784829698407704E-2</v>
      </c>
      <c r="N69" s="48">
        <f>SUMIFS('OMNIA - Key Inputs_EB'!M$268:M$311,'OMNIA - Key Inputs_EB'!$E$268:$E$311,'Key Inputs_BY Techs'!$E69,'OMNIA - Key Inputs_EB'!$C$268:$C$311,'Key Inputs_BY Techs'!$C69)*N17</f>
        <v>1.4037385979746815</v>
      </c>
      <c r="O69" s="48">
        <f>SUMIFS('OMNIA - Key Inputs_EB'!N$268:N$311,'OMNIA - Key Inputs_EB'!$E$268:$E$311,'Key Inputs_BY Techs'!$E69,'OMNIA - Key Inputs_EB'!$C$268:$C$311,'Key Inputs_BY Techs'!$C69)*O17</f>
        <v>0.39278929880988672</v>
      </c>
      <c r="P69" s="48">
        <f>SUMIFS('OMNIA - Key Inputs_EB'!O$268:O$311,'OMNIA - Key Inputs_EB'!$E$268:$E$311,'Key Inputs_BY Techs'!$E69,'OMNIA - Key Inputs_EB'!$C$268:$C$311,'Key Inputs_BY Techs'!$C69)*P17</f>
        <v>0.31647845721518941</v>
      </c>
      <c r="Q69" s="48">
        <f>SUMIFS('OMNIA - Key Inputs_EB'!P$268:P$311,'OMNIA - Key Inputs_EB'!$E$268:$E$311,'Key Inputs_BY Techs'!$E69,'OMNIA - Key Inputs_EB'!$C$268:$C$311,'Key Inputs_BY Techs'!$C69)*Q17</f>
        <v>8.3604721442063143E-3</v>
      </c>
      <c r="R69" s="48">
        <f>SUMIFS('OMNIA - Key Inputs_EB'!Q$268:Q$311,'OMNIA - Key Inputs_EB'!$E$268:$E$311,'Key Inputs_BY Techs'!$E69,'OMNIA - Key Inputs_EB'!$C$268:$C$311,'Key Inputs_BY Techs'!$C69)*R17</f>
        <v>44.569967203677194</v>
      </c>
      <c r="S69" s="48">
        <f>SUMIFS('OMNIA - Key Inputs_EB'!R$268:R$311,'OMNIA - Key Inputs_EB'!$E$268:$E$311,'Key Inputs_BY Techs'!$E69,'OMNIA - Key Inputs_EB'!$C$268:$C$311,'Key Inputs_BY Techs'!$C69)*S17</f>
        <v>2.9843439635168658</v>
      </c>
      <c r="T69" s="48">
        <f>SUMIFS('OMNIA - Key Inputs_EB'!S$268:S$311,'OMNIA - Key Inputs_EB'!$E$268:$E$311,'Key Inputs_BY Techs'!$E69,'OMNIA - Key Inputs_EB'!$C$268:$C$311,'Key Inputs_BY Techs'!$C69)*T17</f>
        <v>626.66394622999883</v>
      </c>
      <c r="U69" s="48">
        <f>SUMIFS('OMNIA - Key Inputs_EB'!T$268:T$311,'OMNIA - Key Inputs_EB'!$E$268:$E$311,'Key Inputs_BY Techs'!$E69,'OMNIA - Key Inputs_EB'!$C$268:$C$311,'Key Inputs_BY Techs'!$C69)*U17</f>
        <v>0.14115079344916509</v>
      </c>
      <c r="V69" s="48">
        <f>SUMIFS('OMNIA - Key Inputs_EB'!U$268:U$311,'OMNIA - Key Inputs_EB'!$E$268:$E$311,'Key Inputs_BY Techs'!$E69,'OMNIA - Key Inputs_EB'!$C$268:$C$311,'Key Inputs_BY Techs'!$C69)*V17</f>
        <v>124.07906578776638</v>
      </c>
      <c r="W69" s="48">
        <f>SUMIFS('OMNIA - Key Inputs_EB'!V$268:V$311,'OMNIA - Key Inputs_EB'!$E$268:$E$311,'Key Inputs_BY Techs'!$E69,'OMNIA - Key Inputs_EB'!$C$268:$C$311,'Key Inputs_BY Techs'!$C69)*W17</f>
        <v>4.3644976100262314</v>
      </c>
      <c r="X69" s="48">
        <f>SUMIFS('OMNIA - Key Inputs_EB'!W$268:W$311,'OMNIA - Key Inputs_EB'!$E$268:$E$311,'Key Inputs_BY Techs'!$E69,'OMNIA - Key Inputs_EB'!$C$268:$C$311,'Key Inputs_BY Techs'!$C69)*X17</f>
        <v>235.91662354834139</v>
      </c>
      <c r="Y69" s="48">
        <f>SUMIFS('OMNIA - Key Inputs_EB'!X$268:X$311,'OMNIA - Key Inputs_EB'!$E$268:$E$311,'Key Inputs_BY Techs'!$E69,'OMNIA - Key Inputs_EB'!$C$268:$C$311,'Key Inputs_BY Techs'!$C69)*Y17</f>
        <v>561.94708721574887</v>
      </c>
      <c r="Z69" s="48">
        <f>SUMIFS('OMNIA - Key Inputs_EB'!Y$268:Y$311,'OMNIA - Key Inputs_EB'!$E$268:$E$311,'Key Inputs_BY Techs'!$E69,'OMNIA - Key Inputs_EB'!$C$268:$C$311,'Key Inputs_BY Techs'!$C69)*Z17</f>
        <v>11.732772032405046</v>
      </c>
      <c r="AA69" s="48">
        <f>SUMIFS('OMNIA - Key Inputs_EB'!Z$268:Z$311,'OMNIA - Key Inputs_EB'!$E$268:$E$311,'Key Inputs_BY Techs'!$E69,'OMNIA - Key Inputs_EB'!$C$268:$C$311,'Key Inputs_BY Techs'!$C69)*AA17</f>
        <v>1.5061679544303777</v>
      </c>
      <c r="AB69" s="48">
        <f>SUMIFS('OMNIA - Key Inputs_EB'!AA$268:AA$311,'OMNIA - Key Inputs_EB'!$E$268:$E$311,'Key Inputs_BY Techs'!$E69,'OMNIA - Key Inputs_EB'!$C$268:$C$311,'Key Inputs_BY Techs'!$C69)*AB17</f>
        <v>237.44436834910545</v>
      </c>
      <c r="AC69" s="48">
        <f>SUMIFS('OMNIA - Key Inputs_EB'!AB$268:AB$311,'OMNIA - Key Inputs_EB'!$E$268:$E$311,'Key Inputs_BY Techs'!$E69,'OMNIA - Key Inputs_EB'!$C$268:$C$311,'Key Inputs_BY Techs'!$C69)*AC17</f>
        <v>4.962262952141784</v>
      </c>
      <c r="AD69" s="48">
        <f>SUMIFS('OMNIA - Key Inputs_EB'!AC$268:AC$311,'OMNIA - Key Inputs_EB'!$E$268:$E$311,'Key Inputs_BY Techs'!$E69,'OMNIA - Key Inputs_EB'!$C$268:$C$311,'Key Inputs_BY Techs'!$C69)*AD17</f>
        <v>13.474271737392083</v>
      </c>
      <c r="AE69" s="48">
        <f>SUMIFS('OMNIA - Key Inputs_EB'!AD$268:AD$311,'OMNIA - Key Inputs_EB'!$E$268:$E$311,'Key Inputs_BY Techs'!$E69,'OMNIA - Key Inputs_EB'!$C$268:$C$311,'Key Inputs_BY Techs'!$C69)*AE17</f>
        <v>62.477394336606473</v>
      </c>
      <c r="AF69" s="48">
        <f>SUMIFS('OMNIA - Key Inputs_EB'!AE$268:AE$311,'OMNIA - Key Inputs_EB'!$E$268:$E$311,'Key Inputs_BY Techs'!$E69,'OMNIA - Key Inputs_EB'!$C$268:$C$311,'Key Inputs_BY Techs'!$C69)*AF17</f>
        <v>0</v>
      </c>
      <c r="AG69" s="48">
        <f>SUMIFS('OMNIA - Key Inputs_EB'!AF$268:AF$311,'OMNIA - Key Inputs_EB'!$E$268:$E$311,'Key Inputs_BY Techs'!$E69,'OMNIA - Key Inputs_EB'!$C$268:$C$311,'Key Inputs_BY Techs'!$C69)*AG17</f>
        <v>4.0225048866107773</v>
      </c>
      <c r="AH69" s="48">
        <f>SUMIFS('OMNIA - Key Inputs_EB'!AG$268:AG$311,'OMNIA - Key Inputs_EB'!$E$268:$E$311,'Key Inputs_BY Techs'!$E69,'OMNIA - Key Inputs_EB'!$C$268:$C$311,'Key Inputs_BY Techs'!$C69)*AH17</f>
        <v>1.4790301706924134</v>
      </c>
      <c r="AI69" s="48">
        <f>SUMIFS('OMNIA - Key Inputs_EB'!AH$268:AH$311,'OMNIA - Key Inputs_EB'!$E$268:$E$311,'Key Inputs_BY Techs'!$E69,'OMNIA - Key Inputs_EB'!$C$268:$C$311,'Key Inputs_BY Techs'!$C69)*AI17</f>
        <v>58.350647958278948</v>
      </c>
      <c r="AJ69" s="48">
        <f>SUMIFS('OMNIA - Key Inputs_EB'!AI$268:AI$311,'OMNIA - Key Inputs_EB'!$E$268:$E$311,'Key Inputs_BY Techs'!$E69,'OMNIA - Key Inputs_EB'!$C$268:$C$311,'Key Inputs_BY Techs'!$C69)*AJ17</f>
        <v>286.84946429031379</v>
      </c>
    </row>
    <row r="70" spans="1:74" s="341" customFormat="1" x14ac:dyDescent="0.2">
      <c r="A70" s="341" t="s">
        <v>74</v>
      </c>
      <c r="B70" s="46" t="s">
        <v>122</v>
      </c>
      <c r="C70" s="46" t="s">
        <v>469</v>
      </c>
      <c r="D70" s="46" t="s">
        <v>22</v>
      </c>
      <c r="E70" s="46" t="s">
        <v>111</v>
      </c>
      <c r="F70" s="46" t="s">
        <v>12</v>
      </c>
      <c r="G70" s="46"/>
      <c r="H70" s="46"/>
      <c r="I70" s="417">
        <f>SUMIFS('OMNIA - Key Inputs_EB'!H$268:H$311,'OMNIA - Key Inputs_EB'!$E$268:$E$311,'Key Inputs_BY Techs'!$E70,'OMNIA - Key Inputs_EB'!$C$268:$C$311,'Key Inputs_BY Techs'!$C70)*I18</f>
        <v>0</v>
      </c>
      <c r="J70" s="417">
        <f>SUMIFS('OMNIA - Key Inputs_EB'!I$268:I$311,'OMNIA - Key Inputs_EB'!$E$268:$E$311,'Key Inputs_BY Techs'!$E70,'OMNIA - Key Inputs_EB'!$C$268:$C$311,'Key Inputs_BY Techs'!$C70)*J18</f>
        <v>0</v>
      </c>
      <c r="K70" s="417">
        <f>SUMIFS('OMNIA - Key Inputs_EB'!J$268:J$311,'OMNIA - Key Inputs_EB'!$E$268:$E$311,'Key Inputs_BY Techs'!$E70,'OMNIA - Key Inputs_EB'!$C$268:$C$311,'Key Inputs_BY Techs'!$C70)*K18</f>
        <v>0</v>
      </c>
      <c r="L70" s="417">
        <f>SUMIFS('OMNIA - Key Inputs_EB'!K$268:K$311,'OMNIA - Key Inputs_EB'!$E$268:$E$311,'Key Inputs_BY Techs'!$E70,'OMNIA - Key Inputs_EB'!$C$268:$C$311,'Key Inputs_BY Techs'!$C70)*L18</f>
        <v>0</v>
      </c>
      <c r="M70" s="417">
        <f>SUMIFS('OMNIA - Key Inputs_EB'!L$268:L$311,'OMNIA - Key Inputs_EB'!$E$268:$E$311,'Key Inputs_BY Techs'!$E70,'OMNIA - Key Inputs_EB'!$C$268:$C$311,'Key Inputs_BY Techs'!$C70)*M18</f>
        <v>1.3071973227443513E-2</v>
      </c>
      <c r="N70" s="417">
        <f>SUMIFS('OMNIA - Key Inputs_EB'!M$268:M$311,'OMNIA - Key Inputs_EB'!$E$268:$E$311,'Key Inputs_BY Techs'!$E70,'OMNIA - Key Inputs_EB'!$C$268:$C$311,'Key Inputs_BY Techs'!$C70)*N18</f>
        <v>0</v>
      </c>
      <c r="O70" s="417">
        <f>SUMIFS('OMNIA - Key Inputs_EB'!N$268:N$311,'OMNIA - Key Inputs_EB'!$E$268:$E$311,'Key Inputs_BY Techs'!$E70,'OMNIA - Key Inputs_EB'!$C$268:$C$311,'Key Inputs_BY Techs'!$C70)*O18</f>
        <v>1.8619112960945258E-3</v>
      </c>
      <c r="P70" s="417">
        <f>SUMIFS('OMNIA - Key Inputs_EB'!O$268:O$311,'OMNIA - Key Inputs_EB'!$E$268:$E$311,'Key Inputs_BY Techs'!$E70,'OMNIA - Key Inputs_EB'!$C$268:$C$311,'Key Inputs_BY Techs'!$C70)*P18</f>
        <v>0</v>
      </c>
      <c r="Q70" s="417">
        <f>SUMIFS('OMNIA - Key Inputs_EB'!P$268:P$311,'OMNIA - Key Inputs_EB'!$E$268:$E$311,'Key Inputs_BY Techs'!$E70,'OMNIA - Key Inputs_EB'!$C$268:$C$311,'Key Inputs_BY Techs'!$C70)*Q18</f>
        <v>0</v>
      </c>
      <c r="R70" s="417">
        <f>SUMIFS('OMNIA - Key Inputs_EB'!Q$268:Q$311,'OMNIA - Key Inputs_EB'!$E$268:$E$311,'Key Inputs_BY Techs'!$E70,'OMNIA - Key Inputs_EB'!$C$268:$C$311,'Key Inputs_BY Techs'!$C70)*R18</f>
        <v>0</v>
      </c>
      <c r="S70" s="417">
        <f>SUMIFS('OMNIA - Key Inputs_EB'!R$268:R$311,'OMNIA - Key Inputs_EB'!$E$268:$E$311,'Key Inputs_BY Techs'!$E70,'OMNIA - Key Inputs_EB'!$C$268:$C$311,'Key Inputs_BY Techs'!$C70)*S18</f>
        <v>0</v>
      </c>
      <c r="T70" s="417">
        <f>SUMIFS('OMNIA - Key Inputs_EB'!S$268:S$311,'OMNIA - Key Inputs_EB'!$E$268:$E$311,'Key Inputs_BY Techs'!$E70,'OMNIA - Key Inputs_EB'!$C$268:$C$311,'Key Inputs_BY Techs'!$C70)*T18</f>
        <v>0</v>
      </c>
      <c r="U70" s="417">
        <f>SUMIFS('OMNIA - Key Inputs_EB'!T$268:T$311,'OMNIA - Key Inputs_EB'!$E$268:$E$311,'Key Inputs_BY Techs'!$E70,'OMNIA - Key Inputs_EB'!$C$268:$C$311,'Key Inputs_BY Techs'!$C70)*U18</f>
        <v>6.453324628535994E-4</v>
      </c>
      <c r="V70" s="417">
        <f>SUMIFS('OMNIA - Key Inputs_EB'!U$268:U$311,'OMNIA - Key Inputs_EB'!$E$268:$E$311,'Key Inputs_BY Techs'!$E70,'OMNIA - Key Inputs_EB'!$C$268:$C$311,'Key Inputs_BY Techs'!$C70)*V18</f>
        <v>0.51914655476124871</v>
      </c>
      <c r="W70" s="417">
        <f>SUMIFS('OMNIA - Key Inputs_EB'!V$268:V$311,'OMNIA - Key Inputs_EB'!$E$268:$E$311,'Key Inputs_BY Techs'!$E70,'OMNIA - Key Inputs_EB'!$C$268:$C$311,'Key Inputs_BY Techs'!$C70)*W18</f>
        <v>2.1828740055276432E-2</v>
      </c>
      <c r="X70" s="417">
        <f>SUMIFS('OMNIA - Key Inputs_EB'!W$268:W$311,'OMNIA - Key Inputs_EB'!$E$268:$E$311,'Key Inputs_BY Techs'!$E70,'OMNIA - Key Inputs_EB'!$C$268:$C$311,'Key Inputs_BY Techs'!$C70)*X18</f>
        <v>2.4894957871580359</v>
      </c>
      <c r="Y70" s="417">
        <f>SUMIFS('OMNIA - Key Inputs_EB'!X$268:X$311,'OMNIA - Key Inputs_EB'!$E$268:$E$311,'Key Inputs_BY Techs'!$E70,'OMNIA - Key Inputs_EB'!$C$268:$C$311,'Key Inputs_BY Techs'!$C70)*Y18</f>
        <v>0.5285165878964676</v>
      </c>
      <c r="Z70" s="417">
        <f>SUMIFS('OMNIA - Key Inputs_EB'!Y$268:Y$311,'OMNIA - Key Inputs_EB'!$E$268:$E$311,'Key Inputs_BY Techs'!$E70,'OMNIA - Key Inputs_EB'!$C$268:$C$311,'Key Inputs_BY Techs'!$C70)*Z18</f>
        <v>0</v>
      </c>
      <c r="AA70" s="417">
        <f>SUMIFS('OMNIA - Key Inputs_EB'!Z$268:Z$311,'OMNIA - Key Inputs_EB'!$E$268:$E$311,'Key Inputs_BY Techs'!$E70,'OMNIA - Key Inputs_EB'!$C$268:$C$311,'Key Inputs_BY Techs'!$C70)*AA18</f>
        <v>0</v>
      </c>
      <c r="AB70" s="417">
        <f>SUMIFS('OMNIA - Key Inputs_EB'!AA$268:AA$311,'OMNIA - Key Inputs_EB'!$E$268:$E$311,'Key Inputs_BY Techs'!$E70,'OMNIA - Key Inputs_EB'!$C$268:$C$311,'Key Inputs_BY Techs'!$C70)*AB18</f>
        <v>0.21639581746040804</v>
      </c>
      <c r="AC70" s="417">
        <f>SUMIFS('OMNIA - Key Inputs_EB'!AB$268:AB$311,'OMNIA - Key Inputs_EB'!$E$268:$E$311,'Key Inputs_BY Techs'!$E70,'OMNIA - Key Inputs_EB'!$C$268:$C$311,'Key Inputs_BY Techs'!$C70)*AC18</f>
        <v>1.1842249701646969E-2</v>
      </c>
      <c r="AD70" s="417">
        <f>SUMIFS('OMNIA - Key Inputs_EB'!AC$268:AC$311,'OMNIA - Key Inputs_EB'!$E$268:$E$311,'Key Inputs_BY Techs'!$E70,'OMNIA - Key Inputs_EB'!$C$268:$C$311,'Key Inputs_BY Techs'!$C70)*AD18</f>
        <v>1.4707130577617369</v>
      </c>
      <c r="AE70" s="417">
        <f>SUMIFS('OMNIA - Key Inputs_EB'!AD$268:AD$311,'OMNIA - Key Inputs_EB'!$E$268:$E$311,'Key Inputs_BY Techs'!$E70,'OMNIA - Key Inputs_EB'!$C$268:$C$311,'Key Inputs_BY Techs'!$C70)*AE18</f>
        <v>0</v>
      </c>
      <c r="AF70" s="417">
        <f>SUMIFS('OMNIA - Key Inputs_EB'!AE$268:AE$311,'OMNIA - Key Inputs_EB'!$E$268:$E$311,'Key Inputs_BY Techs'!$E70,'OMNIA - Key Inputs_EB'!$C$268:$C$311,'Key Inputs_BY Techs'!$C70)*AF18</f>
        <v>0.16452807683686907</v>
      </c>
      <c r="AG70" s="417">
        <f>SUMIFS('OMNIA - Key Inputs_EB'!AF$268:AF$311,'OMNIA - Key Inputs_EB'!$E$268:$E$311,'Key Inputs_BY Techs'!$E70,'OMNIA - Key Inputs_EB'!$C$268:$C$311,'Key Inputs_BY Techs'!$C70)*AG18</f>
        <v>0</v>
      </c>
      <c r="AH70" s="417">
        <f>SUMIFS('OMNIA - Key Inputs_EB'!AG$268:AG$311,'OMNIA - Key Inputs_EB'!$E$268:$E$311,'Key Inputs_BY Techs'!$E70,'OMNIA - Key Inputs_EB'!$C$268:$C$311,'Key Inputs_BY Techs'!$C70)*AH18</f>
        <v>0</v>
      </c>
      <c r="AI70" s="417">
        <f>SUMIFS('OMNIA - Key Inputs_EB'!AH$268:AH$311,'OMNIA - Key Inputs_EB'!$E$268:$E$311,'Key Inputs_BY Techs'!$E70,'OMNIA - Key Inputs_EB'!$C$268:$C$311,'Key Inputs_BY Techs'!$C70)*AI18</f>
        <v>0.20122987397516762</v>
      </c>
      <c r="AJ70" s="417">
        <f>SUMIFS('OMNIA - Key Inputs_EB'!AI$268:AI$311,'OMNIA - Key Inputs_EB'!$E$268:$E$311,'Key Inputs_BY Techs'!$E70,'OMNIA - Key Inputs_EB'!$C$268:$C$311,'Key Inputs_BY Techs'!$C70)*AJ18</f>
        <v>9.3362856582258242</v>
      </c>
      <c r="AL70" s="385"/>
      <c r="AM70" s="405"/>
      <c r="AN70" s="385"/>
    </row>
    <row r="71" spans="1:74" s="341" customFormat="1" x14ac:dyDescent="0.2">
      <c r="A71" s="341" t="s">
        <v>74</v>
      </c>
      <c r="B71" s="46" t="s">
        <v>122</v>
      </c>
      <c r="C71" s="46" t="s">
        <v>469</v>
      </c>
      <c r="D71" s="46" t="s">
        <v>115</v>
      </c>
      <c r="E71" s="46" t="s">
        <v>368</v>
      </c>
      <c r="F71" s="46" t="s">
        <v>12</v>
      </c>
      <c r="G71" s="46"/>
      <c r="H71" s="385"/>
      <c r="I71" s="46">
        <f>SUMIFS('OMNIA - Key Inputs_EB'!H$268:H$311,'OMNIA - Key Inputs_EB'!$E$268:$E$311,'Key Inputs_BY Techs'!$E71,'OMNIA - Key Inputs_EB'!$C$268:$C$311,'Key Inputs_BY Techs'!$C71)*I19</f>
        <v>3.0454894070961749</v>
      </c>
      <c r="J71" s="46">
        <f>SUMIFS('OMNIA - Key Inputs_EB'!I$268:I$311,'OMNIA - Key Inputs_EB'!$E$268:$E$311,'Key Inputs_BY Techs'!$E71,'OMNIA - Key Inputs_EB'!$C$268:$C$311,'Key Inputs_BY Techs'!$C71)*J19</f>
        <v>0</v>
      </c>
      <c r="K71" s="46">
        <f>SUMIFS('OMNIA - Key Inputs_EB'!J$268:J$311,'OMNIA - Key Inputs_EB'!$E$268:$E$311,'Key Inputs_BY Techs'!$E71,'OMNIA - Key Inputs_EB'!$C$268:$C$311,'Key Inputs_BY Techs'!$C71)*K19</f>
        <v>10.004478341026145</v>
      </c>
      <c r="L71" s="46">
        <f>SUMIFS('OMNIA - Key Inputs_EB'!K$268:K$311,'OMNIA - Key Inputs_EB'!$E$268:$E$311,'Key Inputs_BY Techs'!$E71,'OMNIA - Key Inputs_EB'!$C$268:$C$311,'Key Inputs_BY Techs'!$C71)*L19</f>
        <v>0</v>
      </c>
      <c r="M71" s="46">
        <f>SUMIFS('OMNIA - Key Inputs_EB'!L$268:L$311,'OMNIA - Key Inputs_EB'!$E$268:$E$311,'Key Inputs_BY Techs'!$E71,'OMNIA - Key Inputs_EB'!$C$268:$C$311,'Key Inputs_BY Techs'!$C71)*M19</f>
        <v>7.6348473580879752E-3</v>
      </c>
      <c r="N71" s="46">
        <f>SUMIFS('OMNIA - Key Inputs_EB'!M$268:M$311,'OMNIA - Key Inputs_EB'!$E$268:$E$311,'Key Inputs_BY Techs'!$E71,'OMNIA - Key Inputs_EB'!$C$268:$C$311,'Key Inputs_BY Techs'!$C71)*N19</f>
        <v>0</v>
      </c>
      <c r="O71" s="46">
        <f>SUMIFS('OMNIA - Key Inputs_EB'!N$268:N$311,'OMNIA - Key Inputs_EB'!$E$268:$E$311,'Key Inputs_BY Techs'!$E71,'OMNIA - Key Inputs_EB'!$C$268:$C$311,'Key Inputs_BY Techs'!$C71)*O19</f>
        <v>12.057438094293632</v>
      </c>
      <c r="P71" s="46">
        <f>SUMIFS('OMNIA - Key Inputs_EB'!O$268:O$311,'OMNIA - Key Inputs_EB'!$E$268:$E$311,'Key Inputs_BY Techs'!$E71,'OMNIA - Key Inputs_EB'!$C$268:$C$311,'Key Inputs_BY Techs'!$C71)*P19</f>
        <v>0</v>
      </c>
      <c r="Q71" s="46">
        <f>SUMIFS('OMNIA - Key Inputs_EB'!P$268:P$311,'OMNIA - Key Inputs_EB'!$E$268:$E$311,'Key Inputs_BY Techs'!$E71,'OMNIA - Key Inputs_EB'!$C$268:$C$311,'Key Inputs_BY Techs'!$C71)*Q19</f>
        <v>0</v>
      </c>
      <c r="R71" s="46">
        <f>SUMIFS('OMNIA - Key Inputs_EB'!Q$268:Q$311,'OMNIA - Key Inputs_EB'!$E$268:$E$311,'Key Inputs_BY Techs'!$E71,'OMNIA - Key Inputs_EB'!$C$268:$C$311,'Key Inputs_BY Techs'!$C71)*R19</f>
        <v>8.2322250440363689</v>
      </c>
      <c r="S71" s="46">
        <f>SUMIFS('OMNIA - Key Inputs_EB'!R$268:R$311,'OMNIA - Key Inputs_EB'!$E$268:$E$311,'Key Inputs_BY Techs'!$E71,'OMNIA - Key Inputs_EB'!$C$268:$C$311,'Key Inputs_BY Techs'!$C71)*S19</f>
        <v>0</v>
      </c>
      <c r="T71" s="46">
        <f>SUMIFS('OMNIA - Key Inputs_EB'!S$268:S$311,'OMNIA - Key Inputs_EB'!$E$268:$E$311,'Key Inputs_BY Techs'!$E71,'OMNIA - Key Inputs_EB'!$C$268:$C$311,'Key Inputs_BY Techs'!$C71)*T19</f>
        <v>41.328212104534487</v>
      </c>
      <c r="U71" s="46">
        <f>SUMIFS('OMNIA - Key Inputs_EB'!T$268:T$311,'OMNIA - Key Inputs_EB'!$E$268:$E$311,'Key Inputs_BY Techs'!$E71,'OMNIA - Key Inputs_EB'!$C$268:$C$311,'Key Inputs_BY Techs'!$C71)*U19</f>
        <v>0.35448026090924761</v>
      </c>
      <c r="V71" s="46">
        <f>SUMIFS('OMNIA - Key Inputs_EB'!U$268:U$311,'OMNIA - Key Inputs_EB'!$E$268:$E$311,'Key Inputs_BY Techs'!$E71,'OMNIA - Key Inputs_EB'!$C$268:$C$311,'Key Inputs_BY Techs'!$C71)*V19</f>
        <v>6.7475153785882576</v>
      </c>
      <c r="W71" s="46">
        <f>SUMIFS('OMNIA - Key Inputs_EB'!V$268:V$311,'OMNIA - Key Inputs_EB'!$E$268:$E$311,'Key Inputs_BY Techs'!$E71,'OMNIA - Key Inputs_EB'!$C$268:$C$311,'Key Inputs_BY Techs'!$C71)*W19</f>
        <v>1.8188499887952587</v>
      </c>
      <c r="X71" s="46">
        <f>SUMIFS('OMNIA - Key Inputs_EB'!W$268:W$311,'OMNIA - Key Inputs_EB'!$E$268:$E$311,'Key Inputs_BY Techs'!$E71,'OMNIA - Key Inputs_EB'!$C$268:$C$311,'Key Inputs_BY Techs'!$C71)*X19</f>
        <v>27.981592535369867</v>
      </c>
      <c r="Y71" s="46">
        <f>SUMIFS('OMNIA - Key Inputs_EB'!X$268:X$311,'OMNIA - Key Inputs_EB'!$E$268:$E$311,'Key Inputs_BY Techs'!$E71,'OMNIA - Key Inputs_EB'!$C$268:$C$311,'Key Inputs_BY Techs'!$C71)*Y19</f>
        <v>4.7420362713138129</v>
      </c>
      <c r="Z71" s="46">
        <f>SUMIFS('OMNIA - Key Inputs_EB'!Y$268:Y$311,'OMNIA - Key Inputs_EB'!$E$268:$E$311,'Key Inputs_BY Techs'!$E71,'OMNIA - Key Inputs_EB'!$C$268:$C$311,'Key Inputs_BY Techs'!$C71)*Z19</f>
        <v>0</v>
      </c>
      <c r="AA71" s="46">
        <f>SUMIFS('OMNIA - Key Inputs_EB'!Z$268:Z$311,'OMNIA - Key Inputs_EB'!$E$268:$E$311,'Key Inputs_BY Techs'!$E71,'OMNIA - Key Inputs_EB'!$C$268:$C$311,'Key Inputs_BY Techs'!$C71)*AA19</f>
        <v>0</v>
      </c>
      <c r="AB71" s="46">
        <f>SUMIFS('OMNIA - Key Inputs_EB'!AA$268:AA$311,'OMNIA - Key Inputs_EB'!$E$268:$E$311,'Key Inputs_BY Techs'!$E71,'OMNIA - Key Inputs_EB'!$C$268:$C$311,'Key Inputs_BY Techs'!$C71)*AB19</f>
        <v>6.1999241487697967E-3</v>
      </c>
      <c r="AC71" s="46">
        <f>SUMIFS('OMNIA - Key Inputs_EB'!AB$268:AB$311,'OMNIA - Key Inputs_EB'!$E$268:$E$311,'Key Inputs_BY Techs'!$E71,'OMNIA - Key Inputs_EB'!$C$268:$C$311,'Key Inputs_BY Techs'!$C71)*AC19</f>
        <v>0</v>
      </c>
      <c r="AD71" s="46">
        <f>SUMIFS('OMNIA - Key Inputs_EB'!AC$268:AC$311,'OMNIA - Key Inputs_EB'!$E$268:$E$311,'Key Inputs_BY Techs'!$E71,'OMNIA - Key Inputs_EB'!$C$268:$C$311,'Key Inputs_BY Techs'!$C71)*AD19</f>
        <v>1.6750870063790342</v>
      </c>
      <c r="AE71" s="46">
        <f>SUMIFS('OMNIA - Key Inputs_EB'!AD$268:AD$311,'OMNIA - Key Inputs_EB'!$E$268:$E$311,'Key Inputs_BY Techs'!$E71,'OMNIA - Key Inputs_EB'!$C$268:$C$311,'Key Inputs_BY Techs'!$C71)*AE19</f>
        <v>2.8814764481479932E-2</v>
      </c>
      <c r="AF71" s="46">
        <f>SUMIFS('OMNIA - Key Inputs_EB'!AE$268:AE$311,'OMNIA - Key Inputs_EB'!$E$268:$E$311,'Key Inputs_BY Techs'!$E71,'OMNIA - Key Inputs_EB'!$C$268:$C$311,'Key Inputs_BY Techs'!$C71)*AF19</f>
        <v>3.7221897308666185</v>
      </c>
      <c r="AG71" s="46">
        <f>SUMIFS('OMNIA - Key Inputs_EB'!AF$268:AF$311,'OMNIA - Key Inputs_EB'!$E$268:$E$311,'Key Inputs_BY Techs'!$E71,'OMNIA - Key Inputs_EB'!$C$268:$C$311,'Key Inputs_BY Techs'!$C71)*AG19</f>
        <v>20.457046276845894</v>
      </c>
      <c r="AH71" s="46">
        <f>SUMIFS('OMNIA - Key Inputs_EB'!AG$268:AG$311,'OMNIA - Key Inputs_EB'!$E$268:$E$311,'Key Inputs_BY Techs'!$E71,'OMNIA - Key Inputs_EB'!$C$268:$C$311,'Key Inputs_BY Techs'!$C71)*AH19</f>
        <v>2.6577813284814478</v>
      </c>
      <c r="AI71" s="46">
        <f>SUMIFS('OMNIA - Key Inputs_EB'!AH$268:AH$311,'OMNIA - Key Inputs_EB'!$E$268:$E$311,'Key Inputs_BY Techs'!$E71,'OMNIA - Key Inputs_EB'!$C$268:$C$311,'Key Inputs_BY Techs'!$C71)*AI19</f>
        <v>0.75060207777657673</v>
      </c>
      <c r="AJ71" s="46">
        <f>SUMIFS('OMNIA - Key Inputs_EB'!AI$268:AI$311,'OMNIA - Key Inputs_EB'!$E$268:$E$311,'Key Inputs_BY Techs'!$E71,'OMNIA - Key Inputs_EB'!$C$268:$C$311,'Key Inputs_BY Techs'!$C71)*AJ19</f>
        <v>92.724882888614459</v>
      </c>
      <c r="AL71" s="385"/>
      <c r="AM71" s="405"/>
      <c r="AN71" s="385"/>
    </row>
    <row r="72" spans="1:74" s="341" customFormat="1" x14ac:dyDescent="0.2">
      <c r="A72" s="341" t="s">
        <v>74</v>
      </c>
      <c r="B72" s="46" t="s">
        <v>122</v>
      </c>
      <c r="C72" s="46" t="s">
        <v>469</v>
      </c>
      <c r="D72" s="46" t="s">
        <v>19</v>
      </c>
      <c r="E72" s="46" t="s">
        <v>105</v>
      </c>
      <c r="F72" s="46" t="s">
        <v>12</v>
      </c>
      <c r="G72" s="46"/>
      <c r="H72" s="385"/>
      <c r="I72" s="46">
        <f>SUMIFS('OMNIA - Key Inputs_EB'!H$268:H$311,'OMNIA - Key Inputs_EB'!$E$268:$E$311,'Key Inputs_BY Techs'!$E72,'OMNIA - Key Inputs_EB'!$C$268:$C$311,'Key Inputs_BY Techs'!$C72)*I20*(1-I$44)</f>
        <v>8.2592070676065187E-3</v>
      </c>
      <c r="J72" s="46">
        <f>SUMIFS('OMNIA - Key Inputs_EB'!I$268:I$311,'OMNIA - Key Inputs_EB'!$E$268:$E$311,'Key Inputs_BY Techs'!$E72,'OMNIA - Key Inputs_EB'!$C$268:$C$311,'Key Inputs_BY Techs'!$C72)*J20*(1-J$44)</f>
        <v>0</v>
      </c>
      <c r="K72" s="46">
        <f>SUMIFS('OMNIA - Key Inputs_EB'!J$268:J$311,'OMNIA - Key Inputs_EB'!$E$268:$E$311,'Key Inputs_BY Techs'!$E72,'OMNIA - Key Inputs_EB'!$C$268:$C$311,'Key Inputs_BY Techs'!$C72)*K20*(1-K$44)</f>
        <v>3.669659967787061E-2</v>
      </c>
      <c r="L72" s="46">
        <f>SUMIFS('OMNIA - Key Inputs_EB'!K$268:K$311,'OMNIA - Key Inputs_EB'!$E$268:$E$311,'Key Inputs_BY Techs'!$E72,'OMNIA - Key Inputs_EB'!$C$268:$C$311,'Key Inputs_BY Techs'!$C72)*L20*(1-L$44)</f>
        <v>0</v>
      </c>
      <c r="M72" s="46">
        <f>SUMIFS('OMNIA - Key Inputs_EB'!L$268:L$311,'OMNIA - Key Inputs_EB'!$E$268:$E$311,'Key Inputs_BY Techs'!$E72,'OMNIA - Key Inputs_EB'!$C$268:$C$311,'Key Inputs_BY Techs'!$C72)*M20*(1-M$44)</f>
        <v>5.2735059015633363E-2</v>
      </c>
      <c r="N72" s="46">
        <f>SUMIFS('OMNIA - Key Inputs_EB'!M$268:M$311,'OMNIA - Key Inputs_EB'!$E$268:$E$311,'Key Inputs_BY Techs'!$E72,'OMNIA - Key Inputs_EB'!$C$268:$C$311,'Key Inputs_BY Techs'!$C72)*N20*(1-N$44)</f>
        <v>0</v>
      </c>
      <c r="O72" s="46">
        <f>SUMIFS('OMNIA - Key Inputs_EB'!N$268:N$311,'OMNIA - Key Inputs_EB'!$E$268:$E$311,'Key Inputs_BY Techs'!$E72,'OMNIA - Key Inputs_EB'!$C$268:$C$311,'Key Inputs_BY Techs'!$C72)*O20*(1-O$44)</f>
        <v>0.88340932768698432</v>
      </c>
      <c r="P72" s="46">
        <f>SUMIFS('OMNIA - Key Inputs_EB'!O$268:O$311,'OMNIA - Key Inputs_EB'!$E$268:$E$311,'Key Inputs_BY Techs'!$E72,'OMNIA - Key Inputs_EB'!$C$268:$C$311,'Key Inputs_BY Techs'!$C72)*P20*(1-P$44)</f>
        <v>0</v>
      </c>
      <c r="Q72" s="46">
        <f>SUMIFS('OMNIA - Key Inputs_EB'!P$268:P$311,'OMNIA - Key Inputs_EB'!$E$268:$E$311,'Key Inputs_BY Techs'!$E72,'OMNIA - Key Inputs_EB'!$C$268:$C$311,'Key Inputs_BY Techs'!$C72)*Q20*(1-Q$44)</f>
        <v>0.27970800891294129</v>
      </c>
      <c r="R72" s="46">
        <f>SUMIFS('OMNIA - Key Inputs_EB'!Q$268:Q$311,'OMNIA - Key Inputs_EB'!$E$268:$E$311,'Key Inputs_BY Techs'!$E72,'OMNIA - Key Inputs_EB'!$C$268:$C$311,'Key Inputs_BY Techs'!$C72)*R20*(1-R$44)</f>
        <v>31.414343447382521</v>
      </c>
      <c r="S72" s="46">
        <f>SUMIFS('OMNIA - Key Inputs_EB'!R$268:R$311,'OMNIA - Key Inputs_EB'!$E$268:$E$311,'Key Inputs_BY Techs'!$E72,'OMNIA - Key Inputs_EB'!$C$268:$C$311,'Key Inputs_BY Techs'!$C72)*S20*(1-S$44)</f>
        <v>0</v>
      </c>
      <c r="T72" s="46">
        <f>SUMIFS('OMNIA - Key Inputs_EB'!S$268:S$311,'OMNIA - Key Inputs_EB'!$E$268:$E$311,'Key Inputs_BY Techs'!$E72,'OMNIA - Key Inputs_EB'!$C$268:$C$311,'Key Inputs_BY Techs'!$C72)*T20*(1-T$44)</f>
        <v>52.393919592249617</v>
      </c>
      <c r="U72" s="46">
        <f>SUMIFS('OMNIA - Key Inputs_EB'!T$268:T$311,'OMNIA - Key Inputs_EB'!$E$268:$E$311,'Key Inputs_BY Techs'!$E72,'OMNIA - Key Inputs_EB'!$C$268:$C$311,'Key Inputs_BY Techs'!$C72)*U20*(1-U$44)</f>
        <v>8.9018600284616722E-2</v>
      </c>
      <c r="V72" s="46">
        <f>SUMIFS('OMNIA - Key Inputs_EB'!U$268:U$311,'OMNIA - Key Inputs_EB'!$E$268:$E$311,'Key Inputs_BY Techs'!$E72,'OMNIA - Key Inputs_EB'!$C$268:$C$311,'Key Inputs_BY Techs'!$C72)*V20*(1-V$44)</f>
        <v>18.700517863019254</v>
      </c>
      <c r="W72" s="46">
        <f>SUMIFS('OMNIA - Key Inputs_EB'!V$268:V$311,'OMNIA - Key Inputs_EB'!$E$268:$E$311,'Key Inputs_BY Techs'!$E72,'OMNIA - Key Inputs_EB'!$C$268:$C$311,'Key Inputs_BY Techs'!$C72)*W20*(1-W$44)</f>
        <v>0.25569876693177102</v>
      </c>
      <c r="X72" s="46">
        <f>SUMIFS('OMNIA - Key Inputs_EB'!W$268:W$311,'OMNIA - Key Inputs_EB'!$E$268:$E$311,'Key Inputs_BY Techs'!$E72,'OMNIA - Key Inputs_EB'!$C$268:$C$311,'Key Inputs_BY Techs'!$C72)*X20*(1-X$44)</f>
        <v>15.846414939726181</v>
      </c>
      <c r="Y72" s="46">
        <f>SUMIFS('OMNIA - Key Inputs_EB'!X$268:X$311,'OMNIA - Key Inputs_EB'!$E$268:$E$311,'Key Inputs_BY Techs'!$E72,'OMNIA - Key Inputs_EB'!$C$268:$C$311,'Key Inputs_BY Techs'!$C72)*Y20*(1-Y$44)</f>
        <v>2.5364782937349961</v>
      </c>
      <c r="Z72" s="46">
        <f>SUMIFS('OMNIA - Key Inputs_EB'!Y$268:Y$311,'OMNIA - Key Inputs_EB'!$E$268:$E$311,'Key Inputs_BY Techs'!$E72,'OMNIA - Key Inputs_EB'!$C$268:$C$311,'Key Inputs_BY Techs'!$C72)*Z20*(1-Z$44)</f>
        <v>0</v>
      </c>
      <c r="AA72" s="46">
        <f>SUMIFS('OMNIA - Key Inputs_EB'!Z$268:Z$311,'OMNIA - Key Inputs_EB'!$E$268:$E$311,'Key Inputs_BY Techs'!$E72,'OMNIA - Key Inputs_EB'!$C$268:$C$311,'Key Inputs_BY Techs'!$C72)*AA20*(1-AA$44)</f>
        <v>0</v>
      </c>
      <c r="AB72" s="46">
        <f>SUMIFS('OMNIA - Key Inputs_EB'!AA$268:AA$311,'OMNIA - Key Inputs_EB'!$E$268:$E$311,'Key Inputs_BY Techs'!$E72,'OMNIA - Key Inputs_EB'!$C$268:$C$311,'Key Inputs_BY Techs'!$C72)*AB20*(1-AB$44)</f>
        <v>5.981499821956592</v>
      </c>
      <c r="AC72" s="46">
        <f>SUMIFS('OMNIA - Key Inputs_EB'!AB$268:AB$311,'OMNIA - Key Inputs_EB'!$E$268:$E$311,'Key Inputs_BY Techs'!$E72,'OMNIA - Key Inputs_EB'!$C$268:$C$311,'Key Inputs_BY Techs'!$C72)*AC20*(1-AC$44)</f>
        <v>0.20775247134859617</v>
      </c>
      <c r="AD72" s="46">
        <f>SUMIFS('OMNIA - Key Inputs_EB'!AC$268:AC$311,'OMNIA - Key Inputs_EB'!$E$268:$E$311,'Key Inputs_BY Techs'!$E72,'OMNIA - Key Inputs_EB'!$C$268:$C$311,'Key Inputs_BY Techs'!$C72)*AD20*(1-AD$44)</f>
        <v>1.9714039398789041</v>
      </c>
      <c r="AE72" s="46">
        <f>SUMIFS('OMNIA - Key Inputs_EB'!AD$268:AD$311,'OMNIA - Key Inputs_EB'!$E$268:$E$311,'Key Inputs_BY Techs'!$E72,'OMNIA - Key Inputs_EB'!$C$268:$C$311,'Key Inputs_BY Techs'!$C72)*AE20*(1-AE$44)</f>
        <v>9.8784728235152858E-2</v>
      </c>
      <c r="AF72" s="46">
        <f>SUMIFS('OMNIA - Key Inputs_EB'!AE$268:AE$311,'OMNIA - Key Inputs_EB'!$E$268:$E$311,'Key Inputs_BY Techs'!$E72,'OMNIA - Key Inputs_EB'!$C$268:$C$311,'Key Inputs_BY Techs'!$C72)*AF20*(1-AF$44)</f>
        <v>1.1555980724931829</v>
      </c>
      <c r="AG72" s="46">
        <f>SUMIFS('OMNIA - Key Inputs_EB'!AF$268:AF$311,'OMNIA - Key Inputs_EB'!$E$268:$E$311,'Key Inputs_BY Techs'!$E72,'OMNIA - Key Inputs_EB'!$C$268:$C$311,'Key Inputs_BY Techs'!$C72)*AG20*(1-AG$44)</f>
        <v>2.7088914619467871E-2</v>
      </c>
      <c r="AH72" s="46">
        <f>SUMIFS('OMNIA - Key Inputs_EB'!AG$268:AG$311,'OMNIA - Key Inputs_EB'!$E$268:$E$311,'Key Inputs_BY Techs'!$E72,'OMNIA - Key Inputs_EB'!$C$268:$C$311,'Key Inputs_BY Techs'!$C72)*AH20*(1-AH$44)</f>
        <v>6.2057062143226105</v>
      </c>
      <c r="AI72" s="46">
        <f>SUMIFS('OMNIA - Key Inputs_EB'!AH$268:AH$311,'OMNIA - Key Inputs_EB'!$E$268:$E$311,'Key Inputs_BY Techs'!$E72,'OMNIA - Key Inputs_EB'!$C$268:$C$311,'Key Inputs_BY Techs'!$C72)*AI20*(1-AI$44)</f>
        <v>7.1401499424528385</v>
      </c>
      <c r="AJ72" s="46">
        <f>SUMIFS('OMNIA - Key Inputs_EB'!AI$268:AI$311,'OMNIA - Key Inputs_EB'!$E$268:$E$311,'Key Inputs_BY Techs'!$E72,'OMNIA - Key Inputs_EB'!$C$268:$C$311,'Key Inputs_BY Techs'!$C72)*AJ20*(1-AJ$44)</f>
        <v>308.06430102054492</v>
      </c>
      <c r="AM72" s="405"/>
      <c r="AN72" s="385"/>
    </row>
    <row r="73" spans="1:74" s="341" customFormat="1" x14ac:dyDescent="0.2">
      <c r="A73" s="341" t="s">
        <v>74</v>
      </c>
      <c r="B73" s="46" t="s">
        <v>122</v>
      </c>
      <c r="C73" s="46" t="s">
        <v>469</v>
      </c>
      <c r="D73" s="46" t="s">
        <v>341</v>
      </c>
      <c r="E73" s="46" t="s">
        <v>105</v>
      </c>
      <c r="F73" s="46" t="s">
        <v>12</v>
      </c>
      <c r="G73" s="46"/>
      <c r="H73" s="385"/>
      <c r="I73" s="46">
        <f>SUMIFS('OMNIA - Key Inputs_EB'!H$268:H$311,'OMNIA - Key Inputs_EB'!$E$268:$E$311,'Key Inputs_BY Techs'!$E73,'OMNIA - Key Inputs_EB'!$C$268:$C$311,'Key Inputs_BY Techs'!$C73)*I21*I$44</f>
        <v>2.4709026217072886E-3</v>
      </c>
      <c r="J73" s="46">
        <f>SUMIFS('OMNIA - Key Inputs_EB'!I$268:I$311,'OMNIA - Key Inputs_EB'!$E$268:$E$311,'Key Inputs_BY Techs'!$E73,'OMNIA - Key Inputs_EB'!$C$268:$C$311,'Key Inputs_BY Techs'!$C73)*J21*J$44</f>
        <v>0</v>
      </c>
      <c r="K73" s="46">
        <f>SUMIFS('OMNIA - Key Inputs_EB'!J$268:J$311,'OMNIA - Key Inputs_EB'!$E$268:$E$311,'Key Inputs_BY Techs'!$E73,'OMNIA - Key Inputs_EB'!$C$268:$C$311,'Key Inputs_BY Techs'!$C73)*K21*K$44</f>
        <v>1.0978502368275187E-2</v>
      </c>
      <c r="L73" s="46">
        <f>SUMIFS('OMNIA - Key Inputs_EB'!K$268:K$311,'OMNIA - Key Inputs_EB'!$E$268:$E$311,'Key Inputs_BY Techs'!$E73,'OMNIA - Key Inputs_EB'!$C$268:$C$311,'Key Inputs_BY Techs'!$C73)*L21*L$44</f>
        <v>0</v>
      </c>
      <c r="M73" s="46">
        <f>SUMIFS('OMNIA - Key Inputs_EB'!L$268:L$311,'OMNIA - Key Inputs_EB'!$E$268:$E$311,'Key Inputs_BY Techs'!$E73,'OMNIA - Key Inputs_EB'!$C$268:$C$311,'Key Inputs_BY Techs'!$C73)*M21*M$44</f>
        <v>1.4086356953670866E-2</v>
      </c>
      <c r="N73" s="46">
        <f>SUMIFS('OMNIA - Key Inputs_EB'!M$268:M$311,'OMNIA - Key Inputs_EB'!$E$268:$E$311,'Key Inputs_BY Techs'!$E73,'OMNIA - Key Inputs_EB'!$C$268:$C$311,'Key Inputs_BY Techs'!$C73)*N21*N$44</f>
        <v>0</v>
      </c>
      <c r="O73" s="46">
        <f>SUMIFS('OMNIA - Key Inputs_EB'!N$268:N$311,'OMNIA - Key Inputs_EB'!$E$268:$E$311,'Key Inputs_BY Techs'!$E73,'OMNIA - Key Inputs_EB'!$C$268:$C$311,'Key Inputs_BY Techs'!$C73)*O21*O$44</f>
        <v>0.19585710279605709</v>
      </c>
      <c r="P73" s="46">
        <f>SUMIFS('OMNIA - Key Inputs_EB'!O$268:O$311,'OMNIA - Key Inputs_EB'!$E$268:$E$311,'Key Inputs_BY Techs'!$E73,'OMNIA - Key Inputs_EB'!$C$268:$C$311,'Key Inputs_BY Techs'!$C73)*P21*P$44</f>
        <v>0</v>
      </c>
      <c r="Q73" s="46">
        <f>SUMIFS('OMNIA - Key Inputs_EB'!P$268:P$311,'OMNIA - Key Inputs_EB'!$E$268:$E$311,'Key Inputs_BY Techs'!$E73,'OMNIA - Key Inputs_EB'!$C$268:$C$311,'Key Inputs_BY Techs'!$C73)*Q21*Q$44</f>
        <v>8.3680097481294763E-2</v>
      </c>
      <c r="R73" s="46">
        <f>SUMIFS('OMNIA - Key Inputs_EB'!Q$268:Q$311,'OMNIA - Key Inputs_EB'!$E$268:$E$311,'Key Inputs_BY Techs'!$E73,'OMNIA - Key Inputs_EB'!$C$268:$C$311,'Key Inputs_BY Techs'!$C73)*R21*R$44</f>
        <v>8.3912612126566088</v>
      </c>
      <c r="S73" s="46">
        <f>SUMIFS('OMNIA - Key Inputs_EB'!R$268:R$311,'OMNIA - Key Inputs_EB'!$E$268:$E$311,'Key Inputs_BY Techs'!$E73,'OMNIA - Key Inputs_EB'!$C$268:$C$311,'Key Inputs_BY Techs'!$C73)*S21*S$44</f>
        <v>0</v>
      </c>
      <c r="T73" s="46">
        <f>SUMIFS('OMNIA - Key Inputs_EB'!S$268:S$311,'OMNIA - Key Inputs_EB'!$E$268:$E$311,'Key Inputs_BY Techs'!$E73,'OMNIA - Key Inputs_EB'!$C$268:$C$311,'Key Inputs_BY Techs'!$C73)*T21*T$44</f>
        <v>11.616043632158236</v>
      </c>
      <c r="U73" s="46">
        <f>SUMIFS('OMNIA - Key Inputs_EB'!T$268:T$311,'OMNIA - Key Inputs_EB'!$E$268:$E$311,'Key Inputs_BY Techs'!$E73,'OMNIA - Key Inputs_EB'!$C$268:$C$311,'Key Inputs_BY Techs'!$C73)*U21*U$44</f>
        <v>2.6631647690086909E-2</v>
      </c>
      <c r="V73" s="46">
        <f>SUMIFS('OMNIA - Key Inputs_EB'!U$268:U$311,'OMNIA - Key Inputs_EB'!$E$268:$E$311,'Key Inputs_BY Techs'!$E73,'OMNIA - Key Inputs_EB'!$C$268:$C$311,'Key Inputs_BY Techs'!$C73)*V21*V$44</f>
        <v>5.5946240646087677</v>
      </c>
      <c r="W73" s="46">
        <f>SUMIFS('OMNIA - Key Inputs_EB'!V$268:V$311,'OMNIA - Key Inputs_EB'!$E$268:$E$311,'Key Inputs_BY Techs'!$E73,'OMNIA - Key Inputs_EB'!$C$268:$C$311,'Key Inputs_BY Techs'!$C73)*W21*W$44</f>
        <v>7.6497265222595839E-2</v>
      </c>
      <c r="X73" s="46">
        <f>SUMIFS('OMNIA - Key Inputs_EB'!W$268:W$311,'OMNIA - Key Inputs_EB'!$E$268:$E$311,'Key Inputs_BY Techs'!$E73,'OMNIA - Key Inputs_EB'!$C$268:$C$311,'Key Inputs_BY Techs'!$C73)*X21*X$44</f>
        <v>3.5132444525179682</v>
      </c>
      <c r="Y73" s="46">
        <f>SUMIFS('OMNIA - Key Inputs_EB'!X$268:X$311,'OMNIA - Key Inputs_EB'!$E$268:$E$311,'Key Inputs_BY Techs'!$E73,'OMNIA - Key Inputs_EB'!$C$268:$C$311,'Key Inputs_BY Techs'!$C73)*Y21*Y$44</f>
        <v>0.56235232563906978</v>
      </c>
      <c r="Z73" s="46">
        <f>SUMIFS('OMNIA - Key Inputs_EB'!Y$268:Y$311,'OMNIA - Key Inputs_EB'!$E$268:$E$311,'Key Inputs_BY Techs'!$E73,'OMNIA - Key Inputs_EB'!$C$268:$C$311,'Key Inputs_BY Techs'!$C73)*Z21*Z$44</f>
        <v>0</v>
      </c>
      <c r="AA73" s="46">
        <f>SUMIFS('OMNIA - Key Inputs_EB'!Z$268:Z$311,'OMNIA - Key Inputs_EB'!$E$268:$E$311,'Key Inputs_BY Techs'!$E73,'OMNIA - Key Inputs_EB'!$C$268:$C$311,'Key Inputs_BY Techs'!$C73)*AA21*AA$44</f>
        <v>0</v>
      </c>
      <c r="AB73" s="46">
        <f>SUMIFS('OMNIA - Key Inputs_EB'!AA$268:AA$311,'OMNIA - Key Inputs_EB'!$E$268:$E$311,'Key Inputs_BY Techs'!$E73,'OMNIA - Key Inputs_EB'!$C$268:$C$311,'Key Inputs_BY Techs'!$C73)*AB21*AB$44</f>
        <v>1.5977519165271257</v>
      </c>
      <c r="AC73" s="46">
        <f>SUMIFS('OMNIA - Key Inputs_EB'!AB$268:AB$311,'OMNIA - Key Inputs_EB'!$E$268:$E$311,'Key Inputs_BY Techs'!$E73,'OMNIA - Key Inputs_EB'!$C$268:$C$311,'Key Inputs_BY Techs'!$C73)*AC21*AC$44</f>
        <v>6.2153197264513807E-2</v>
      </c>
      <c r="AD73" s="46">
        <f>SUMIFS('OMNIA - Key Inputs_EB'!AC$268:AC$311,'OMNIA - Key Inputs_EB'!$E$268:$E$311,'Key Inputs_BY Techs'!$E73,'OMNIA - Key Inputs_EB'!$C$268:$C$311,'Key Inputs_BY Techs'!$C73)*AD21*AD$44</f>
        <v>0.58978387678352495</v>
      </c>
      <c r="AE73" s="46">
        <f>SUMIFS('OMNIA - Key Inputs_EB'!AD$268:AD$311,'OMNIA - Key Inputs_EB'!$E$268:$E$311,'Key Inputs_BY Techs'!$E73,'OMNIA - Key Inputs_EB'!$C$268:$C$311,'Key Inputs_BY Techs'!$C73)*AE21*AE$44</f>
        <v>2.9553375037443708E-2</v>
      </c>
      <c r="AF73" s="46">
        <f>SUMIFS('OMNIA - Key Inputs_EB'!AE$268:AE$311,'OMNIA - Key Inputs_EB'!$E$268:$E$311,'Key Inputs_BY Techs'!$E73,'OMNIA - Key Inputs_EB'!$C$268:$C$311,'Key Inputs_BY Techs'!$C73)*AF21*AF$44</f>
        <v>0.34571966577304469</v>
      </c>
      <c r="AG73" s="46">
        <f>SUMIFS('OMNIA - Key Inputs_EB'!AF$268:AF$311,'OMNIA - Key Inputs_EB'!$E$268:$E$311,'Key Inputs_BY Techs'!$E73,'OMNIA - Key Inputs_EB'!$C$268:$C$311,'Key Inputs_BY Techs'!$C73)*AG21*AG$44</f>
        <v>8.1041762973797487E-3</v>
      </c>
      <c r="AH73" s="46">
        <f>SUMIFS('OMNIA - Key Inputs_EB'!AG$268:AG$311,'OMNIA - Key Inputs_EB'!$E$268:$E$311,'Key Inputs_BY Techs'!$E73,'OMNIA - Key Inputs_EB'!$C$268:$C$311,'Key Inputs_BY Techs'!$C73)*AH21*AH$44</f>
        <v>1.8565578546462795</v>
      </c>
      <c r="AI73" s="46">
        <f>SUMIFS('OMNIA - Key Inputs_EB'!AH$268:AH$311,'OMNIA - Key Inputs_EB'!$E$268:$E$311,'Key Inputs_BY Techs'!$E73,'OMNIA - Key Inputs_EB'!$C$268:$C$311,'Key Inputs_BY Techs'!$C73)*AI21*AI$44</f>
        <v>1.5830137145141792</v>
      </c>
      <c r="AJ73" s="46">
        <f>SUMIFS('OMNIA - Key Inputs_EB'!AI$268:AI$311,'OMNIA - Key Inputs_EB'!$E$268:$E$311,'Key Inputs_BY Techs'!$E73,'OMNIA - Key Inputs_EB'!$C$268:$C$311,'Key Inputs_BY Techs'!$C73)*AJ21*AJ$44</f>
        <v>68.299688017506682</v>
      </c>
      <c r="AM73" s="405"/>
      <c r="AN73" s="385"/>
    </row>
    <row r="74" spans="1:74" s="341" customFormat="1" x14ac:dyDescent="0.2">
      <c r="A74" s="341" t="s">
        <v>74</v>
      </c>
      <c r="B74" s="46" t="s">
        <v>122</v>
      </c>
      <c r="C74" s="46" t="s">
        <v>469</v>
      </c>
      <c r="D74" s="46" t="s">
        <v>476</v>
      </c>
      <c r="E74" s="46" t="s">
        <v>482</v>
      </c>
      <c r="F74" s="46" t="s">
        <v>12</v>
      </c>
      <c r="G74" s="46"/>
      <c r="H74" s="385"/>
      <c r="I74" s="46">
        <f>SUMIFS('OMNIA - Key Inputs_EB'!H$268:H$311,'OMNIA - Key Inputs_EB'!$E$268:$E$311,'Key Inputs_BY Techs'!$E74,'OMNIA - Key Inputs_EB'!$C$268:$C$311,'Key Inputs_BY Techs'!$C74)*I22</f>
        <v>0</v>
      </c>
      <c r="J74" s="46">
        <f>SUMIFS('OMNIA - Key Inputs_EB'!I$268:I$311,'OMNIA - Key Inputs_EB'!$E$268:$E$311,'Key Inputs_BY Techs'!$E74,'OMNIA - Key Inputs_EB'!$C$268:$C$311,'Key Inputs_BY Techs'!$C74)*J22</f>
        <v>0</v>
      </c>
      <c r="K74" s="46">
        <f>SUMIFS('OMNIA - Key Inputs_EB'!J$268:J$311,'OMNIA - Key Inputs_EB'!$E$268:$E$311,'Key Inputs_BY Techs'!$E74,'OMNIA - Key Inputs_EB'!$C$268:$C$311,'Key Inputs_BY Techs'!$C74)*K22</f>
        <v>0</v>
      </c>
      <c r="L74" s="46">
        <f>SUMIFS('OMNIA - Key Inputs_EB'!K$268:K$311,'OMNIA - Key Inputs_EB'!$E$268:$E$311,'Key Inputs_BY Techs'!$E74,'OMNIA - Key Inputs_EB'!$C$268:$C$311,'Key Inputs_BY Techs'!$C74)*L22</f>
        <v>0</v>
      </c>
      <c r="M74" s="46">
        <f>SUMIFS('OMNIA - Key Inputs_EB'!L$268:L$311,'OMNIA - Key Inputs_EB'!$E$268:$E$311,'Key Inputs_BY Techs'!$E74,'OMNIA - Key Inputs_EB'!$C$268:$C$311,'Key Inputs_BY Techs'!$C74)*M22</f>
        <v>9.6794120846108764E-2</v>
      </c>
      <c r="N74" s="46">
        <f>SUMIFS('OMNIA - Key Inputs_EB'!M$268:M$311,'OMNIA - Key Inputs_EB'!$E$268:$E$311,'Key Inputs_BY Techs'!$E74,'OMNIA - Key Inputs_EB'!$C$268:$C$311,'Key Inputs_BY Techs'!$C74)*N22</f>
        <v>0</v>
      </c>
      <c r="O74" s="46">
        <f>SUMIFS('OMNIA - Key Inputs_EB'!N$268:N$311,'OMNIA - Key Inputs_EB'!$E$268:$E$311,'Key Inputs_BY Techs'!$E74,'OMNIA - Key Inputs_EB'!$C$268:$C$311,'Key Inputs_BY Techs'!$C74)*O22</f>
        <v>4.1429864784545439E-2</v>
      </c>
      <c r="P74" s="46">
        <f>SUMIFS('OMNIA - Key Inputs_EB'!O$268:O$311,'OMNIA - Key Inputs_EB'!$E$268:$E$311,'Key Inputs_BY Techs'!$E74,'OMNIA - Key Inputs_EB'!$C$268:$C$311,'Key Inputs_BY Techs'!$C74)*P22</f>
        <v>0</v>
      </c>
      <c r="Q74" s="46">
        <f>SUMIFS('OMNIA - Key Inputs_EB'!P$268:P$311,'OMNIA - Key Inputs_EB'!$E$268:$E$311,'Key Inputs_BY Techs'!$E74,'OMNIA - Key Inputs_EB'!$C$268:$C$311,'Key Inputs_BY Techs'!$C74)*Q22</f>
        <v>2.3895101033637761E-2</v>
      </c>
      <c r="R74" s="46">
        <f>SUMIFS('OMNIA - Key Inputs_EB'!Q$268:Q$311,'OMNIA - Key Inputs_EB'!$E$268:$E$311,'Key Inputs_BY Techs'!$E74,'OMNIA - Key Inputs_EB'!$C$268:$C$311,'Key Inputs_BY Techs'!$C74)*R22</f>
        <v>53.664888229310542</v>
      </c>
      <c r="S74" s="46">
        <f>SUMIFS('OMNIA - Key Inputs_EB'!R$268:R$311,'OMNIA - Key Inputs_EB'!$E$268:$E$311,'Key Inputs_BY Techs'!$E74,'OMNIA - Key Inputs_EB'!$C$268:$C$311,'Key Inputs_BY Techs'!$C74)*S22</f>
        <v>0</v>
      </c>
      <c r="T74" s="46">
        <f>SUMIFS('OMNIA - Key Inputs_EB'!S$268:S$311,'OMNIA - Key Inputs_EB'!$E$268:$E$311,'Key Inputs_BY Techs'!$E74,'OMNIA - Key Inputs_EB'!$C$268:$C$311,'Key Inputs_BY Techs'!$C74)*T22</f>
        <v>62.820799638070035</v>
      </c>
      <c r="U74" s="46">
        <f>SUMIFS('OMNIA - Key Inputs_EB'!T$268:T$311,'OMNIA - Key Inputs_EB'!$E$268:$E$311,'Key Inputs_BY Techs'!$E74,'OMNIA - Key Inputs_EB'!$C$268:$C$311,'Key Inputs_BY Techs'!$C74)*U22</f>
        <v>0.51224393421024217</v>
      </c>
      <c r="V74" s="46">
        <f>SUMIFS('OMNIA - Key Inputs_EB'!U$268:U$311,'OMNIA - Key Inputs_EB'!$E$268:$E$311,'Key Inputs_BY Techs'!$E74,'OMNIA - Key Inputs_EB'!$C$268:$C$311,'Key Inputs_BY Techs'!$C74)*V22</f>
        <v>120.06898404718144</v>
      </c>
      <c r="W74" s="46">
        <f>SUMIFS('OMNIA - Key Inputs_EB'!V$268:V$311,'OMNIA - Key Inputs_EB'!$E$268:$E$311,'Key Inputs_BY Techs'!$E74,'OMNIA - Key Inputs_EB'!$C$268:$C$311,'Key Inputs_BY Techs'!$C74)*W22</f>
        <v>1.5573266650774438</v>
      </c>
      <c r="X74" s="46">
        <f>SUMIFS('OMNIA - Key Inputs_EB'!W$268:W$311,'OMNIA - Key Inputs_EB'!$E$268:$E$311,'Key Inputs_BY Techs'!$E74,'OMNIA - Key Inputs_EB'!$C$268:$C$311,'Key Inputs_BY Techs'!$C74)*X22</f>
        <v>56.437657485266008</v>
      </c>
      <c r="Y74" s="46">
        <f>SUMIFS('OMNIA - Key Inputs_EB'!X$268:X$311,'OMNIA - Key Inputs_EB'!$E$268:$E$311,'Key Inputs_BY Techs'!$E74,'OMNIA - Key Inputs_EB'!$C$268:$C$311,'Key Inputs_BY Techs'!$C74)*Y22</f>
        <v>17.527082035313935</v>
      </c>
      <c r="Z74" s="46">
        <f>SUMIFS('OMNIA - Key Inputs_EB'!Y$268:Y$311,'OMNIA - Key Inputs_EB'!$E$268:$E$311,'Key Inputs_BY Techs'!$E74,'OMNIA - Key Inputs_EB'!$C$268:$C$311,'Key Inputs_BY Techs'!$C74)*Z22</f>
        <v>0</v>
      </c>
      <c r="AA74" s="46">
        <f>SUMIFS('OMNIA - Key Inputs_EB'!Z$268:Z$311,'OMNIA - Key Inputs_EB'!$E$268:$E$311,'Key Inputs_BY Techs'!$E74,'OMNIA - Key Inputs_EB'!$C$268:$C$311,'Key Inputs_BY Techs'!$C74)*AA22</f>
        <v>0</v>
      </c>
      <c r="AB74" s="46">
        <f>SUMIFS('OMNIA - Key Inputs_EB'!AA$268:AA$311,'OMNIA - Key Inputs_EB'!$E$268:$E$311,'Key Inputs_BY Techs'!$E74,'OMNIA - Key Inputs_EB'!$C$268:$C$311,'Key Inputs_BY Techs'!$C74)*AB22</f>
        <v>8.2420378136890395</v>
      </c>
      <c r="AC74" s="46">
        <f>SUMIFS('OMNIA - Key Inputs_EB'!AB$268:AB$311,'OMNIA - Key Inputs_EB'!$E$268:$E$311,'Key Inputs_BY Techs'!$E74,'OMNIA - Key Inputs_EB'!$C$268:$C$311,'Key Inputs_BY Techs'!$C74)*AC22</f>
        <v>3.9201423909370003</v>
      </c>
      <c r="AD74" s="46">
        <f>SUMIFS('OMNIA - Key Inputs_EB'!AC$268:AC$311,'OMNIA - Key Inputs_EB'!$E$268:$E$311,'Key Inputs_BY Techs'!$E74,'OMNIA - Key Inputs_EB'!$C$268:$C$311,'Key Inputs_BY Techs'!$C74)*AD22</f>
        <v>12.616895765800738</v>
      </c>
      <c r="AE74" s="46">
        <f>SUMIFS('OMNIA - Key Inputs_EB'!AD$268:AD$311,'OMNIA - Key Inputs_EB'!$E$268:$E$311,'Key Inputs_BY Techs'!$E74,'OMNIA - Key Inputs_EB'!$C$268:$C$311,'Key Inputs_BY Techs'!$C74)*AE22</f>
        <v>0.63405513668226987</v>
      </c>
      <c r="AF74" s="46">
        <f>SUMIFS('OMNIA - Key Inputs_EB'!AE$268:AE$311,'OMNIA - Key Inputs_EB'!$E$268:$E$311,'Key Inputs_BY Techs'!$E74,'OMNIA - Key Inputs_EB'!$C$268:$C$311,'Key Inputs_BY Techs'!$C74)*AF22</f>
        <v>0.45448708832500773</v>
      </c>
      <c r="AG74" s="46">
        <f>SUMIFS('OMNIA - Key Inputs_EB'!AF$268:AF$311,'OMNIA - Key Inputs_EB'!$E$268:$E$311,'Key Inputs_BY Techs'!$E74,'OMNIA - Key Inputs_EB'!$C$268:$C$311,'Key Inputs_BY Techs'!$C74)*AG22</f>
        <v>0</v>
      </c>
      <c r="AH74" s="46">
        <f>SUMIFS('OMNIA - Key Inputs_EB'!AG$268:AG$311,'OMNIA - Key Inputs_EB'!$E$268:$E$311,'Key Inputs_BY Techs'!$E74,'OMNIA - Key Inputs_EB'!$C$268:$C$311,'Key Inputs_BY Techs'!$C74)*AH22</f>
        <v>164.21291525035852</v>
      </c>
      <c r="AI74" s="46">
        <f>SUMIFS('OMNIA - Key Inputs_EB'!AH$268:AH$311,'OMNIA - Key Inputs_EB'!$E$268:$E$311,'Key Inputs_BY Techs'!$E74,'OMNIA - Key Inputs_EB'!$C$268:$C$311,'Key Inputs_BY Techs'!$C74)*AI22</f>
        <v>57.98746406939636</v>
      </c>
      <c r="AJ74" s="46">
        <f>SUMIFS('OMNIA - Key Inputs_EB'!AI$268:AI$311,'OMNIA - Key Inputs_EB'!$E$268:$E$311,'Key Inputs_BY Techs'!$E74,'OMNIA - Key Inputs_EB'!$C$268:$C$311,'Key Inputs_BY Techs'!$C74)*AJ22</f>
        <v>997.8477058910222</v>
      </c>
      <c r="AM74" s="405"/>
      <c r="AN74" s="385"/>
    </row>
    <row r="75" spans="1:74" s="341" customFormat="1" x14ac:dyDescent="0.2">
      <c r="A75" s="341" t="s">
        <v>74</v>
      </c>
      <c r="B75" s="46" t="s">
        <v>122</v>
      </c>
      <c r="C75" s="46" t="s">
        <v>469</v>
      </c>
      <c r="D75" s="46" t="s">
        <v>21</v>
      </c>
      <c r="E75" s="46" t="s">
        <v>107</v>
      </c>
      <c r="F75" s="46" t="s">
        <v>12</v>
      </c>
      <c r="G75" s="46"/>
      <c r="H75" s="385"/>
      <c r="I75" s="46">
        <f>SUMIFS('OMNIA - Key Inputs_EB'!H$268:H$311,'OMNIA - Key Inputs_EB'!$E$268:$E$311,'Key Inputs_BY Techs'!$E75,'OMNIA - Key Inputs_EB'!$C$268:$C$311,'Key Inputs_BY Techs'!$C75)*I23</f>
        <v>0</v>
      </c>
      <c r="J75" s="46">
        <f>SUMIFS('OMNIA - Key Inputs_EB'!I$268:I$311,'OMNIA - Key Inputs_EB'!$E$268:$E$311,'Key Inputs_BY Techs'!$E75,'OMNIA - Key Inputs_EB'!$C$268:$C$311,'Key Inputs_BY Techs'!$C75)*J23</f>
        <v>0</v>
      </c>
      <c r="K75" s="46">
        <f>SUMIFS('OMNIA - Key Inputs_EB'!J$268:J$311,'OMNIA - Key Inputs_EB'!$E$268:$E$311,'Key Inputs_BY Techs'!$E75,'OMNIA - Key Inputs_EB'!$C$268:$C$311,'Key Inputs_BY Techs'!$C75)*K23</f>
        <v>0</v>
      </c>
      <c r="L75" s="46">
        <f>SUMIFS('OMNIA - Key Inputs_EB'!K$268:K$311,'OMNIA - Key Inputs_EB'!$E$268:$E$311,'Key Inputs_BY Techs'!$E75,'OMNIA - Key Inputs_EB'!$C$268:$C$311,'Key Inputs_BY Techs'!$C75)*L23</f>
        <v>0</v>
      </c>
      <c r="M75" s="46">
        <f>SUMIFS('OMNIA - Key Inputs_EB'!L$268:L$311,'OMNIA - Key Inputs_EB'!$E$268:$E$311,'Key Inputs_BY Techs'!$E75,'OMNIA - Key Inputs_EB'!$C$268:$C$311,'Key Inputs_BY Techs'!$C75)*M23</f>
        <v>1.1309504655894762E-4</v>
      </c>
      <c r="N75" s="46">
        <f>SUMIFS('OMNIA - Key Inputs_EB'!M$268:M$311,'OMNIA - Key Inputs_EB'!$E$268:$E$311,'Key Inputs_BY Techs'!$E75,'OMNIA - Key Inputs_EB'!$C$268:$C$311,'Key Inputs_BY Techs'!$C75)*N23</f>
        <v>0</v>
      </c>
      <c r="O75" s="46">
        <f>SUMIFS('OMNIA - Key Inputs_EB'!N$268:N$311,'OMNIA - Key Inputs_EB'!$E$268:$E$311,'Key Inputs_BY Techs'!$E75,'OMNIA - Key Inputs_EB'!$C$268:$C$311,'Key Inputs_BY Techs'!$C75)*O23</f>
        <v>0</v>
      </c>
      <c r="P75" s="46">
        <f>SUMIFS('OMNIA - Key Inputs_EB'!O$268:O$311,'OMNIA - Key Inputs_EB'!$E$268:$E$311,'Key Inputs_BY Techs'!$E75,'OMNIA - Key Inputs_EB'!$C$268:$C$311,'Key Inputs_BY Techs'!$C75)*P23</f>
        <v>0</v>
      </c>
      <c r="Q75" s="46">
        <f>SUMIFS('OMNIA - Key Inputs_EB'!P$268:P$311,'OMNIA - Key Inputs_EB'!$E$268:$E$311,'Key Inputs_BY Techs'!$E75,'OMNIA - Key Inputs_EB'!$C$268:$C$311,'Key Inputs_BY Techs'!$C75)*Q23</f>
        <v>0</v>
      </c>
      <c r="R75" s="46">
        <f>SUMIFS('OMNIA - Key Inputs_EB'!Q$268:Q$311,'OMNIA - Key Inputs_EB'!$E$268:$E$311,'Key Inputs_BY Techs'!$E75,'OMNIA - Key Inputs_EB'!$C$268:$C$311,'Key Inputs_BY Techs'!$C75)*R23</f>
        <v>0</v>
      </c>
      <c r="S75" s="46">
        <f>SUMIFS('OMNIA - Key Inputs_EB'!R$268:R$311,'OMNIA - Key Inputs_EB'!$E$268:$E$311,'Key Inputs_BY Techs'!$E75,'OMNIA - Key Inputs_EB'!$C$268:$C$311,'Key Inputs_BY Techs'!$C75)*S23</f>
        <v>0</v>
      </c>
      <c r="T75" s="46">
        <f>SUMIFS('OMNIA - Key Inputs_EB'!S$268:S$311,'OMNIA - Key Inputs_EB'!$E$268:$E$311,'Key Inputs_BY Techs'!$E75,'OMNIA - Key Inputs_EB'!$C$268:$C$311,'Key Inputs_BY Techs'!$C75)*T23</f>
        <v>0</v>
      </c>
      <c r="U75" s="46">
        <f>SUMIFS('OMNIA - Key Inputs_EB'!T$268:T$311,'OMNIA - Key Inputs_EB'!$E$268:$E$311,'Key Inputs_BY Techs'!$E75,'OMNIA - Key Inputs_EB'!$C$268:$C$311,'Key Inputs_BY Techs'!$C75)*U23</f>
        <v>0</v>
      </c>
      <c r="V75" s="46">
        <f>SUMIFS('OMNIA - Key Inputs_EB'!U$268:U$311,'OMNIA - Key Inputs_EB'!$E$268:$E$311,'Key Inputs_BY Techs'!$E75,'OMNIA - Key Inputs_EB'!$C$268:$C$311,'Key Inputs_BY Techs'!$C75)*V23</f>
        <v>5.2134691840960742E-2</v>
      </c>
      <c r="W75" s="46">
        <f>SUMIFS('OMNIA - Key Inputs_EB'!V$268:V$311,'OMNIA - Key Inputs_EB'!$E$268:$E$311,'Key Inputs_BY Techs'!$E75,'OMNIA - Key Inputs_EB'!$C$268:$C$311,'Key Inputs_BY Techs'!$C75)*W23</f>
        <v>2.663816715071102E-3</v>
      </c>
      <c r="X75" s="46">
        <f>SUMIFS('OMNIA - Key Inputs_EB'!W$268:W$311,'OMNIA - Key Inputs_EB'!$E$268:$E$311,'Key Inputs_BY Techs'!$E75,'OMNIA - Key Inputs_EB'!$C$268:$C$311,'Key Inputs_BY Techs'!$C75)*X23</f>
        <v>1.9070467214607222E-3</v>
      </c>
      <c r="Y75" s="46">
        <f>SUMIFS('OMNIA - Key Inputs_EB'!X$268:X$311,'OMNIA - Key Inputs_EB'!$E$268:$E$311,'Key Inputs_BY Techs'!$E75,'OMNIA - Key Inputs_EB'!$C$268:$C$311,'Key Inputs_BY Techs'!$C75)*Y23</f>
        <v>1.077013120719073E-2</v>
      </c>
      <c r="Z75" s="46">
        <f>SUMIFS('OMNIA - Key Inputs_EB'!Y$268:Y$311,'OMNIA - Key Inputs_EB'!$E$268:$E$311,'Key Inputs_BY Techs'!$E75,'OMNIA - Key Inputs_EB'!$C$268:$C$311,'Key Inputs_BY Techs'!$C75)*Z23</f>
        <v>0</v>
      </c>
      <c r="AA75" s="46">
        <f>SUMIFS('OMNIA - Key Inputs_EB'!Z$268:Z$311,'OMNIA - Key Inputs_EB'!$E$268:$E$311,'Key Inputs_BY Techs'!$E75,'OMNIA - Key Inputs_EB'!$C$268:$C$311,'Key Inputs_BY Techs'!$C75)*AA23</f>
        <v>0</v>
      </c>
      <c r="AB75" s="46">
        <f>SUMIFS('OMNIA - Key Inputs_EB'!AA$268:AA$311,'OMNIA - Key Inputs_EB'!$E$268:$E$311,'Key Inputs_BY Techs'!$E75,'OMNIA - Key Inputs_EB'!$C$268:$C$311,'Key Inputs_BY Techs'!$C75)*AB23</f>
        <v>5.539224753202291E-2</v>
      </c>
      <c r="AC75" s="46">
        <f>SUMIFS('OMNIA - Key Inputs_EB'!AB$268:AB$311,'OMNIA - Key Inputs_EB'!$E$268:$E$311,'Key Inputs_BY Techs'!$E75,'OMNIA - Key Inputs_EB'!$C$268:$C$311,'Key Inputs_BY Techs'!$C75)*AC23</f>
        <v>0</v>
      </c>
      <c r="AD75" s="46">
        <f>SUMIFS('OMNIA - Key Inputs_EB'!AC$268:AC$311,'OMNIA - Key Inputs_EB'!$E$268:$E$311,'Key Inputs_BY Techs'!$E75,'OMNIA - Key Inputs_EB'!$C$268:$C$311,'Key Inputs_BY Techs'!$C75)*AD23</f>
        <v>1.3100641130234454</v>
      </c>
      <c r="AE75" s="46">
        <f>SUMIFS('OMNIA - Key Inputs_EB'!AD$268:AD$311,'OMNIA - Key Inputs_EB'!$E$268:$E$311,'Key Inputs_BY Techs'!$E75,'OMNIA - Key Inputs_EB'!$C$268:$C$311,'Key Inputs_BY Techs'!$C75)*AE23</f>
        <v>0</v>
      </c>
      <c r="AF75" s="46">
        <f>SUMIFS('OMNIA - Key Inputs_EB'!AE$268:AE$311,'OMNIA - Key Inputs_EB'!$E$268:$E$311,'Key Inputs_BY Techs'!$E75,'OMNIA - Key Inputs_EB'!$C$268:$C$311,'Key Inputs_BY Techs'!$C75)*AF23</f>
        <v>0</v>
      </c>
      <c r="AG75" s="46">
        <f>SUMIFS('OMNIA - Key Inputs_EB'!AF$268:AF$311,'OMNIA - Key Inputs_EB'!$E$268:$E$311,'Key Inputs_BY Techs'!$E75,'OMNIA - Key Inputs_EB'!$C$268:$C$311,'Key Inputs_BY Techs'!$C75)*AG23</f>
        <v>0</v>
      </c>
      <c r="AH75" s="46">
        <f>SUMIFS('OMNIA - Key Inputs_EB'!AG$268:AG$311,'OMNIA - Key Inputs_EB'!$E$268:$E$311,'Key Inputs_BY Techs'!$E75,'OMNIA - Key Inputs_EB'!$C$268:$C$311,'Key Inputs_BY Techs'!$C75)*AH23</f>
        <v>0</v>
      </c>
      <c r="AI75" s="46">
        <f>SUMIFS('OMNIA - Key Inputs_EB'!AH$268:AH$311,'OMNIA - Key Inputs_EB'!$E$268:$E$311,'Key Inputs_BY Techs'!$E75,'OMNIA - Key Inputs_EB'!$C$268:$C$311,'Key Inputs_BY Techs'!$C75)*AI23</f>
        <v>0.25830514243797892</v>
      </c>
      <c r="AJ75" s="46">
        <f>SUMIFS('OMNIA - Key Inputs_EB'!AI$268:AI$311,'OMNIA - Key Inputs_EB'!$E$268:$E$311,'Key Inputs_BY Techs'!$E75,'OMNIA - Key Inputs_EB'!$C$268:$C$311,'Key Inputs_BY Techs'!$C75)*AJ23</f>
        <v>2.5455305304770017</v>
      </c>
      <c r="AM75" s="405"/>
      <c r="AN75" s="385"/>
    </row>
    <row r="76" spans="1:74" s="341" customFormat="1" x14ac:dyDescent="0.2">
      <c r="A76" s="341" t="s">
        <v>74</v>
      </c>
      <c r="B76" s="46" t="s">
        <v>122</v>
      </c>
      <c r="C76" s="46" t="s">
        <v>469</v>
      </c>
      <c r="D76" s="46" t="s">
        <v>20</v>
      </c>
      <c r="E76" s="46" t="s">
        <v>108</v>
      </c>
      <c r="F76" s="46" t="s">
        <v>12</v>
      </c>
      <c r="G76" s="46"/>
      <c r="H76" s="385"/>
      <c r="I76" s="46">
        <f>SUMIFS('OMNIA - Key Inputs_EB'!H$268:H$311,'OMNIA - Key Inputs_EB'!$E$268:$E$311,'Key Inputs_BY Techs'!$E76,'OMNIA - Key Inputs_EB'!$C$268:$C$311,'Key Inputs_BY Techs'!$C76)*I24</f>
        <v>0</v>
      </c>
      <c r="J76" s="46">
        <f>SUMIFS('OMNIA - Key Inputs_EB'!I$268:I$311,'OMNIA - Key Inputs_EB'!$E$268:$E$311,'Key Inputs_BY Techs'!$E76,'OMNIA - Key Inputs_EB'!$C$268:$C$311,'Key Inputs_BY Techs'!$C76)*J24</f>
        <v>0</v>
      </c>
      <c r="K76" s="46">
        <f>SUMIFS('OMNIA - Key Inputs_EB'!J$268:J$311,'OMNIA - Key Inputs_EB'!$E$268:$E$311,'Key Inputs_BY Techs'!$E76,'OMNIA - Key Inputs_EB'!$C$268:$C$311,'Key Inputs_BY Techs'!$C76)*K24</f>
        <v>0</v>
      </c>
      <c r="L76" s="46">
        <f>SUMIFS('OMNIA - Key Inputs_EB'!K$268:K$311,'OMNIA - Key Inputs_EB'!$E$268:$E$311,'Key Inputs_BY Techs'!$E76,'OMNIA - Key Inputs_EB'!$C$268:$C$311,'Key Inputs_BY Techs'!$C76)*L24</f>
        <v>0</v>
      </c>
      <c r="M76" s="46">
        <f>SUMIFS('OMNIA - Key Inputs_EB'!L$268:L$311,'OMNIA - Key Inputs_EB'!$E$268:$E$311,'Key Inputs_BY Techs'!$E76,'OMNIA - Key Inputs_EB'!$C$268:$C$311,'Key Inputs_BY Techs'!$C76)*M24</f>
        <v>0</v>
      </c>
      <c r="N76" s="46">
        <f>SUMIFS('OMNIA - Key Inputs_EB'!M$268:M$311,'OMNIA - Key Inputs_EB'!$E$268:$E$311,'Key Inputs_BY Techs'!$E76,'OMNIA - Key Inputs_EB'!$C$268:$C$311,'Key Inputs_BY Techs'!$C76)*N24</f>
        <v>0</v>
      </c>
      <c r="O76" s="46">
        <f>SUMIFS('OMNIA - Key Inputs_EB'!N$268:N$311,'OMNIA - Key Inputs_EB'!$E$268:$E$311,'Key Inputs_BY Techs'!$E76,'OMNIA - Key Inputs_EB'!$C$268:$C$311,'Key Inputs_BY Techs'!$C76)*O24</f>
        <v>0</v>
      </c>
      <c r="P76" s="46">
        <f>SUMIFS('OMNIA - Key Inputs_EB'!O$268:O$311,'OMNIA - Key Inputs_EB'!$E$268:$E$311,'Key Inputs_BY Techs'!$E76,'OMNIA - Key Inputs_EB'!$C$268:$C$311,'Key Inputs_BY Techs'!$C76)*P24</f>
        <v>0</v>
      </c>
      <c r="Q76" s="46">
        <f>SUMIFS('OMNIA - Key Inputs_EB'!P$268:P$311,'OMNIA - Key Inputs_EB'!$E$268:$E$311,'Key Inputs_BY Techs'!$E76,'OMNIA - Key Inputs_EB'!$C$268:$C$311,'Key Inputs_BY Techs'!$C76)*Q24</f>
        <v>0</v>
      </c>
      <c r="R76" s="46">
        <f>SUMIFS('OMNIA - Key Inputs_EB'!Q$268:Q$311,'OMNIA - Key Inputs_EB'!$E$268:$E$311,'Key Inputs_BY Techs'!$E76,'OMNIA - Key Inputs_EB'!$C$268:$C$311,'Key Inputs_BY Techs'!$C76)*R24</f>
        <v>0</v>
      </c>
      <c r="S76" s="46">
        <f>SUMIFS('OMNIA - Key Inputs_EB'!R$268:R$311,'OMNIA - Key Inputs_EB'!$E$268:$E$311,'Key Inputs_BY Techs'!$E76,'OMNIA - Key Inputs_EB'!$C$268:$C$311,'Key Inputs_BY Techs'!$C76)*S24</f>
        <v>0</v>
      </c>
      <c r="T76" s="46">
        <f>SUMIFS('OMNIA - Key Inputs_EB'!S$268:S$311,'OMNIA - Key Inputs_EB'!$E$268:$E$311,'Key Inputs_BY Techs'!$E76,'OMNIA - Key Inputs_EB'!$C$268:$C$311,'Key Inputs_BY Techs'!$C76)*T24</f>
        <v>81.584959651198474</v>
      </c>
      <c r="U76" s="46">
        <f>SUMIFS('OMNIA - Key Inputs_EB'!T$268:T$311,'OMNIA - Key Inputs_EB'!$E$268:$E$311,'Key Inputs_BY Techs'!$E76,'OMNIA - Key Inputs_EB'!$C$268:$C$311,'Key Inputs_BY Techs'!$C76)*U24</f>
        <v>0.28397551407396587</v>
      </c>
      <c r="V76" s="46">
        <f>SUMIFS('OMNIA - Key Inputs_EB'!U$268:U$311,'OMNIA - Key Inputs_EB'!$E$268:$E$311,'Key Inputs_BY Techs'!$E76,'OMNIA - Key Inputs_EB'!$C$268:$C$311,'Key Inputs_BY Techs'!$C76)*V24</f>
        <v>4.2030151958516999</v>
      </c>
      <c r="W76" s="46">
        <f>SUMIFS('OMNIA - Key Inputs_EB'!V$268:V$311,'OMNIA - Key Inputs_EB'!$E$268:$E$311,'Key Inputs_BY Techs'!$E76,'OMNIA - Key Inputs_EB'!$C$268:$C$311,'Key Inputs_BY Techs'!$C76)*W24</f>
        <v>0.92790089395096798</v>
      </c>
      <c r="X76" s="46">
        <f>SUMIFS('OMNIA - Key Inputs_EB'!W$268:W$311,'OMNIA - Key Inputs_EB'!$E$268:$E$311,'Key Inputs_BY Techs'!$E76,'OMNIA - Key Inputs_EB'!$C$268:$C$311,'Key Inputs_BY Techs'!$C76)*X24</f>
        <v>4.045669593666096</v>
      </c>
      <c r="Y76" s="46">
        <f>SUMIFS('OMNIA - Key Inputs_EB'!X$268:X$311,'OMNIA - Key Inputs_EB'!$E$268:$E$311,'Key Inputs_BY Techs'!$E76,'OMNIA - Key Inputs_EB'!$C$268:$C$311,'Key Inputs_BY Techs'!$C76)*Y24</f>
        <v>4.6131316900716772</v>
      </c>
      <c r="Z76" s="46">
        <f>SUMIFS('OMNIA - Key Inputs_EB'!Y$268:Y$311,'OMNIA - Key Inputs_EB'!$E$268:$E$311,'Key Inputs_BY Techs'!$E76,'OMNIA - Key Inputs_EB'!$C$268:$C$311,'Key Inputs_BY Techs'!$C76)*Z24</f>
        <v>0</v>
      </c>
      <c r="AA76" s="46">
        <f>SUMIFS('OMNIA - Key Inputs_EB'!Z$268:Z$311,'OMNIA - Key Inputs_EB'!$E$268:$E$311,'Key Inputs_BY Techs'!$E76,'OMNIA - Key Inputs_EB'!$C$268:$C$311,'Key Inputs_BY Techs'!$C76)*AA24</f>
        <v>0</v>
      </c>
      <c r="AB76" s="46">
        <f>SUMIFS('OMNIA - Key Inputs_EB'!AA$268:AA$311,'OMNIA - Key Inputs_EB'!$E$268:$E$311,'Key Inputs_BY Techs'!$E76,'OMNIA - Key Inputs_EB'!$C$268:$C$311,'Key Inputs_BY Techs'!$C76)*AB24</f>
        <v>2.4182185079849483E-2</v>
      </c>
      <c r="AC76" s="46">
        <f>SUMIFS('OMNIA - Key Inputs_EB'!AB$268:AB$311,'OMNIA - Key Inputs_EB'!$E$268:$E$311,'Key Inputs_BY Techs'!$E76,'OMNIA - Key Inputs_EB'!$C$268:$C$311,'Key Inputs_BY Techs'!$C76)*AC24</f>
        <v>0</v>
      </c>
      <c r="AD76" s="46">
        <f>SUMIFS('OMNIA - Key Inputs_EB'!AC$268:AC$311,'OMNIA - Key Inputs_EB'!$E$268:$E$311,'Key Inputs_BY Techs'!$E76,'OMNIA - Key Inputs_EB'!$C$268:$C$311,'Key Inputs_BY Techs'!$C76)*AD24</f>
        <v>6.9866627673076706E-2</v>
      </c>
      <c r="AE76" s="46">
        <f>SUMIFS('OMNIA - Key Inputs_EB'!AD$268:AD$311,'OMNIA - Key Inputs_EB'!$E$268:$E$311,'Key Inputs_BY Techs'!$E76,'OMNIA - Key Inputs_EB'!$C$268:$C$311,'Key Inputs_BY Techs'!$C76)*AE24</f>
        <v>0</v>
      </c>
      <c r="AF76" s="46">
        <f>SUMIFS('OMNIA - Key Inputs_EB'!AE$268:AE$311,'OMNIA - Key Inputs_EB'!$E$268:$E$311,'Key Inputs_BY Techs'!$E76,'OMNIA - Key Inputs_EB'!$C$268:$C$311,'Key Inputs_BY Techs'!$C76)*AF24</f>
        <v>0</v>
      </c>
      <c r="AG76" s="46">
        <f>SUMIFS('OMNIA - Key Inputs_EB'!AF$268:AF$311,'OMNIA - Key Inputs_EB'!$E$268:$E$311,'Key Inputs_BY Techs'!$E76,'OMNIA - Key Inputs_EB'!$C$268:$C$311,'Key Inputs_BY Techs'!$C76)*AG24</f>
        <v>0</v>
      </c>
      <c r="AH76" s="46">
        <f>SUMIFS('OMNIA - Key Inputs_EB'!AG$268:AG$311,'OMNIA - Key Inputs_EB'!$E$268:$E$311,'Key Inputs_BY Techs'!$E76,'OMNIA - Key Inputs_EB'!$C$268:$C$311,'Key Inputs_BY Techs'!$C76)*AH24</f>
        <v>130.67506059097261</v>
      </c>
      <c r="AI76" s="46">
        <f>SUMIFS('OMNIA - Key Inputs_EB'!AH$268:AH$311,'OMNIA - Key Inputs_EB'!$E$268:$E$311,'Key Inputs_BY Techs'!$E76,'OMNIA - Key Inputs_EB'!$C$268:$C$311,'Key Inputs_BY Techs'!$C76)*AI24</f>
        <v>14.243293600589322</v>
      </c>
      <c r="AJ76" s="46">
        <f>SUMIFS('OMNIA - Key Inputs_EB'!AI$268:AI$311,'OMNIA - Key Inputs_EB'!$E$268:$E$311,'Key Inputs_BY Techs'!$E76,'OMNIA - Key Inputs_EB'!$C$268:$C$311,'Key Inputs_BY Techs'!$C76)*AJ24</f>
        <v>0</v>
      </c>
      <c r="AM76" s="405"/>
      <c r="AN76" s="385"/>
    </row>
    <row r="77" spans="1:74" s="341" customFormat="1" x14ac:dyDescent="0.2">
      <c r="A77" s="341" t="s">
        <v>74</v>
      </c>
      <c r="B77" s="46" t="s">
        <v>122</v>
      </c>
      <c r="C77" s="46" t="s">
        <v>469</v>
      </c>
      <c r="D77" s="46" t="s">
        <v>0</v>
      </c>
      <c r="E77" s="46" t="s">
        <v>109</v>
      </c>
      <c r="F77" s="46" t="s">
        <v>12</v>
      </c>
      <c r="G77" s="46"/>
      <c r="H77" s="46"/>
      <c r="I77" s="46">
        <f>SUMIFS('OMNIA - Key Inputs_EB'!H$268:H$311,'OMNIA - Key Inputs_EB'!$E$268:$E$311,'Key Inputs_BY Techs'!$E77,'OMNIA - Key Inputs_EB'!$C$268:$C$311,'Key Inputs_BY Techs'!$C77)*I25</f>
        <v>4.2624783371367533E-2</v>
      </c>
      <c r="J77" s="46">
        <f>SUMIFS('OMNIA - Key Inputs_EB'!I$268:I$311,'OMNIA - Key Inputs_EB'!$E$268:$E$311,'Key Inputs_BY Techs'!$E77,'OMNIA - Key Inputs_EB'!$C$268:$C$311,'Key Inputs_BY Techs'!$C77)*J25</f>
        <v>0</v>
      </c>
      <c r="K77" s="46">
        <f>SUMIFS('OMNIA - Key Inputs_EB'!J$268:J$311,'OMNIA - Key Inputs_EB'!$E$268:$E$311,'Key Inputs_BY Techs'!$E77,'OMNIA - Key Inputs_EB'!$C$268:$C$311,'Key Inputs_BY Techs'!$C77)*K25</f>
        <v>0.27114888283400818</v>
      </c>
      <c r="L77" s="46">
        <f>SUMIFS('OMNIA - Key Inputs_EB'!K$268:K$311,'OMNIA - Key Inputs_EB'!$E$268:$E$311,'Key Inputs_BY Techs'!$E77,'OMNIA - Key Inputs_EB'!$C$268:$C$311,'Key Inputs_BY Techs'!$C77)*L25</f>
        <v>0</v>
      </c>
      <c r="M77" s="46">
        <f>SUMIFS('OMNIA - Key Inputs_EB'!L$268:L$311,'OMNIA - Key Inputs_EB'!$E$268:$E$311,'Key Inputs_BY Techs'!$E77,'OMNIA - Key Inputs_EB'!$C$268:$C$311,'Key Inputs_BY Techs'!$C77)*M25</f>
        <v>1.0217652841547133E-2</v>
      </c>
      <c r="N77" s="46">
        <f>SUMIFS('OMNIA - Key Inputs_EB'!M$268:M$311,'OMNIA - Key Inputs_EB'!$E$268:$E$311,'Key Inputs_BY Techs'!$E77,'OMNIA - Key Inputs_EB'!$C$268:$C$311,'Key Inputs_BY Techs'!$C77)*N25</f>
        <v>0</v>
      </c>
      <c r="O77" s="46">
        <f>SUMIFS('OMNIA - Key Inputs_EB'!N$268:N$311,'OMNIA - Key Inputs_EB'!$E$268:$E$311,'Key Inputs_BY Techs'!$E77,'OMNIA - Key Inputs_EB'!$C$268:$C$311,'Key Inputs_BY Techs'!$C77)*O25</f>
        <v>3.4389576940214932E-2</v>
      </c>
      <c r="P77" s="46">
        <f>SUMIFS('OMNIA - Key Inputs_EB'!O$268:O$311,'OMNIA - Key Inputs_EB'!$E$268:$E$311,'Key Inputs_BY Techs'!$E77,'OMNIA - Key Inputs_EB'!$C$268:$C$311,'Key Inputs_BY Techs'!$C77)*P25</f>
        <v>0</v>
      </c>
      <c r="Q77" s="46">
        <f>SUMIFS('OMNIA - Key Inputs_EB'!P$268:P$311,'OMNIA - Key Inputs_EB'!$E$268:$E$311,'Key Inputs_BY Techs'!$E77,'OMNIA - Key Inputs_EB'!$C$268:$C$311,'Key Inputs_BY Techs'!$C77)*Q25</f>
        <v>0.10934146309709555</v>
      </c>
      <c r="R77" s="46">
        <f>SUMIFS('OMNIA - Key Inputs_EB'!Q$268:Q$311,'OMNIA - Key Inputs_EB'!$E$268:$E$311,'Key Inputs_BY Techs'!$E77,'OMNIA - Key Inputs_EB'!$C$268:$C$311,'Key Inputs_BY Techs'!$C77)*R25</f>
        <v>1.4007899695552204</v>
      </c>
      <c r="S77" s="46">
        <f>SUMIFS('OMNIA - Key Inputs_EB'!R$268:R$311,'OMNIA - Key Inputs_EB'!$E$268:$E$311,'Key Inputs_BY Techs'!$E77,'OMNIA - Key Inputs_EB'!$C$268:$C$311,'Key Inputs_BY Techs'!$C77)*S25</f>
        <v>0</v>
      </c>
      <c r="T77" s="46">
        <f>SUMIFS('OMNIA - Key Inputs_EB'!S$268:S$311,'OMNIA - Key Inputs_EB'!$E$268:$E$311,'Key Inputs_BY Techs'!$E77,'OMNIA - Key Inputs_EB'!$C$268:$C$311,'Key Inputs_BY Techs'!$C77)*T25</f>
        <v>38.457801959518434</v>
      </c>
      <c r="U77" s="46">
        <f>SUMIFS('OMNIA - Key Inputs_EB'!T$268:T$311,'OMNIA - Key Inputs_EB'!$E$268:$E$311,'Key Inputs_BY Techs'!$E77,'OMNIA - Key Inputs_EB'!$C$268:$C$311,'Key Inputs_BY Techs'!$C77)*U25</f>
        <v>5.6312857062215749E-3</v>
      </c>
      <c r="V77" s="46">
        <f>SUMIFS('OMNIA - Key Inputs_EB'!U$268:U$311,'OMNIA - Key Inputs_EB'!$E$268:$E$311,'Key Inputs_BY Techs'!$E77,'OMNIA - Key Inputs_EB'!$C$268:$C$311,'Key Inputs_BY Techs'!$C77)*V25</f>
        <v>1.3443191974058581</v>
      </c>
      <c r="W77" s="46">
        <f>SUMIFS('OMNIA - Key Inputs_EB'!V$268:V$311,'OMNIA - Key Inputs_EB'!$E$268:$E$311,'Key Inputs_BY Techs'!$E77,'OMNIA - Key Inputs_EB'!$C$268:$C$311,'Key Inputs_BY Techs'!$C77)*W25</f>
        <v>6.3687385882986738E-2</v>
      </c>
      <c r="X77" s="46">
        <f>SUMIFS('OMNIA - Key Inputs_EB'!W$268:W$311,'OMNIA - Key Inputs_EB'!$E$268:$E$311,'Key Inputs_BY Techs'!$E77,'OMNIA - Key Inputs_EB'!$C$268:$C$311,'Key Inputs_BY Techs'!$C77)*X25</f>
        <v>6.9536457659009487</v>
      </c>
      <c r="Y77" s="46">
        <f>SUMIFS('OMNIA - Key Inputs_EB'!X$268:X$311,'OMNIA - Key Inputs_EB'!$E$268:$E$311,'Key Inputs_BY Techs'!$E77,'OMNIA - Key Inputs_EB'!$C$268:$C$311,'Key Inputs_BY Techs'!$C77)*Y25</f>
        <v>0.53989484607691052</v>
      </c>
      <c r="Z77" s="46">
        <f>SUMIFS('OMNIA - Key Inputs_EB'!Y$268:Y$311,'OMNIA - Key Inputs_EB'!$E$268:$E$311,'Key Inputs_BY Techs'!$E77,'OMNIA - Key Inputs_EB'!$C$268:$C$311,'Key Inputs_BY Techs'!$C77)*Z25</f>
        <v>0</v>
      </c>
      <c r="AA77" s="46">
        <f>SUMIFS('OMNIA - Key Inputs_EB'!Z$268:Z$311,'OMNIA - Key Inputs_EB'!$E$268:$E$311,'Key Inputs_BY Techs'!$E77,'OMNIA - Key Inputs_EB'!$C$268:$C$311,'Key Inputs_BY Techs'!$C77)*AA25</f>
        <v>0</v>
      </c>
      <c r="AB77" s="46">
        <f>SUMIFS('OMNIA - Key Inputs_EB'!AA$268:AA$311,'OMNIA - Key Inputs_EB'!$E$268:$E$311,'Key Inputs_BY Techs'!$E77,'OMNIA - Key Inputs_EB'!$C$268:$C$311,'Key Inputs_BY Techs'!$C77)*AB25</f>
        <v>5.0043957505401364</v>
      </c>
      <c r="AC77" s="46">
        <f>SUMIFS('OMNIA - Key Inputs_EB'!AB$268:AB$311,'OMNIA - Key Inputs_EB'!$E$268:$E$311,'Key Inputs_BY Techs'!$E77,'OMNIA - Key Inputs_EB'!$C$268:$C$311,'Key Inputs_BY Techs'!$C77)*AC25</f>
        <v>1.2052176503448679</v>
      </c>
      <c r="AD77" s="46">
        <f>SUMIFS('OMNIA - Key Inputs_EB'!AC$268:AC$311,'OMNIA - Key Inputs_EB'!$E$268:$E$311,'Key Inputs_BY Techs'!$E77,'OMNIA - Key Inputs_EB'!$C$268:$C$311,'Key Inputs_BY Techs'!$C77)*AD25</f>
        <v>0.72658528759920427</v>
      </c>
      <c r="AE77" s="46">
        <f>SUMIFS('OMNIA - Key Inputs_EB'!AD$268:AD$311,'OMNIA - Key Inputs_EB'!$E$268:$E$311,'Key Inputs_BY Techs'!$E77,'OMNIA - Key Inputs_EB'!$C$268:$C$311,'Key Inputs_BY Techs'!$C77)*AE25</f>
        <v>4.4742990843793608E-2</v>
      </c>
      <c r="AF77" s="46">
        <f>SUMIFS('OMNIA - Key Inputs_EB'!AE$268:AE$311,'OMNIA - Key Inputs_EB'!$E$268:$E$311,'Key Inputs_BY Techs'!$E77,'OMNIA - Key Inputs_EB'!$C$268:$C$311,'Key Inputs_BY Techs'!$C77)*AF25</f>
        <v>4.0114159324217269</v>
      </c>
      <c r="AG77" s="46">
        <f>SUMIFS('OMNIA - Key Inputs_EB'!AF$268:AF$311,'OMNIA - Key Inputs_EB'!$E$268:$E$311,'Key Inputs_BY Techs'!$E77,'OMNIA - Key Inputs_EB'!$C$268:$C$311,'Key Inputs_BY Techs'!$C77)*AG25</f>
        <v>9.7488603373781971E-2</v>
      </c>
      <c r="AH77" s="46">
        <f>SUMIFS('OMNIA - Key Inputs_EB'!AG$268:AG$311,'OMNIA - Key Inputs_EB'!$E$268:$E$311,'Key Inputs_BY Techs'!$E77,'OMNIA - Key Inputs_EB'!$C$268:$C$311,'Key Inputs_BY Techs'!$C77)*AH25</f>
        <v>0.72845083536724153</v>
      </c>
      <c r="AI77" s="46">
        <f>SUMIFS('OMNIA - Key Inputs_EB'!AH$268:AH$311,'OMNIA - Key Inputs_EB'!$E$268:$E$311,'Key Inputs_BY Techs'!$E77,'OMNIA - Key Inputs_EB'!$C$268:$C$311,'Key Inputs_BY Techs'!$C77)*AI25</f>
        <v>5.437880730316893</v>
      </c>
      <c r="AJ77" s="46">
        <f>SUMIFS('OMNIA - Key Inputs_EB'!AI$268:AI$311,'OMNIA - Key Inputs_EB'!$E$268:$E$311,'Key Inputs_BY Techs'!$E77,'OMNIA - Key Inputs_EB'!$C$268:$C$311,'Key Inputs_BY Techs'!$C77)*AJ25</f>
        <v>39.990570228814292</v>
      </c>
      <c r="AM77" s="405"/>
      <c r="AN77" s="385"/>
    </row>
    <row r="78" spans="1:74" s="341" customFormat="1" x14ac:dyDescent="0.2">
      <c r="A78" s="341" t="s">
        <v>74</v>
      </c>
      <c r="B78" s="46" t="s">
        <v>122</v>
      </c>
      <c r="C78" s="46" t="s">
        <v>469</v>
      </c>
      <c r="D78" s="46" t="s">
        <v>18</v>
      </c>
      <c r="E78" s="46" t="s">
        <v>104</v>
      </c>
      <c r="F78" s="46" t="s">
        <v>12</v>
      </c>
      <c r="G78" s="46"/>
      <c r="H78" s="46"/>
      <c r="I78" s="46">
        <f>SUMIFS('OMNIA - Key Inputs_EB'!H$268:H$311,'OMNIA - Key Inputs_EB'!$E$268:$E$311,'Key Inputs_BY Techs'!$E78,'OMNIA - Key Inputs_EB'!$C$268:$C$311,'Key Inputs_BY Techs'!$C78)*I26</f>
        <v>9.889705791082642E-4</v>
      </c>
      <c r="J78" s="46">
        <f>SUMIFS('OMNIA - Key Inputs_EB'!I$268:I$311,'OMNIA - Key Inputs_EB'!$E$268:$E$311,'Key Inputs_BY Techs'!$E78,'OMNIA - Key Inputs_EB'!$C$268:$C$311,'Key Inputs_BY Techs'!$C78)*J26</f>
        <v>0</v>
      </c>
      <c r="K78" s="46">
        <f>SUMIFS('OMNIA - Key Inputs_EB'!J$268:J$311,'OMNIA - Key Inputs_EB'!$E$268:$E$311,'Key Inputs_BY Techs'!$E78,'OMNIA - Key Inputs_EB'!$C$268:$C$311,'Key Inputs_BY Techs'!$C78)*K26</f>
        <v>0</v>
      </c>
      <c r="L78" s="46">
        <f>SUMIFS('OMNIA - Key Inputs_EB'!K$268:K$311,'OMNIA - Key Inputs_EB'!$E$268:$E$311,'Key Inputs_BY Techs'!$E78,'OMNIA - Key Inputs_EB'!$C$268:$C$311,'Key Inputs_BY Techs'!$C78)*L26</f>
        <v>0</v>
      </c>
      <c r="M78" s="46">
        <f>SUMIFS('OMNIA - Key Inputs_EB'!L$268:L$311,'OMNIA - Key Inputs_EB'!$E$268:$E$311,'Key Inputs_BY Techs'!$E78,'OMNIA - Key Inputs_EB'!$C$268:$C$311,'Key Inputs_BY Techs'!$C78)*M26</f>
        <v>1.2781734321096978E-4</v>
      </c>
      <c r="N78" s="46">
        <f>SUMIFS('OMNIA - Key Inputs_EB'!M$268:M$311,'OMNIA - Key Inputs_EB'!$E$268:$E$311,'Key Inputs_BY Techs'!$E78,'OMNIA - Key Inputs_EB'!$C$268:$C$311,'Key Inputs_BY Techs'!$C78)*N26</f>
        <v>0</v>
      </c>
      <c r="O78" s="46">
        <f>SUMIFS('OMNIA - Key Inputs_EB'!N$268:N$311,'OMNIA - Key Inputs_EB'!$E$268:$E$311,'Key Inputs_BY Techs'!$E78,'OMNIA - Key Inputs_EB'!$C$268:$C$311,'Key Inputs_BY Techs'!$C78)*O26</f>
        <v>0.57503135474919198</v>
      </c>
      <c r="P78" s="46">
        <f>SUMIFS('OMNIA - Key Inputs_EB'!O$268:O$311,'OMNIA - Key Inputs_EB'!$E$268:$E$311,'Key Inputs_BY Techs'!$E78,'OMNIA - Key Inputs_EB'!$C$268:$C$311,'Key Inputs_BY Techs'!$C78)*P26</f>
        <v>0</v>
      </c>
      <c r="Q78" s="46">
        <f>SUMIFS('OMNIA - Key Inputs_EB'!P$268:P$311,'OMNIA - Key Inputs_EB'!$E$268:$E$311,'Key Inputs_BY Techs'!$E78,'OMNIA - Key Inputs_EB'!$C$268:$C$311,'Key Inputs_BY Techs'!$C78)*Q26</f>
        <v>0</v>
      </c>
      <c r="R78" s="46">
        <f>SUMIFS('OMNIA - Key Inputs_EB'!Q$268:Q$311,'OMNIA - Key Inputs_EB'!$E$268:$E$311,'Key Inputs_BY Techs'!$E78,'OMNIA - Key Inputs_EB'!$C$268:$C$311,'Key Inputs_BY Techs'!$C78)*R26</f>
        <v>0</v>
      </c>
      <c r="S78" s="46">
        <f>SUMIFS('OMNIA - Key Inputs_EB'!R$268:R$311,'OMNIA - Key Inputs_EB'!$E$268:$E$311,'Key Inputs_BY Techs'!$E78,'OMNIA - Key Inputs_EB'!$C$268:$C$311,'Key Inputs_BY Techs'!$C78)*S26</f>
        <v>0</v>
      </c>
      <c r="T78" s="46">
        <f>SUMIFS('OMNIA - Key Inputs_EB'!S$268:S$311,'OMNIA - Key Inputs_EB'!$E$268:$E$311,'Key Inputs_BY Techs'!$E78,'OMNIA - Key Inputs_EB'!$C$268:$C$311,'Key Inputs_BY Techs'!$C78)*T26</f>
        <v>67.187467378377647</v>
      </c>
      <c r="U78" s="46">
        <f>SUMIFS('OMNIA - Key Inputs_EB'!T$268:T$311,'OMNIA - Key Inputs_EB'!$E$268:$E$311,'Key Inputs_BY Techs'!$E78,'OMNIA - Key Inputs_EB'!$C$268:$C$311,'Key Inputs_BY Techs'!$C78)*U26</f>
        <v>3.22845069840694E-2</v>
      </c>
      <c r="V78" s="46">
        <f>SUMIFS('OMNIA - Key Inputs_EB'!U$268:U$311,'OMNIA - Key Inputs_EB'!$E$268:$E$311,'Key Inputs_BY Techs'!$E78,'OMNIA - Key Inputs_EB'!$C$268:$C$311,'Key Inputs_BY Techs'!$C78)*V26</f>
        <v>1.6311467284329351</v>
      </c>
      <c r="W78" s="46">
        <f>SUMIFS('OMNIA - Key Inputs_EB'!V$268:V$311,'OMNIA - Key Inputs_EB'!$E$268:$E$311,'Key Inputs_BY Techs'!$E78,'OMNIA - Key Inputs_EB'!$C$268:$C$311,'Key Inputs_BY Techs'!$C78)*W26</f>
        <v>0.58045945367906637</v>
      </c>
      <c r="X78" s="46">
        <f>SUMIFS('OMNIA - Key Inputs_EB'!W$268:W$311,'OMNIA - Key Inputs_EB'!$E$268:$E$311,'Key Inputs_BY Techs'!$E78,'OMNIA - Key Inputs_EB'!$C$268:$C$311,'Key Inputs_BY Techs'!$C78)*X26</f>
        <v>0.13679863495174943</v>
      </c>
      <c r="Y78" s="46">
        <f>SUMIFS('OMNIA - Key Inputs_EB'!X$268:X$311,'OMNIA - Key Inputs_EB'!$E$268:$E$311,'Key Inputs_BY Techs'!$E78,'OMNIA - Key Inputs_EB'!$C$268:$C$311,'Key Inputs_BY Techs'!$C78)*Y26</f>
        <v>0.2577521937794951</v>
      </c>
      <c r="Z78" s="46">
        <f>SUMIFS('OMNIA - Key Inputs_EB'!Y$268:Y$311,'OMNIA - Key Inputs_EB'!$E$268:$E$311,'Key Inputs_BY Techs'!$E78,'OMNIA - Key Inputs_EB'!$C$268:$C$311,'Key Inputs_BY Techs'!$C78)*Z26</f>
        <v>0</v>
      </c>
      <c r="AA78" s="46">
        <f>SUMIFS('OMNIA - Key Inputs_EB'!Z$268:Z$311,'OMNIA - Key Inputs_EB'!$E$268:$E$311,'Key Inputs_BY Techs'!$E78,'OMNIA - Key Inputs_EB'!$C$268:$C$311,'Key Inputs_BY Techs'!$C78)*AA26</f>
        <v>0</v>
      </c>
      <c r="AB78" s="46">
        <f>SUMIFS('OMNIA - Key Inputs_EB'!AA$268:AA$311,'OMNIA - Key Inputs_EB'!$E$268:$E$311,'Key Inputs_BY Techs'!$E78,'OMNIA - Key Inputs_EB'!$C$268:$C$311,'Key Inputs_BY Techs'!$C78)*AB26</f>
        <v>0</v>
      </c>
      <c r="AC78" s="46">
        <f>SUMIFS('OMNIA - Key Inputs_EB'!AB$268:AB$311,'OMNIA - Key Inputs_EB'!$E$268:$E$311,'Key Inputs_BY Techs'!$E78,'OMNIA - Key Inputs_EB'!$C$268:$C$311,'Key Inputs_BY Techs'!$C78)*AC26</f>
        <v>3.7808251445569638E-2</v>
      </c>
      <c r="AD78" s="46">
        <f>SUMIFS('OMNIA - Key Inputs_EB'!AC$268:AC$311,'OMNIA - Key Inputs_EB'!$E$268:$E$311,'Key Inputs_BY Techs'!$E78,'OMNIA - Key Inputs_EB'!$C$268:$C$311,'Key Inputs_BY Techs'!$C78)*AD26</f>
        <v>0.89405777497147887</v>
      </c>
      <c r="AE78" s="46">
        <f>SUMIFS('OMNIA - Key Inputs_EB'!AD$268:AD$311,'OMNIA - Key Inputs_EB'!$E$268:$E$311,'Key Inputs_BY Techs'!$E78,'OMNIA - Key Inputs_EB'!$C$268:$C$311,'Key Inputs_BY Techs'!$C78)*AE26</f>
        <v>1.3750362355951921E-4</v>
      </c>
      <c r="AF78" s="46">
        <f>SUMIFS('OMNIA - Key Inputs_EB'!AE$268:AE$311,'OMNIA - Key Inputs_EB'!$E$268:$E$311,'Key Inputs_BY Techs'!$E78,'OMNIA - Key Inputs_EB'!$C$268:$C$311,'Key Inputs_BY Techs'!$C78)*AF26</f>
        <v>0</v>
      </c>
      <c r="AG78" s="46">
        <f>SUMIFS('OMNIA - Key Inputs_EB'!AF$268:AF$311,'OMNIA - Key Inputs_EB'!$E$268:$E$311,'Key Inputs_BY Techs'!$E78,'OMNIA - Key Inputs_EB'!$C$268:$C$311,'Key Inputs_BY Techs'!$C78)*AG26</f>
        <v>0</v>
      </c>
      <c r="AH78" s="46">
        <f>SUMIFS('OMNIA - Key Inputs_EB'!AG$268:AG$311,'OMNIA - Key Inputs_EB'!$E$268:$E$311,'Key Inputs_BY Techs'!$E78,'OMNIA - Key Inputs_EB'!$C$268:$C$311,'Key Inputs_BY Techs'!$C78)*AH26</f>
        <v>3.698453367600318</v>
      </c>
      <c r="AI78" s="46">
        <f>SUMIFS('OMNIA - Key Inputs_EB'!AH$268:AH$311,'OMNIA - Key Inputs_EB'!$E$268:$E$311,'Key Inputs_BY Techs'!$E78,'OMNIA - Key Inputs_EB'!$C$268:$C$311,'Key Inputs_BY Techs'!$C78)*AI26</f>
        <v>1.5963549434967201</v>
      </c>
      <c r="AJ78" s="46">
        <f>SUMIFS('OMNIA - Key Inputs_EB'!AI$268:AI$311,'OMNIA - Key Inputs_EB'!$E$268:$E$311,'Key Inputs_BY Techs'!$E78,'OMNIA - Key Inputs_EB'!$C$268:$C$311,'Key Inputs_BY Techs'!$C78)*AJ26</f>
        <v>0</v>
      </c>
      <c r="AM78" s="405"/>
      <c r="AN78" s="385"/>
    </row>
    <row r="79" spans="1:74" s="341" customFormat="1" x14ac:dyDescent="0.2">
      <c r="A79" s="341" t="s">
        <v>74</v>
      </c>
      <c r="B79" s="48" t="s">
        <v>122</v>
      </c>
      <c r="C79" s="48" t="s">
        <v>469</v>
      </c>
      <c r="D79" s="48" t="s">
        <v>474</v>
      </c>
      <c r="E79" s="48" t="s">
        <v>475</v>
      </c>
      <c r="F79" s="48" t="s">
        <v>12</v>
      </c>
      <c r="G79" s="48"/>
      <c r="H79" s="48"/>
      <c r="I79" s="48">
        <f>SUMIFS('OMNIA - Key Inputs_EB'!H$268:H$311,'OMNIA - Key Inputs_EB'!$E$268:$E$311,'Key Inputs_BY Techs'!$E79,'OMNIA - Key Inputs_EB'!$C$268:$C$311,'Key Inputs_BY Techs'!$C79)*I27</f>
        <v>1.3647072319778861E-2</v>
      </c>
      <c r="J79" s="48">
        <f>SUMIFS('OMNIA - Key Inputs_EB'!I$268:I$311,'OMNIA - Key Inputs_EB'!$E$268:$E$311,'Key Inputs_BY Techs'!$E79,'OMNIA - Key Inputs_EB'!$C$268:$C$311,'Key Inputs_BY Techs'!$C79)*J27</f>
        <v>0</v>
      </c>
      <c r="K79" s="48">
        <f>SUMIFS('OMNIA - Key Inputs_EB'!J$268:J$311,'OMNIA - Key Inputs_EB'!$E$268:$E$311,'Key Inputs_BY Techs'!$E79,'OMNIA - Key Inputs_EB'!$C$268:$C$311,'Key Inputs_BY Techs'!$C79)*K27</f>
        <v>8.3815754107031404E-2</v>
      </c>
      <c r="L79" s="48">
        <f>SUMIFS('OMNIA - Key Inputs_EB'!K$268:K$311,'OMNIA - Key Inputs_EB'!$E$268:$E$311,'Key Inputs_BY Techs'!$E79,'OMNIA - Key Inputs_EB'!$C$268:$C$311,'Key Inputs_BY Techs'!$C79)*L27</f>
        <v>0</v>
      </c>
      <c r="M79" s="48">
        <f>SUMIFS('OMNIA - Key Inputs_EB'!L$268:L$311,'OMNIA - Key Inputs_EB'!$E$268:$E$311,'Key Inputs_BY Techs'!$E79,'OMNIA - Key Inputs_EB'!$C$268:$C$311,'Key Inputs_BY Techs'!$C79)*M27</f>
        <v>6.8305616406777323E-5</v>
      </c>
      <c r="N79" s="48">
        <f>SUMIFS('OMNIA - Key Inputs_EB'!M$268:M$311,'OMNIA - Key Inputs_EB'!$E$268:$E$311,'Key Inputs_BY Techs'!$E79,'OMNIA - Key Inputs_EB'!$C$268:$C$311,'Key Inputs_BY Techs'!$C79)*N27</f>
        <v>0</v>
      </c>
      <c r="O79" s="48">
        <f>SUMIFS('OMNIA - Key Inputs_EB'!N$268:N$311,'OMNIA - Key Inputs_EB'!$E$268:$E$311,'Key Inputs_BY Techs'!$E79,'OMNIA - Key Inputs_EB'!$C$268:$C$311,'Key Inputs_BY Techs'!$C79)*O27</f>
        <v>7.768787772391132E-3</v>
      </c>
      <c r="P79" s="48">
        <f>SUMIFS('OMNIA - Key Inputs_EB'!O$268:O$311,'OMNIA - Key Inputs_EB'!$E$268:$E$311,'Key Inputs_BY Techs'!$E79,'OMNIA - Key Inputs_EB'!$C$268:$C$311,'Key Inputs_BY Techs'!$C79)*P27</f>
        <v>0</v>
      </c>
      <c r="Q79" s="48">
        <f>SUMIFS('OMNIA - Key Inputs_EB'!P$268:P$311,'OMNIA - Key Inputs_EB'!$E$268:$E$311,'Key Inputs_BY Techs'!$E79,'OMNIA - Key Inputs_EB'!$C$268:$C$311,'Key Inputs_BY Techs'!$C79)*Q27</f>
        <v>3.5849263834407814E-5</v>
      </c>
      <c r="R79" s="48">
        <f>SUMIFS('OMNIA - Key Inputs_EB'!Q$268:Q$311,'OMNIA - Key Inputs_EB'!$E$268:$E$311,'Key Inputs_BY Techs'!$E79,'OMNIA - Key Inputs_EB'!$C$268:$C$311,'Key Inputs_BY Techs'!$C79)*R27</f>
        <v>5.000985796322805</v>
      </c>
      <c r="S79" s="48">
        <f>SUMIFS('OMNIA - Key Inputs_EB'!R$268:R$311,'OMNIA - Key Inputs_EB'!$E$268:$E$311,'Key Inputs_BY Techs'!$E79,'OMNIA - Key Inputs_EB'!$C$268:$C$311,'Key Inputs_BY Techs'!$C79)*S27</f>
        <v>0</v>
      </c>
      <c r="T79" s="48">
        <f>SUMIFS('OMNIA - Key Inputs_EB'!S$268:S$311,'OMNIA - Key Inputs_EB'!$E$268:$E$311,'Key Inputs_BY Techs'!$E79,'OMNIA - Key Inputs_EB'!$C$268:$C$311,'Key Inputs_BY Techs'!$C79)*T27</f>
        <v>60.138728518975491</v>
      </c>
      <c r="U79" s="48">
        <f>SUMIFS('OMNIA - Key Inputs_EB'!T$268:T$311,'OMNIA - Key Inputs_EB'!$E$268:$E$311,'Key Inputs_BY Techs'!$E79,'OMNIA - Key Inputs_EB'!$C$268:$C$311,'Key Inputs_BY Techs'!$C79)*U27</f>
        <v>2.7573150350614117E-4</v>
      </c>
      <c r="V79" s="48">
        <f>SUMIFS('OMNIA - Key Inputs_EB'!U$268:U$311,'OMNIA - Key Inputs_EB'!$E$268:$E$311,'Key Inputs_BY Techs'!$E79,'OMNIA - Key Inputs_EB'!$C$268:$C$311,'Key Inputs_BY Techs'!$C79)*V27</f>
        <v>20.379059212233646</v>
      </c>
      <c r="W79" s="48">
        <f>SUMIFS('OMNIA - Key Inputs_EB'!V$268:V$311,'OMNIA - Key Inputs_EB'!$E$268:$E$311,'Key Inputs_BY Techs'!$E79,'OMNIA - Key Inputs_EB'!$C$268:$C$311,'Key Inputs_BY Techs'!$C79)*W27</f>
        <v>1.7224468258841854E-2</v>
      </c>
      <c r="X79" s="48">
        <f>SUMIFS('OMNIA - Key Inputs_EB'!W$268:W$311,'OMNIA - Key Inputs_EB'!$E$268:$E$311,'Key Inputs_BY Techs'!$E79,'OMNIA - Key Inputs_EB'!$C$268:$C$311,'Key Inputs_BY Techs'!$C79)*X27</f>
        <v>15.039842693017087</v>
      </c>
      <c r="Y79" s="48">
        <f>SUMIFS('OMNIA - Key Inputs_EB'!X$268:X$311,'OMNIA - Key Inputs_EB'!$E$268:$E$311,'Key Inputs_BY Techs'!$E79,'OMNIA - Key Inputs_EB'!$C$268:$C$311,'Key Inputs_BY Techs'!$C79)*Y27</f>
        <v>8.0074005456803956</v>
      </c>
      <c r="Z79" s="48">
        <f>SUMIFS('OMNIA - Key Inputs_EB'!Y$268:Y$311,'OMNIA - Key Inputs_EB'!$E$268:$E$311,'Key Inputs_BY Techs'!$E79,'OMNIA - Key Inputs_EB'!$C$268:$C$311,'Key Inputs_BY Techs'!$C79)*Z27</f>
        <v>0</v>
      </c>
      <c r="AA79" s="48">
        <f>SUMIFS('OMNIA - Key Inputs_EB'!Z$268:Z$311,'OMNIA - Key Inputs_EB'!$E$268:$E$311,'Key Inputs_BY Techs'!$E79,'OMNIA - Key Inputs_EB'!$C$268:$C$311,'Key Inputs_BY Techs'!$C79)*AA27</f>
        <v>0</v>
      </c>
      <c r="AB79" s="48">
        <f>SUMIFS('OMNIA - Key Inputs_EB'!AA$268:AA$311,'OMNIA - Key Inputs_EB'!$E$268:$E$311,'Key Inputs_BY Techs'!$E79,'OMNIA - Key Inputs_EB'!$C$268:$C$311,'Key Inputs_BY Techs'!$C79)*AB27</f>
        <v>7.6080810781175359</v>
      </c>
      <c r="AC79" s="48">
        <f>SUMIFS('OMNIA - Key Inputs_EB'!AB$268:AB$311,'OMNIA - Key Inputs_EB'!$E$268:$E$311,'Key Inputs_BY Techs'!$E79,'OMNIA - Key Inputs_EB'!$C$268:$C$311,'Key Inputs_BY Techs'!$C79)*AC27</f>
        <v>6.6313652331890224E-2</v>
      </c>
      <c r="AD79" s="48">
        <f>SUMIFS('OMNIA - Key Inputs_EB'!AC$268:AC$311,'OMNIA - Key Inputs_EB'!$E$268:$E$311,'Key Inputs_BY Techs'!$E79,'OMNIA - Key Inputs_EB'!$C$268:$C$311,'Key Inputs_BY Techs'!$C79)*AD27</f>
        <v>0.45412510210003354</v>
      </c>
      <c r="AE79" s="48">
        <f>SUMIFS('OMNIA - Key Inputs_EB'!AD$268:AD$311,'OMNIA - Key Inputs_EB'!$E$268:$E$311,'Key Inputs_BY Techs'!$E79,'OMNIA - Key Inputs_EB'!$C$268:$C$311,'Key Inputs_BY Techs'!$C79)*AE27</f>
        <v>2.9459876440786598E-2</v>
      </c>
      <c r="AF79" s="48">
        <f>SUMIFS('OMNIA - Key Inputs_EB'!AE$268:AE$311,'OMNIA - Key Inputs_EB'!$E$268:$E$311,'Key Inputs_BY Techs'!$E79,'OMNIA - Key Inputs_EB'!$C$268:$C$311,'Key Inputs_BY Techs'!$C79)*AF27</f>
        <v>0</v>
      </c>
      <c r="AG79" s="48">
        <f>SUMIFS('OMNIA - Key Inputs_EB'!AF$268:AF$311,'OMNIA - Key Inputs_EB'!$E$268:$E$311,'Key Inputs_BY Techs'!$E79,'OMNIA - Key Inputs_EB'!$C$268:$C$311,'Key Inputs_BY Techs'!$C79)*AG27</f>
        <v>0.13856429250920055</v>
      </c>
      <c r="AH79" s="48">
        <f>SUMIFS('OMNIA - Key Inputs_EB'!AG$268:AG$311,'OMNIA - Key Inputs_EB'!$E$268:$E$311,'Key Inputs_BY Techs'!$E79,'OMNIA - Key Inputs_EB'!$C$268:$C$311,'Key Inputs_BY Techs'!$C79)*AH27</f>
        <v>0.14720274930758437</v>
      </c>
      <c r="AI79" s="48">
        <f>SUMIFS('OMNIA - Key Inputs_EB'!AH$268:AH$311,'OMNIA - Key Inputs_EB'!$E$268:$E$311,'Key Inputs_BY Techs'!$E79,'OMNIA - Key Inputs_EB'!$C$268:$C$311,'Key Inputs_BY Techs'!$C79)*AI27</f>
        <v>18.015390804466655</v>
      </c>
      <c r="AJ79" s="48">
        <f>SUMIFS('OMNIA - Key Inputs_EB'!AI$268:AI$311,'OMNIA - Key Inputs_EB'!$E$268:$E$311,'Key Inputs_BY Techs'!$E79,'OMNIA - Key Inputs_EB'!$C$268:$C$311,'Key Inputs_BY Techs'!$C79)*AJ27</f>
        <v>95.463599111918825</v>
      </c>
      <c r="AM79" s="405"/>
      <c r="AN79" s="385"/>
    </row>
    <row r="80" spans="1:74" s="341" customFormat="1" x14ac:dyDescent="0.2">
      <c r="A80" s="341" t="s">
        <v>74</v>
      </c>
      <c r="B80" s="46" t="s">
        <v>124</v>
      </c>
      <c r="C80" s="46" t="s">
        <v>470</v>
      </c>
      <c r="D80" s="46" t="s">
        <v>476</v>
      </c>
      <c r="E80" s="46" t="s">
        <v>482</v>
      </c>
      <c r="F80" s="46" t="s">
        <v>12</v>
      </c>
      <c r="G80" s="46"/>
      <c r="H80" s="46"/>
      <c r="I80" s="46">
        <f>SUMIFS('OMNIA - Key Inputs_EB'!H$268:H$311,'OMNIA - Key Inputs_EB'!$E$268:$E$311,'Key Inputs_BY Techs'!$E80,'OMNIA - Key Inputs_EB'!$C$268:$C$311,'Key Inputs_BY Techs'!$C80)*I28</f>
        <v>0</v>
      </c>
      <c r="J80" s="46">
        <f>SUMIFS('OMNIA - Key Inputs_EB'!I$268:I$311,'OMNIA - Key Inputs_EB'!$E$268:$E$311,'Key Inputs_BY Techs'!$E80,'OMNIA - Key Inputs_EB'!$C$268:$C$311,'Key Inputs_BY Techs'!$C80)*J28</f>
        <v>0</v>
      </c>
      <c r="K80" s="46">
        <f>SUMIFS('OMNIA - Key Inputs_EB'!J$268:J$311,'OMNIA - Key Inputs_EB'!$E$268:$E$311,'Key Inputs_BY Techs'!$E80,'OMNIA - Key Inputs_EB'!$C$268:$C$311,'Key Inputs_BY Techs'!$C80)*K28</f>
        <v>0</v>
      </c>
      <c r="L80" s="46">
        <f>SUMIFS('OMNIA - Key Inputs_EB'!K$268:K$311,'OMNIA - Key Inputs_EB'!$E$268:$E$311,'Key Inputs_BY Techs'!$E80,'OMNIA - Key Inputs_EB'!$C$268:$C$311,'Key Inputs_BY Techs'!$C80)*L28</f>
        <v>0</v>
      </c>
      <c r="M80" s="46">
        <f>SUMIFS('OMNIA - Key Inputs_EB'!L$268:L$311,'OMNIA - Key Inputs_EB'!$E$268:$E$311,'Key Inputs_BY Techs'!$E80,'OMNIA - Key Inputs_EB'!$C$268:$C$311,'Key Inputs_BY Techs'!$C80)*M28</f>
        <v>0</v>
      </c>
      <c r="N80" s="46">
        <f>SUMIFS('OMNIA - Key Inputs_EB'!M$268:M$311,'OMNIA - Key Inputs_EB'!$E$268:$E$311,'Key Inputs_BY Techs'!$E80,'OMNIA - Key Inputs_EB'!$C$268:$C$311,'Key Inputs_BY Techs'!$C80)*N28</f>
        <v>0</v>
      </c>
      <c r="O80" s="46">
        <f>SUMIFS('OMNIA - Key Inputs_EB'!N$268:N$311,'OMNIA - Key Inputs_EB'!$E$268:$E$311,'Key Inputs_BY Techs'!$E80,'OMNIA - Key Inputs_EB'!$C$268:$C$311,'Key Inputs_BY Techs'!$C80)*O28</f>
        <v>0</v>
      </c>
      <c r="P80" s="46">
        <f>SUMIFS('OMNIA - Key Inputs_EB'!O$268:O$311,'OMNIA - Key Inputs_EB'!$E$268:$E$311,'Key Inputs_BY Techs'!$E80,'OMNIA - Key Inputs_EB'!$C$268:$C$311,'Key Inputs_BY Techs'!$C80)*P28</f>
        <v>0</v>
      </c>
      <c r="Q80" s="46">
        <f>SUMIFS('OMNIA - Key Inputs_EB'!P$268:P$311,'OMNIA - Key Inputs_EB'!$E$268:$E$311,'Key Inputs_BY Techs'!$E80,'OMNIA - Key Inputs_EB'!$C$268:$C$311,'Key Inputs_BY Techs'!$C80)*Q28</f>
        <v>0</v>
      </c>
      <c r="R80" s="46">
        <f>SUMIFS('OMNIA - Key Inputs_EB'!Q$268:Q$311,'OMNIA - Key Inputs_EB'!$E$268:$E$311,'Key Inputs_BY Techs'!$E80,'OMNIA - Key Inputs_EB'!$C$268:$C$311,'Key Inputs_BY Techs'!$C80)*R28</f>
        <v>0</v>
      </c>
      <c r="S80" s="46">
        <f>SUMIFS('OMNIA - Key Inputs_EB'!R$268:R$311,'OMNIA - Key Inputs_EB'!$E$268:$E$311,'Key Inputs_BY Techs'!$E80,'OMNIA - Key Inputs_EB'!$C$268:$C$311,'Key Inputs_BY Techs'!$C80)*S28</f>
        <v>0</v>
      </c>
      <c r="T80" s="46">
        <f>SUMIFS('OMNIA - Key Inputs_EB'!S$268:S$311,'OMNIA - Key Inputs_EB'!$E$268:$E$311,'Key Inputs_BY Techs'!$E80,'OMNIA - Key Inputs_EB'!$C$268:$C$311,'Key Inputs_BY Techs'!$C80)*T28</f>
        <v>0</v>
      </c>
      <c r="U80" s="46">
        <f>SUMIFS('OMNIA - Key Inputs_EB'!T$268:T$311,'OMNIA - Key Inputs_EB'!$E$268:$E$311,'Key Inputs_BY Techs'!$E80,'OMNIA - Key Inputs_EB'!$C$268:$C$311,'Key Inputs_BY Techs'!$C80)*U28</f>
        <v>0</v>
      </c>
      <c r="V80" s="46">
        <f>SUMIFS('OMNIA - Key Inputs_EB'!U$268:U$311,'OMNIA - Key Inputs_EB'!$E$268:$E$311,'Key Inputs_BY Techs'!$E80,'OMNIA - Key Inputs_EB'!$C$268:$C$311,'Key Inputs_BY Techs'!$C80)*V28</f>
        <v>0</v>
      </c>
      <c r="W80" s="46">
        <f>SUMIFS('OMNIA - Key Inputs_EB'!V$268:V$311,'OMNIA - Key Inputs_EB'!$E$268:$E$311,'Key Inputs_BY Techs'!$E80,'OMNIA - Key Inputs_EB'!$C$268:$C$311,'Key Inputs_BY Techs'!$C80)*W28</f>
        <v>0</v>
      </c>
      <c r="X80" s="46">
        <f>SUMIFS('OMNIA - Key Inputs_EB'!W$268:W$311,'OMNIA - Key Inputs_EB'!$E$268:$E$311,'Key Inputs_BY Techs'!$E80,'OMNIA - Key Inputs_EB'!$C$268:$C$311,'Key Inputs_BY Techs'!$C80)*X28</f>
        <v>0</v>
      </c>
      <c r="Y80" s="46">
        <f>SUMIFS('OMNIA - Key Inputs_EB'!X$268:X$311,'OMNIA - Key Inputs_EB'!$E$268:$E$311,'Key Inputs_BY Techs'!$E80,'OMNIA - Key Inputs_EB'!$C$268:$C$311,'Key Inputs_BY Techs'!$C80)*Y28</f>
        <v>0</v>
      </c>
      <c r="Z80" s="46">
        <f>SUMIFS('OMNIA - Key Inputs_EB'!Y$268:Y$311,'OMNIA - Key Inputs_EB'!$E$268:$E$311,'Key Inputs_BY Techs'!$E80,'OMNIA - Key Inputs_EB'!$C$268:$C$311,'Key Inputs_BY Techs'!$C80)*Z28</f>
        <v>0</v>
      </c>
      <c r="AA80" s="46">
        <f>SUMIFS('OMNIA - Key Inputs_EB'!Z$268:Z$311,'OMNIA - Key Inputs_EB'!$E$268:$E$311,'Key Inputs_BY Techs'!$E80,'OMNIA - Key Inputs_EB'!$C$268:$C$311,'Key Inputs_BY Techs'!$C80)*AA28</f>
        <v>0</v>
      </c>
      <c r="AB80" s="46">
        <f>SUMIFS('OMNIA - Key Inputs_EB'!AA$268:AA$311,'OMNIA - Key Inputs_EB'!$E$268:$E$311,'Key Inputs_BY Techs'!$E80,'OMNIA - Key Inputs_EB'!$C$268:$C$311,'Key Inputs_BY Techs'!$C80)*AB28</f>
        <v>0</v>
      </c>
      <c r="AC80" s="46">
        <f>SUMIFS('OMNIA - Key Inputs_EB'!AB$268:AB$311,'OMNIA - Key Inputs_EB'!$E$268:$E$311,'Key Inputs_BY Techs'!$E80,'OMNIA - Key Inputs_EB'!$C$268:$C$311,'Key Inputs_BY Techs'!$C80)*AC28</f>
        <v>0</v>
      </c>
      <c r="AD80" s="46">
        <f>SUMIFS('OMNIA - Key Inputs_EB'!AC$268:AC$311,'OMNIA - Key Inputs_EB'!$E$268:$E$311,'Key Inputs_BY Techs'!$E80,'OMNIA - Key Inputs_EB'!$C$268:$C$311,'Key Inputs_BY Techs'!$C80)*AD28</f>
        <v>0</v>
      </c>
      <c r="AE80" s="46">
        <f>SUMIFS('OMNIA - Key Inputs_EB'!AD$268:AD$311,'OMNIA - Key Inputs_EB'!$E$268:$E$311,'Key Inputs_BY Techs'!$E80,'OMNIA - Key Inputs_EB'!$C$268:$C$311,'Key Inputs_BY Techs'!$C80)*AE28</f>
        <v>0</v>
      </c>
      <c r="AF80" s="46">
        <f>SUMIFS('OMNIA - Key Inputs_EB'!AE$268:AE$311,'OMNIA - Key Inputs_EB'!$E$268:$E$311,'Key Inputs_BY Techs'!$E80,'OMNIA - Key Inputs_EB'!$C$268:$C$311,'Key Inputs_BY Techs'!$C80)*AF28</f>
        <v>0</v>
      </c>
      <c r="AG80" s="46">
        <f>SUMIFS('OMNIA - Key Inputs_EB'!AF$268:AF$311,'OMNIA - Key Inputs_EB'!$E$268:$E$311,'Key Inputs_BY Techs'!$E80,'OMNIA - Key Inputs_EB'!$C$268:$C$311,'Key Inputs_BY Techs'!$C80)*AG28</f>
        <v>0</v>
      </c>
      <c r="AH80" s="46">
        <f>SUMIFS('OMNIA - Key Inputs_EB'!AG$268:AG$311,'OMNIA - Key Inputs_EB'!$E$268:$E$311,'Key Inputs_BY Techs'!$E80,'OMNIA - Key Inputs_EB'!$C$268:$C$311,'Key Inputs_BY Techs'!$C80)*AH28</f>
        <v>0</v>
      </c>
      <c r="AI80" s="46">
        <f>SUMIFS('OMNIA - Key Inputs_EB'!AH$268:AH$311,'OMNIA - Key Inputs_EB'!$E$268:$E$311,'Key Inputs_BY Techs'!$E80,'OMNIA - Key Inputs_EB'!$C$268:$C$311,'Key Inputs_BY Techs'!$C80)*AI28</f>
        <v>0</v>
      </c>
      <c r="AJ80" s="46">
        <f>SUMIFS('OMNIA - Key Inputs_EB'!AI$268:AI$311,'OMNIA - Key Inputs_EB'!$E$268:$E$311,'Key Inputs_BY Techs'!$E80,'OMNIA - Key Inputs_EB'!$C$268:$C$311,'Key Inputs_BY Techs'!$C80)*AJ28</f>
        <v>0</v>
      </c>
      <c r="AM80" s="405"/>
      <c r="AN80" s="385"/>
    </row>
    <row r="81" spans="1:45" s="341" customFormat="1" x14ac:dyDescent="0.2">
      <c r="A81" s="341" t="s">
        <v>74</v>
      </c>
      <c r="B81" s="48" t="s">
        <v>124</v>
      </c>
      <c r="C81" s="48" t="s">
        <v>470</v>
      </c>
      <c r="D81" s="48" t="s">
        <v>19</v>
      </c>
      <c r="E81" s="48" t="s">
        <v>105</v>
      </c>
      <c r="F81" s="48" t="s">
        <v>12</v>
      </c>
      <c r="G81" s="48"/>
      <c r="H81" s="48"/>
      <c r="I81" s="48">
        <f>SUMIFS('OMNIA - Key Inputs_EB'!H$268:H$311,'OMNIA - Key Inputs_EB'!$E$268:$E$311,'Key Inputs_BY Techs'!$E81,'OMNIA - Key Inputs_EB'!$C$268:$C$311,'Key Inputs_BY Techs'!$C81)*I29</f>
        <v>1.4243625399935056</v>
      </c>
      <c r="J81" s="48">
        <f>SUMIFS('OMNIA - Key Inputs_EB'!I$268:I$311,'OMNIA - Key Inputs_EB'!$E$268:$E$311,'Key Inputs_BY Techs'!$E81,'OMNIA - Key Inputs_EB'!$C$268:$C$311,'Key Inputs_BY Techs'!$C81)*J29</f>
        <v>6.7225520846968472</v>
      </c>
      <c r="K81" s="48">
        <f>SUMIFS('OMNIA - Key Inputs_EB'!J$268:J$311,'OMNIA - Key Inputs_EB'!$E$268:$E$311,'Key Inputs_BY Techs'!$E81,'OMNIA - Key Inputs_EB'!$C$268:$C$311,'Key Inputs_BY Techs'!$C81)*K29</f>
        <v>1.345704171652037</v>
      </c>
      <c r="L81" s="48">
        <f>SUMIFS('OMNIA - Key Inputs_EB'!K$268:K$311,'OMNIA - Key Inputs_EB'!$E$268:$E$311,'Key Inputs_BY Techs'!$E81,'OMNIA - Key Inputs_EB'!$C$268:$C$311,'Key Inputs_BY Techs'!$C81)*L29</f>
        <v>3.5237503429827002</v>
      </c>
      <c r="M81" s="48">
        <f>SUMIFS('OMNIA - Key Inputs_EB'!L$268:L$311,'OMNIA - Key Inputs_EB'!$E$268:$E$311,'Key Inputs_BY Techs'!$E81,'OMNIA - Key Inputs_EB'!$C$268:$C$311,'Key Inputs_BY Techs'!$C81)*M29</f>
        <v>37.287681082023276</v>
      </c>
      <c r="N81" s="48">
        <f>SUMIFS('OMNIA - Key Inputs_EB'!M$268:M$311,'OMNIA - Key Inputs_EB'!$E$268:$E$311,'Key Inputs_BY Techs'!$E81,'OMNIA - Key Inputs_EB'!$C$268:$C$311,'Key Inputs_BY Techs'!$C81)*N29</f>
        <v>10.191964681579938</v>
      </c>
      <c r="O81" s="48">
        <f>SUMIFS('OMNIA - Key Inputs_EB'!N$268:N$311,'OMNIA - Key Inputs_EB'!$E$268:$E$311,'Key Inputs_BY Techs'!$E81,'OMNIA - Key Inputs_EB'!$C$268:$C$311,'Key Inputs_BY Techs'!$C81)*O29</f>
        <v>18.425827613640042</v>
      </c>
      <c r="P81" s="48">
        <f>SUMIFS('OMNIA - Key Inputs_EB'!O$268:O$311,'OMNIA - Key Inputs_EB'!$E$268:$E$311,'Key Inputs_BY Techs'!$E81,'OMNIA - Key Inputs_EB'!$C$268:$C$311,'Key Inputs_BY Techs'!$C81)*P29</f>
        <v>16.802946646760173</v>
      </c>
      <c r="Q81" s="48">
        <f>SUMIFS('OMNIA - Key Inputs_EB'!P$268:P$311,'OMNIA - Key Inputs_EB'!$E$268:$E$311,'Key Inputs_BY Techs'!$E81,'OMNIA - Key Inputs_EB'!$C$268:$C$311,'Key Inputs_BY Techs'!$C81)*Q29</f>
        <v>211.97984409660856</v>
      </c>
      <c r="R81" s="48">
        <f>SUMIFS('OMNIA - Key Inputs_EB'!Q$268:Q$311,'OMNIA - Key Inputs_EB'!$E$268:$E$311,'Key Inputs_BY Techs'!$E81,'OMNIA - Key Inputs_EB'!$C$268:$C$311,'Key Inputs_BY Techs'!$C81)*R29</f>
        <v>18.561033242292911</v>
      </c>
      <c r="S81" s="48">
        <f>SUMIFS('OMNIA - Key Inputs_EB'!R$268:R$311,'OMNIA - Key Inputs_EB'!$E$268:$E$311,'Key Inputs_BY Techs'!$E81,'OMNIA - Key Inputs_EB'!$C$268:$C$311,'Key Inputs_BY Techs'!$C81)*S29</f>
        <v>0.58223369746567477</v>
      </c>
      <c r="T81" s="48">
        <f>SUMIFS('OMNIA - Key Inputs_EB'!S$268:S$311,'OMNIA - Key Inputs_EB'!$E$268:$E$311,'Key Inputs_BY Techs'!$E81,'OMNIA - Key Inputs_EB'!$C$268:$C$311,'Key Inputs_BY Techs'!$C81)*T29</f>
        <v>875.80093895254151</v>
      </c>
      <c r="U81" s="48">
        <f>SUMIFS('OMNIA - Key Inputs_EB'!T$268:T$311,'OMNIA - Key Inputs_EB'!$E$268:$E$311,'Key Inputs_BY Techs'!$E81,'OMNIA - Key Inputs_EB'!$C$268:$C$311,'Key Inputs_BY Techs'!$C81)*U29</f>
        <v>4.8502169864261928</v>
      </c>
      <c r="V81" s="48">
        <f>SUMIFS('OMNIA - Key Inputs_EB'!U$268:U$311,'OMNIA - Key Inputs_EB'!$E$268:$E$311,'Key Inputs_BY Techs'!$E81,'OMNIA - Key Inputs_EB'!$C$268:$C$311,'Key Inputs_BY Techs'!$C81)*V29</f>
        <v>1.0992097873088148E-2</v>
      </c>
      <c r="W81" s="48">
        <f>SUMIFS('OMNIA - Key Inputs_EB'!V$268:V$311,'OMNIA - Key Inputs_EB'!$E$268:$E$311,'Key Inputs_BY Techs'!$E81,'OMNIA - Key Inputs_EB'!$C$268:$C$311,'Key Inputs_BY Techs'!$C81)*W29</f>
        <v>8.0192678492277221</v>
      </c>
      <c r="X81" s="48">
        <f>SUMIFS('OMNIA - Key Inputs_EB'!W$268:W$311,'OMNIA - Key Inputs_EB'!$E$268:$E$311,'Key Inputs_BY Techs'!$E81,'OMNIA - Key Inputs_EB'!$C$268:$C$311,'Key Inputs_BY Techs'!$C81)*X29</f>
        <v>48.885317602951574</v>
      </c>
      <c r="Y81" s="48">
        <f>SUMIFS('OMNIA - Key Inputs_EB'!X$268:X$311,'OMNIA - Key Inputs_EB'!$E$268:$E$311,'Key Inputs_BY Techs'!$E81,'OMNIA - Key Inputs_EB'!$C$268:$C$311,'Key Inputs_BY Techs'!$C81)*Y29</f>
        <v>3.4161267297985161</v>
      </c>
      <c r="Z81" s="48">
        <f>SUMIFS('OMNIA - Key Inputs_EB'!Y$268:Y$311,'OMNIA - Key Inputs_EB'!$E$268:$E$311,'Key Inputs_BY Techs'!$E81,'OMNIA - Key Inputs_EB'!$C$268:$C$311,'Key Inputs_BY Techs'!$C81)*Z29</f>
        <v>34.689563741786877</v>
      </c>
      <c r="AA81" s="48">
        <f>SUMIFS('OMNIA - Key Inputs_EB'!Z$268:Z$311,'OMNIA - Key Inputs_EB'!$E$268:$E$311,'Key Inputs_BY Techs'!$E81,'OMNIA - Key Inputs_EB'!$C$268:$C$311,'Key Inputs_BY Techs'!$C81)*AA29</f>
        <v>53.299390782030088</v>
      </c>
      <c r="AB81" s="48">
        <f>SUMIFS('OMNIA - Key Inputs_EB'!AA$268:AA$311,'OMNIA - Key Inputs_EB'!$E$268:$E$311,'Key Inputs_BY Techs'!$E81,'OMNIA - Key Inputs_EB'!$C$268:$C$311,'Key Inputs_BY Techs'!$C81)*AB29</f>
        <v>62.206982069943003</v>
      </c>
      <c r="AC81" s="48">
        <f>SUMIFS('OMNIA - Key Inputs_EB'!AB$268:AB$311,'OMNIA - Key Inputs_EB'!$E$268:$E$311,'Key Inputs_BY Techs'!$E81,'OMNIA - Key Inputs_EB'!$C$268:$C$311,'Key Inputs_BY Techs'!$C81)*AC29</f>
        <v>210.67198269873342</v>
      </c>
      <c r="AD81" s="48">
        <f>SUMIFS('OMNIA - Key Inputs_EB'!AC$268:AC$311,'OMNIA - Key Inputs_EB'!$E$268:$E$311,'Key Inputs_BY Techs'!$E81,'OMNIA - Key Inputs_EB'!$C$268:$C$311,'Key Inputs_BY Techs'!$C81)*AD29</f>
        <v>0</v>
      </c>
      <c r="AE81" s="48">
        <f>SUMIFS('OMNIA - Key Inputs_EB'!AD$268:AD$311,'OMNIA - Key Inputs_EB'!$E$268:$E$311,'Key Inputs_BY Techs'!$E81,'OMNIA - Key Inputs_EB'!$C$268:$C$311,'Key Inputs_BY Techs'!$C81)*AE29</f>
        <v>0</v>
      </c>
      <c r="AF81" s="48">
        <f>SUMIFS('OMNIA - Key Inputs_EB'!AE$268:AE$311,'OMNIA - Key Inputs_EB'!$E$268:$E$311,'Key Inputs_BY Techs'!$E81,'OMNIA - Key Inputs_EB'!$C$268:$C$311,'Key Inputs_BY Techs'!$C81)*AF29</f>
        <v>63.961530756509802</v>
      </c>
      <c r="AG81" s="48">
        <f>SUMIFS('OMNIA - Key Inputs_EB'!AF$268:AF$311,'OMNIA - Key Inputs_EB'!$E$268:$E$311,'Key Inputs_BY Techs'!$E81,'OMNIA - Key Inputs_EB'!$C$268:$C$311,'Key Inputs_BY Techs'!$C81)*AG29</f>
        <v>0.94067730175520314</v>
      </c>
      <c r="AH81" s="48">
        <f>SUMIFS('OMNIA - Key Inputs_EB'!AG$268:AG$311,'OMNIA - Key Inputs_EB'!$E$268:$E$311,'Key Inputs_BY Techs'!$E81,'OMNIA - Key Inputs_EB'!$C$268:$C$311,'Key Inputs_BY Techs'!$C81)*AH29</f>
        <v>17.618823720333857</v>
      </c>
      <c r="AI81" s="48">
        <f>SUMIFS('OMNIA - Key Inputs_EB'!AH$268:AH$311,'OMNIA - Key Inputs_EB'!$E$268:$E$311,'Key Inputs_BY Techs'!$E81,'OMNIA - Key Inputs_EB'!$C$268:$C$311,'Key Inputs_BY Techs'!$C81)*AI29</f>
        <v>34.404155722653748</v>
      </c>
      <c r="AJ81" s="48">
        <f>SUMIFS('OMNIA - Key Inputs_EB'!AI$268:AI$311,'OMNIA - Key Inputs_EB'!$E$268:$E$311,'Key Inputs_BY Techs'!$E81,'OMNIA - Key Inputs_EB'!$C$268:$C$311,'Key Inputs_BY Techs'!$C81)*AJ29</f>
        <v>610.4701642798492</v>
      </c>
      <c r="AM81" s="405"/>
      <c r="AN81" s="385"/>
    </row>
    <row r="82" spans="1:45" s="341" customFormat="1" x14ac:dyDescent="0.2">
      <c r="A82" s="341" t="s">
        <v>74</v>
      </c>
      <c r="B82" s="46" t="s">
        <v>124</v>
      </c>
      <c r="C82" s="51" t="s">
        <v>471</v>
      </c>
      <c r="D82" s="46" t="s">
        <v>476</v>
      </c>
      <c r="E82" s="46" t="s">
        <v>482</v>
      </c>
      <c r="F82" s="46" t="s">
        <v>12</v>
      </c>
      <c r="G82" s="46"/>
      <c r="H82" s="46"/>
      <c r="I82" s="46">
        <f>SUMIFS('OMNIA - Key Inputs_EB'!H$268:H$311,'OMNIA - Key Inputs_EB'!$E$268:$E$311,'Key Inputs_BY Techs'!$E82,'OMNIA - Key Inputs_EB'!$C$268:$C$311,'Key Inputs_BY Techs'!$C82)*I30</f>
        <v>0</v>
      </c>
      <c r="J82" s="46">
        <f>SUMIFS('OMNIA - Key Inputs_EB'!I$268:I$311,'OMNIA - Key Inputs_EB'!$E$268:$E$311,'Key Inputs_BY Techs'!$E82,'OMNIA - Key Inputs_EB'!$C$268:$C$311,'Key Inputs_BY Techs'!$C82)*J30</f>
        <v>0</v>
      </c>
      <c r="K82" s="46">
        <f>SUMIFS('OMNIA - Key Inputs_EB'!J$268:J$311,'OMNIA - Key Inputs_EB'!$E$268:$E$311,'Key Inputs_BY Techs'!$E82,'OMNIA - Key Inputs_EB'!$C$268:$C$311,'Key Inputs_BY Techs'!$C82)*K30</f>
        <v>0</v>
      </c>
      <c r="L82" s="46">
        <f>SUMIFS('OMNIA - Key Inputs_EB'!K$268:K$311,'OMNIA - Key Inputs_EB'!$E$268:$E$311,'Key Inputs_BY Techs'!$E82,'OMNIA - Key Inputs_EB'!$C$268:$C$311,'Key Inputs_BY Techs'!$C82)*L30</f>
        <v>0</v>
      </c>
      <c r="M82" s="46">
        <f>SUMIFS('OMNIA - Key Inputs_EB'!L$268:L$311,'OMNIA - Key Inputs_EB'!$E$268:$E$311,'Key Inputs_BY Techs'!$E82,'OMNIA - Key Inputs_EB'!$C$268:$C$311,'Key Inputs_BY Techs'!$C82)*M30</f>
        <v>0</v>
      </c>
      <c r="N82" s="46">
        <f>SUMIFS('OMNIA - Key Inputs_EB'!M$268:M$311,'OMNIA - Key Inputs_EB'!$E$268:$E$311,'Key Inputs_BY Techs'!$E82,'OMNIA - Key Inputs_EB'!$C$268:$C$311,'Key Inputs_BY Techs'!$C82)*N30</f>
        <v>0</v>
      </c>
      <c r="O82" s="46">
        <f>SUMIFS('OMNIA - Key Inputs_EB'!N$268:N$311,'OMNIA - Key Inputs_EB'!$E$268:$E$311,'Key Inputs_BY Techs'!$E82,'OMNIA - Key Inputs_EB'!$C$268:$C$311,'Key Inputs_BY Techs'!$C82)*O30</f>
        <v>0</v>
      </c>
      <c r="P82" s="46">
        <f>SUMIFS('OMNIA - Key Inputs_EB'!O$268:O$311,'OMNIA - Key Inputs_EB'!$E$268:$E$311,'Key Inputs_BY Techs'!$E82,'OMNIA - Key Inputs_EB'!$C$268:$C$311,'Key Inputs_BY Techs'!$C82)*P30</f>
        <v>0</v>
      </c>
      <c r="Q82" s="46">
        <f>SUMIFS('OMNIA - Key Inputs_EB'!P$268:P$311,'OMNIA - Key Inputs_EB'!$E$268:$E$311,'Key Inputs_BY Techs'!$E82,'OMNIA - Key Inputs_EB'!$C$268:$C$311,'Key Inputs_BY Techs'!$C82)*Q30</f>
        <v>0</v>
      </c>
      <c r="R82" s="46">
        <f>SUMIFS('OMNIA - Key Inputs_EB'!Q$268:Q$311,'OMNIA - Key Inputs_EB'!$E$268:$E$311,'Key Inputs_BY Techs'!$E82,'OMNIA - Key Inputs_EB'!$C$268:$C$311,'Key Inputs_BY Techs'!$C82)*R30</f>
        <v>0</v>
      </c>
      <c r="S82" s="46">
        <f>SUMIFS('OMNIA - Key Inputs_EB'!R$268:R$311,'OMNIA - Key Inputs_EB'!$E$268:$E$311,'Key Inputs_BY Techs'!$E82,'OMNIA - Key Inputs_EB'!$C$268:$C$311,'Key Inputs_BY Techs'!$C82)*S30</f>
        <v>0</v>
      </c>
      <c r="T82" s="46">
        <f>SUMIFS('OMNIA - Key Inputs_EB'!S$268:S$311,'OMNIA - Key Inputs_EB'!$E$268:$E$311,'Key Inputs_BY Techs'!$E82,'OMNIA - Key Inputs_EB'!$C$268:$C$311,'Key Inputs_BY Techs'!$C82)*T30</f>
        <v>0</v>
      </c>
      <c r="U82" s="46">
        <f>SUMIFS('OMNIA - Key Inputs_EB'!T$268:T$311,'OMNIA - Key Inputs_EB'!$E$268:$E$311,'Key Inputs_BY Techs'!$E82,'OMNIA - Key Inputs_EB'!$C$268:$C$311,'Key Inputs_BY Techs'!$C82)*U30</f>
        <v>0</v>
      </c>
      <c r="V82" s="46">
        <f>SUMIFS('OMNIA - Key Inputs_EB'!U$268:U$311,'OMNIA - Key Inputs_EB'!$E$268:$E$311,'Key Inputs_BY Techs'!$E82,'OMNIA - Key Inputs_EB'!$C$268:$C$311,'Key Inputs_BY Techs'!$C82)*V30</f>
        <v>0</v>
      </c>
      <c r="W82" s="46">
        <f>SUMIFS('OMNIA - Key Inputs_EB'!V$268:V$311,'OMNIA - Key Inputs_EB'!$E$268:$E$311,'Key Inputs_BY Techs'!$E82,'OMNIA - Key Inputs_EB'!$C$268:$C$311,'Key Inputs_BY Techs'!$C82)*W30</f>
        <v>0</v>
      </c>
      <c r="X82" s="46">
        <f>SUMIFS('OMNIA - Key Inputs_EB'!W$268:W$311,'OMNIA - Key Inputs_EB'!$E$268:$E$311,'Key Inputs_BY Techs'!$E82,'OMNIA - Key Inputs_EB'!$C$268:$C$311,'Key Inputs_BY Techs'!$C82)*X30</f>
        <v>0</v>
      </c>
      <c r="Y82" s="46">
        <f>SUMIFS('OMNIA - Key Inputs_EB'!X$268:X$311,'OMNIA - Key Inputs_EB'!$E$268:$E$311,'Key Inputs_BY Techs'!$E82,'OMNIA - Key Inputs_EB'!$C$268:$C$311,'Key Inputs_BY Techs'!$C82)*Y30</f>
        <v>0</v>
      </c>
      <c r="Z82" s="46">
        <f>SUMIFS('OMNIA - Key Inputs_EB'!Y$268:Y$311,'OMNIA - Key Inputs_EB'!$E$268:$E$311,'Key Inputs_BY Techs'!$E82,'OMNIA - Key Inputs_EB'!$C$268:$C$311,'Key Inputs_BY Techs'!$C82)*Z30</f>
        <v>0</v>
      </c>
      <c r="AA82" s="46">
        <f>SUMIFS('OMNIA - Key Inputs_EB'!Z$268:Z$311,'OMNIA - Key Inputs_EB'!$E$268:$E$311,'Key Inputs_BY Techs'!$E82,'OMNIA - Key Inputs_EB'!$C$268:$C$311,'Key Inputs_BY Techs'!$C82)*AA30</f>
        <v>0</v>
      </c>
      <c r="AB82" s="46">
        <f>SUMIFS('OMNIA - Key Inputs_EB'!AA$268:AA$311,'OMNIA - Key Inputs_EB'!$E$268:$E$311,'Key Inputs_BY Techs'!$E82,'OMNIA - Key Inputs_EB'!$C$268:$C$311,'Key Inputs_BY Techs'!$C82)*AB30</f>
        <v>0</v>
      </c>
      <c r="AC82" s="46">
        <f>SUMIFS('OMNIA - Key Inputs_EB'!AB$268:AB$311,'OMNIA - Key Inputs_EB'!$E$268:$E$311,'Key Inputs_BY Techs'!$E82,'OMNIA - Key Inputs_EB'!$C$268:$C$311,'Key Inputs_BY Techs'!$C82)*AC30</f>
        <v>0</v>
      </c>
      <c r="AD82" s="46">
        <f>SUMIFS('OMNIA - Key Inputs_EB'!AC$268:AC$311,'OMNIA - Key Inputs_EB'!$E$268:$E$311,'Key Inputs_BY Techs'!$E82,'OMNIA - Key Inputs_EB'!$C$268:$C$311,'Key Inputs_BY Techs'!$C82)*AD30</f>
        <v>0</v>
      </c>
      <c r="AE82" s="46">
        <f>SUMIFS('OMNIA - Key Inputs_EB'!AD$268:AD$311,'OMNIA - Key Inputs_EB'!$E$268:$E$311,'Key Inputs_BY Techs'!$E82,'OMNIA - Key Inputs_EB'!$C$268:$C$311,'Key Inputs_BY Techs'!$C82)*AE30</f>
        <v>0</v>
      </c>
      <c r="AF82" s="46">
        <f>SUMIFS('OMNIA - Key Inputs_EB'!AE$268:AE$311,'OMNIA - Key Inputs_EB'!$E$268:$E$311,'Key Inputs_BY Techs'!$E82,'OMNIA - Key Inputs_EB'!$C$268:$C$311,'Key Inputs_BY Techs'!$C82)*AF30</f>
        <v>0</v>
      </c>
      <c r="AG82" s="46">
        <f>SUMIFS('OMNIA - Key Inputs_EB'!AF$268:AF$311,'OMNIA - Key Inputs_EB'!$E$268:$E$311,'Key Inputs_BY Techs'!$E82,'OMNIA - Key Inputs_EB'!$C$268:$C$311,'Key Inputs_BY Techs'!$C82)*AG30</f>
        <v>0</v>
      </c>
      <c r="AH82" s="46">
        <f>SUMIFS('OMNIA - Key Inputs_EB'!AG$268:AG$311,'OMNIA - Key Inputs_EB'!$E$268:$E$311,'Key Inputs_BY Techs'!$E82,'OMNIA - Key Inputs_EB'!$C$268:$C$311,'Key Inputs_BY Techs'!$C82)*AH30</f>
        <v>0</v>
      </c>
      <c r="AI82" s="46">
        <f>SUMIFS('OMNIA - Key Inputs_EB'!AH$268:AH$311,'OMNIA - Key Inputs_EB'!$E$268:$E$311,'Key Inputs_BY Techs'!$E82,'OMNIA - Key Inputs_EB'!$C$268:$C$311,'Key Inputs_BY Techs'!$C82)*AI30</f>
        <v>0</v>
      </c>
      <c r="AJ82" s="46">
        <f>SUMIFS('OMNIA - Key Inputs_EB'!AI$268:AI$311,'OMNIA - Key Inputs_EB'!$E$268:$E$311,'Key Inputs_BY Techs'!$E82,'OMNIA - Key Inputs_EB'!$C$268:$C$311,'Key Inputs_BY Techs'!$C82)*AJ30</f>
        <v>0</v>
      </c>
      <c r="AM82" s="405"/>
      <c r="AN82" s="385"/>
      <c r="AO82" s="385"/>
      <c r="AP82" s="385"/>
      <c r="AQ82" s="385"/>
      <c r="AR82" s="385"/>
    </row>
    <row r="83" spans="1:45" s="341" customFormat="1" x14ac:dyDescent="0.2">
      <c r="A83" s="341" t="s">
        <v>74</v>
      </c>
      <c r="B83" s="48" t="s">
        <v>124</v>
      </c>
      <c r="C83" s="48" t="s">
        <v>471</v>
      </c>
      <c r="D83" s="48" t="s">
        <v>19</v>
      </c>
      <c r="E83" s="48" t="s">
        <v>105</v>
      </c>
      <c r="F83" s="48" t="s">
        <v>12</v>
      </c>
      <c r="G83" s="48"/>
      <c r="H83" s="48"/>
      <c r="I83" s="48">
        <f>SUMIFS('OMNIA - Key Inputs_EB'!H$268:H$311,'OMNIA - Key Inputs_EB'!$E$268:$E$311,'Key Inputs_BY Techs'!$E83,'OMNIA - Key Inputs_EB'!$C$268:$C$311,'Key Inputs_BY Techs'!$C83)*I31</f>
        <v>7.0497916426620982E-2</v>
      </c>
      <c r="J83" s="48">
        <f>SUMIFS('OMNIA - Key Inputs_EB'!I$268:I$311,'OMNIA - Key Inputs_EB'!$E$268:$E$311,'Key Inputs_BY Techs'!$E83,'OMNIA - Key Inputs_EB'!$C$268:$C$311,'Key Inputs_BY Techs'!$C83)*J31</f>
        <v>0.92907806102765167</v>
      </c>
      <c r="K83" s="48">
        <f>SUMIFS('OMNIA - Key Inputs_EB'!J$268:J$311,'OMNIA - Key Inputs_EB'!$E$268:$E$311,'Key Inputs_BY Techs'!$E83,'OMNIA - Key Inputs_EB'!$C$268:$C$311,'Key Inputs_BY Techs'!$C83)*K31</f>
        <v>0.12301609780080881</v>
      </c>
      <c r="L83" s="48">
        <f>SUMIFS('OMNIA - Key Inputs_EB'!K$268:K$311,'OMNIA - Key Inputs_EB'!$E$268:$E$311,'Key Inputs_BY Techs'!$E83,'OMNIA - Key Inputs_EB'!$C$268:$C$311,'Key Inputs_BY Techs'!$C83)*L31</f>
        <v>0.46383162567278585</v>
      </c>
      <c r="M83" s="48">
        <f>SUMIFS('OMNIA - Key Inputs_EB'!L$268:L$311,'OMNIA - Key Inputs_EB'!$E$268:$E$311,'Key Inputs_BY Techs'!$E83,'OMNIA - Key Inputs_EB'!$C$268:$C$311,'Key Inputs_BY Techs'!$C83)*M31</f>
        <v>14.709644561222902</v>
      </c>
      <c r="N83" s="48">
        <f>SUMIFS('OMNIA - Key Inputs_EB'!M$268:M$311,'OMNIA - Key Inputs_EB'!$E$268:$E$311,'Key Inputs_BY Techs'!$E83,'OMNIA - Key Inputs_EB'!$C$268:$C$311,'Key Inputs_BY Techs'!$C83)*N31</f>
        <v>0.88097184268756146</v>
      </c>
      <c r="O83" s="48">
        <f>SUMIFS('OMNIA - Key Inputs_EB'!N$268:N$311,'OMNIA - Key Inputs_EB'!$E$268:$E$311,'Key Inputs_BY Techs'!$E83,'OMNIA - Key Inputs_EB'!$C$268:$C$311,'Key Inputs_BY Techs'!$C83)*O31</f>
        <v>0.70569522241452842</v>
      </c>
      <c r="P83" s="48">
        <f>SUMIFS('OMNIA - Key Inputs_EB'!O$268:O$311,'OMNIA - Key Inputs_EB'!$E$268:$E$311,'Key Inputs_BY Techs'!$E83,'OMNIA - Key Inputs_EB'!$C$268:$C$311,'Key Inputs_BY Techs'!$C83)*P31</f>
        <v>0.80936874129619041</v>
      </c>
      <c r="Q83" s="48">
        <f>SUMIFS('OMNIA - Key Inputs_EB'!P$268:P$311,'OMNIA - Key Inputs_EB'!$E$268:$E$311,'Key Inputs_BY Techs'!$E83,'OMNIA - Key Inputs_EB'!$C$268:$C$311,'Key Inputs_BY Techs'!$C83)*Q31</f>
        <v>39.312249209210655</v>
      </c>
      <c r="R83" s="48">
        <f>SUMIFS('OMNIA - Key Inputs_EB'!Q$268:Q$311,'OMNIA - Key Inputs_EB'!$E$268:$E$311,'Key Inputs_BY Techs'!$E83,'OMNIA - Key Inputs_EB'!$C$268:$C$311,'Key Inputs_BY Techs'!$C83)*R31</f>
        <v>54.636541116858517</v>
      </c>
      <c r="S83" s="48">
        <f>SUMIFS('OMNIA - Key Inputs_EB'!R$268:R$311,'OMNIA - Key Inputs_EB'!$E$268:$E$311,'Key Inputs_BY Techs'!$E83,'OMNIA - Key Inputs_EB'!$C$268:$C$311,'Key Inputs_BY Techs'!$C83)*S31</f>
        <v>0.39651165609257816</v>
      </c>
      <c r="T83" s="48">
        <f>SUMIFS('OMNIA - Key Inputs_EB'!S$268:S$311,'OMNIA - Key Inputs_EB'!$E$268:$E$311,'Key Inputs_BY Techs'!$E83,'OMNIA - Key Inputs_EB'!$C$268:$C$311,'Key Inputs_BY Techs'!$C83)*T31</f>
        <v>297.3921826190662</v>
      </c>
      <c r="U83" s="48">
        <f>SUMIFS('OMNIA - Key Inputs_EB'!T$268:T$311,'OMNIA - Key Inputs_EB'!$E$268:$E$311,'Key Inputs_BY Techs'!$E83,'OMNIA - Key Inputs_EB'!$C$268:$C$311,'Key Inputs_BY Techs'!$C83)*U31</f>
        <v>2.616459038283951</v>
      </c>
      <c r="V83" s="48">
        <f>SUMIFS('OMNIA - Key Inputs_EB'!U$268:U$311,'OMNIA - Key Inputs_EB'!$E$268:$E$311,'Key Inputs_BY Techs'!$E83,'OMNIA - Key Inputs_EB'!$C$268:$C$311,'Key Inputs_BY Techs'!$C83)*V31</f>
        <v>2.6503029537815987E-2</v>
      </c>
      <c r="W83" s="48">
        <f>SUMIFS('OMNIA - Key Inputs_EB'!V$268:V$311,'OMNIA - Key Inputs_EB'!$E$268:$E$311,'Key Inputs_BY Techs'!$E83,'OMNIA - Key Inputs_EB'!$C$268:$C$311,'Key Inputs_BY Techs'!$C83)*W31</f>
        <v>2.6179904075944052</v>
      </c>
      <c r="X83" s="48">
        <f>SUMIFS('OMNIA - Key Inputs_EB'!W$268:W$311,'OMNIA - Key Inputs_EB'!$E$268:$E$311,'Key Inputs_BY Techs'!$E83,'OMNIA - Key Inputs_EB'!$C$268:$C$311,'Key Inputs_BY Techs'!$C83)*X31</f>
        <v>24.738524014368039</v>
      </c>
      <c r="Y83" s="48">
        <f>SUMIFS('OMNIA - Key Inputs_EB'!X$268:X$311,'OMNIA - Key Inputs_EB'!$E$268:$E$311,'Key Inputs_BY Techs'!$E83,'OMNIA - Key Inputs_EB'!$C$268:$C$311,'Key Inputs_BY Techs'!$C83)*Y31</f>
        <v>2.2855618827796693</v>
      </c>
      <c r="Z83" s="48">
        <f>SUMIFS('OMNIA - Key Inputs_EB'!Y$268:Y$311,'OMNIA - Key Inputs_EB'!$E$268:$E$311,'Key Inputs_BY Techs'!$E83,'OMNIA - Key Inputs_EB'!$C$268:$C$311,'Key Inputs_BY Techs'!$C83)*Z31</f>
        <v>1.7932919951847157</v>
      </c>
      <c r="AA83" s="48">
        <f>SUMIFS('OMNIA - Key Inputs_EB'!Z$268:Z$311,'OMNIA - Key Inputs_EB'!$E$268:$E$311,'Key Inputs_BY Techs'!$E83,'OMNIA - Key Inputs_EB'!$C$268:$C$311,'Key Inputs_BY Techs'!$C83)*AA31</f>
        <v>2.2156463908618838</v>
      </c>
      <c r="AB83" s="48">
        <f>SUMIFS('OMNIA - Key Inputs_EB'!AA$268:AA$311,'OMNIA - Key Inputs_EB'!$E$268:$E$311,'Key Inputs_BY Techs'!$E83,'OMNIA - Key Inputs_EB'!$C$268:$C$311,'Key Inputs_BY Techs'!$C83)*AB31</f>
        <v>46.984188241680606</v>
      </c>
      <c r="AC83" s="48">
        <f>SUMIFS('OMNIA - Key Inputs_EB'!AB$268:AB$311,'OMNIA - Key Inputs_EB'!$E$268:$E$311,'Key Inputs_BY Techs'!$E83,'OMNIA - Key Inputs_EB'!$C$268:$C$311,'Key Inputs_BY Techs'!$C83)*AC31</f>
        <v>35.406171671002333</v>
      </c>
      <c r="AD83" s="48">
        <f>SUMIFS('OMNIA - Key Inputs_EB'!AC$268:AC$311,'OMNIA - Key Inputs_EB'!$E$268:$E$311,'Key Inputs_BY Techs'!$E83,'OMNIA - Key Inputs_EB'!$C$268:$C$311,'Key Inputs_BY Techs'!$C83)*AD31</f>
        <v>0</v>
      </c>
      <c r="AE83" s="48">
        <f>SUMIFS('OMNIA - Key Inputs_EB'!AD$268:AD$311,'OMNIA - Key Inputs_EB'!$E$268:$E$311,'Key Inputs_BY Techs'!$E83,'OMNIA - Key Inputs_EB'!$C$268:$C$311,'Key Inputs_BY Techs'!$C83)*AE31</f>
        <v>0</v>
      </c>
      <c r="AF83" s="48">
        <f>SUMIFS('OMNIA - Key Inputs_EB'!AE$268:AE$311,'OMNIA - Key Inputs_EB'!$E$268:$E$311,'Key Inputs_BY Techs'!$E83,'OMNIA - Key Inputs_EB'!$C$268:$C$311,'Key Inputs_BY Techs'!$C83)*AF31</f>
        <v>18.191263084744016</v>
      </c>
      <c r="AG83" s="48">
        <f>SUMIFS('OMNIA - Key Inputs_EB'!AF$268:AF$311,'OMNIA - Key Inputs_EB'!$E$268:$E$311,'Key Inputs_BY Techs'!$E83,'OMNIA - Key Inputs_EB'!$C$268:$C$311,'Key Inputs_BY Techs'!$C83)*AG31</f>
        <v>0.13088378155521771</v>
      </c>
      <c r="AH83" s="48">
        <f>SUMIFS('OMNIA - Key Inputs_EB'!AG$268:AG$311,'OMNIA - Key Inputs_EB'!$E$268:$E$311,'Key Inputs_BY Techs'!$E83,'OMNIA - Key Inputs_EB'!$C$268:$C$311,'Key Inputs_BY Techs'!$C83)*AH31</f>
        <v>11.177255009256834</v>
      </c>
      <c r="AI83" s="48">
        <f>SUMIFS('OMNIA - Key Inputs_EB'!AH$268:AH$311,'OMNIA - Key Inputs_EB'!$E$268:$E$311,'Key Inputs_BY Techs'!$E83,'OMNIA - Key Inputs_EB'!$C$268:$C$311,'Key Inputs_BY Techs'!$C83)*AI31</f>
        <v>25.346570342380481</v>
      </c>
      <c r="AJ83" s="48">
        <f>SUMIFS('OMNIA - Key Inputs_EB'!AI$268:AI$311,'OMNIA - Key Inputs_EB'!$E$268:$E$311,'Key Inputs_BY Techs'!$E83,'OMNIA - Key Inputs_EB'!$C$268:$C$311,'Key Inputs_BY Techs'!$C83)*AJ31</f>
        <v>1219.6371670248075</v>
      </c>
      <c r="AM83" s="405"/>
      <c r="AN83" s="385"/>
      <c r="AO83" s="385"/>
      <c r="AP83" s="385"/>
      <c r="AQ83" s="385"/>
      <c r="AR83" s="385"/>
    </row>
    <row r="84" spans="1:45" s="341" customFormat="1" x14ac:dyDescent="0.2">
      <c r="A84" s="341" t="s">
        <v>74</v>
      </c>
      <c r="B84" s="46" t="s">
        <v>119</v>
      </c>
      <c r="C84" s="46" t="s">
        <v>118</v>
      </c>
      <c r="D84" s="46" t="s">
        <v>22</v>
      </c>
      <c r="E84" s="46" t="s">
        <v>111</v>
      </c>
      <c r="F84" s="46" t="s">
        <v>12</v>
      </c>
      <c r="G84" s="46"/>
      <c r="H84" s="46"/>
      <c r="I84" s="51">
        <f>SUMIFS('OMNIA - Key Inputs_EB'!H$268:H$311,'OMNIA - Key Inputs_EB'!$E$268:$E$311,'Key Inputs_BY Techs'!$E84,'OMNIA - Key Inputs_EB'!$C$268:$C$311,'Key Inputs_BY Techs'!$C84)*I32</f>
        <v>0</v>
      </c>
      <c r="J84" s="51">
        <f>SUMIFS('OMNIA - Key Inputs_EB'!I$268:I$311,'OMNIA - Key Inputs_EB'!$E$268:$E$311,'Key Inputs_BY Techs'!$E84,'OMNIA - Key Inputs_EB'!$C$268:$C$311,'Key Inputs_BY Techs'!$C84)*J32</f>
        <v>0</v>
      </c>
      <c r="K84" s="51">
        <f>SUMIFS('OMNIA - Key Inputs_EB'!J$268:J$311,'OMNIA - Key Inputs_EB'!$E$268:$E$311,'Key Inputs_BY Techs'!$E84,'OMNIA - Key Inputs_EB'!$C$268:$C$311,'Key Inputs_BY Techs'!$C84)*K32</f>
        <v>0</v>
      </c>
      <c r="L84" s="51">
        <f>SUMIFS('OMNIA - Key Inputs_EB'!K$268:K$311,'OMNIA - Key Inputs_EB'!$E$268:$E$311,'Key Inputs_BY Techs'!$E84,'OMNIA - Key Inputs_EB'!$C$268:$C$311,'Key Inputs_BY Techs'!$C84)*L32</f>
        <v>0</v>
      </c>
      <c r="M84" s="51">
        <f>SUMIFS('OMNIA - Key Inputs_EB'!L$268:L$311,'OMNIA - Key Inputs_EB'!$E$268:$E$311,'Key Inputs_BY Techs'!$E84,'OMNIA - Key Inputs_EB'!$C$268:$C$311,'Key Inputs_BY Techs'!$C84)*M32</f>
        <v>0</v>
      </c>
      <c r="N84" s="51">
        <f>SUMIFS('OMNIA - Key Inputs_EB'!M$268:M$311,'OMNIA - Key Inputs_EB'!$E$268:$E$311,'Key Inputs_BY Techs'!$E84,'OMNIA - Key Inputs_EB'!$C$268:$C$311,'Key Inputs_BY Techs'!$C84)*N32</f>
        <v>0</v>
      </c>
      <c r="O84" s="51">
        <f>SUMIFS('OMNIA - Key Inputs_EB'!N$268:N$311,'OMNIA - Key Inputs_EB'!$E$268:$E$311,'Key Inputs_BY Techs'!$E84,'OMNIA - Key Inputs_EB'!$C$268:$C$311,'Key Inputs_BY Techs'!$C84)*O32</f>
        <v>0</v>
      </c>
      <c r="P84" s="51">
        <f>SUMIFS('OMNIA - Key Inputs_EB'!O$268:O$311,'OMNIA - Key Inputs_EB'!$E$268:$E$311,'Key Inputs_BY Techs'!$E84,'OMNIA - Key Inputs_EB'!$C$268:$C$311,'Key Inputs_BY Techs'!$C84)*P32</f>
        <v>0</v>
      </c>
      <c r="Q84" s="51">
        <f>SUMIFS('OMNIA - Key Inputs_EB'!P$268:P$311,'OMNIA - Key Inputs_EB'!$E$268:$E$311,'Key Inputs_BY Techs'!$E84,'OMNIA - Key Inputs_EB'!$C$268:$C$311,'Key Inputs_BY Techs'!$C84)*Q32</f>
        <v>0</v>
      </c>
      <c r="R84" s="51">
        <f>SUMIFS('OMNIA - Key Inputs_EB'!Q$268:Q$311,'OMNIA - Key Inputs_EB'!$E$268:$E$311,'Key Inputs_BY Techs'!$E84,'OMNIA - Key Inputs_EB'!$C$268:$C$311,'Key Inputs_BY Techs'!$C84)*R32</f>
        <v>0</v>
      </c>
      <c r="S84" s="51">
        <f>SUMIFS('OMNIA - Key Inputs_EB'!R$268:R$311,'OMNIA - Key Inputs_EB'!$E$268:$E$311,'Key Inputs_BY Techs'!$E84,'OMNIA - Key Inputs_EB'!$C$268:$C$311,'Key Inputs_BY Techs'!$C84)*S32</f>
        <v>0</v>
      </c>
      <c r="T84" s="51">
        <f>SUMIFS('OMNIA - Key Inputs_EB'!S$268:S$311,'OMNIA - Key Inputs_EB'!$E$268:$E$311,'Key Inputs_BY Techs'!$E84,'OMNIA - Key Inputs_EB'!$C$268:$C$311,'Key Inputs_BY Techs'!$C84)*T32</f>
        <v>0</v>
      </c>
      <c r="U84" s="51">
        <f>SUMIFS('OMNIA - Key Inputs_EB'!T$268:T$311,'OMNIA - Key Inputs_EB'!$E$268:$E$311,'Key Inputs_BY Techs'!$E84,'OMNIA - Key Inputs_EB'!$C$268:$C$311,'Key Inputs_BY Techs'!$C84)*U32</f>
        <v>0</v>
      </c>
      <c r="V84" s="51">
        <f>SUMIFS('OMNIA - Key Inputs_EB'!U$268:U$311,'OMNIA - Key Inputs_EB'!$E$268:$E$311,'Key Inputs_BY Techs'!$E84,'OMNIA - Key Inputs_EB'!$C$268:$C$311,'Key Inputs_BY Techs'!$C84)*V32</f>
        <v>0</v>
      </c>
      <c r="W84" s="51">
        <f>SUMIFS('OMNIA - Key Inputs_EB'!V$268:V$311,'OMNIA - Key Inputs_EB'!$E$268:$E$311,'Key Inputs_BY Techs'!$E84,'OMNIA - Key Inputs_EB'!$C$268:$C$311,'Key Inputs_BY Techs'!$C84)*W32</f>
        <v>0</v>
      </c>
      <c r="X84" s="51">
        <f>SUMIFS('OMNIA - Key Inputs_EB'!W$268:W$311,'OMNIA - Key Inputs_EB'!$E$268:$E$311,'Key Inputs_BY Techs'!$E84,'OMNIA - Key Inputs_EB'!$C$268:$C$311,'Key Inputs_BY Techs'!$C84)*X32</f>
        <v>0</v>
      </c>
      <c r="Y84" s="51">
        <f>SUMIFS('OMNIA - Key Inputs_EB'!X$268:X$311,'OMNIA - Key Inputs_EB'!$E$268:$E$311,'Key Inputs_BY Techs'!$E84,'OMNIA - Key Inputs_EB'!$C$268:$C$311,'Key Inputs_BY Techs'!$C84)*Y32</f>
        <v>0</v>
      </c>
      <c r="Z84" s="51">
        <f>SUMIFS('OMNIA - Key Inputs_EB'!Y$268:Y$311,'OMNIA - Key Inputs_EB'!$E$268:$E$311,'Key Inputs_BY Techs'!$E84,'OMNIA - Key Inputs_EB'!$C$268:$C$311,'Key Inputs_BY Techs'!$C84)*Z32</f>
        <v>0</v>
      </c>
      <c r="AA84" s="51">
        <f>SUMIFS('OMNIA - Key Inputs_EB'!Z$268:Z$311,'OMNIA - Key Inputs_EB'!$E$268:$E$311,'Key Inputs_BY Techs'!$E84,'OMNIA - Key Inputs_EB'!$C$268:$C$311,'Key Inputs_BY Techs'!$C84)*AA32</f>
        <v>0</v>
      </c>
      <c r="AB84" s="51">
        <f>SUMIFS('OMNIA - Key Inputs_EB'!AA$268:AA$311,'OMNIA - Key Inputs_EB'!$E$268:$E$311,'Key Inputs_BY Techs'!$E84,'OMNIA - Key Inputs_EB'!$C$268:$C$311,'Key Inputs_BY Techs'!$C84)*AB32</f>
        <v>0</v>
      </c>
      <c r="AC84" s="51">
        <f>SUMIFS('OMNIA - Key Inputs_EB'!AB$268:AB$311,'OMNIA - Key Inputs_EB'!$E$268:$E$311,'Key Inputs_BY Techs'!$E84,'OMNIA - Key Inputs_EB'!$C$268:$C$311,'Key Inputs_BY Techs'!$C84)*AC32</f>
        <v>0</v>
      </c>
      <c r="AD84" s="51">
        <f>SUMIFS('OMNIA - Key Inputs_EB'!AC$268:AC$311,'OMNIA - Key Inputs_EB'!$E$268:$E$311,'Key Inputs_BY Techs'!$E84,'OMNIA - Key Inputs_EB'!$C$268:$C$311,'Key Inputs_BY Techs'!$C84)*AD32</f>
        <v>0</v>
      </c>
      <c r="AE84" s="51">
        <f>SUMIFS('OMNIA - Key Inputs_EB'!AD$268:AD$311,'OMNIA - Key Inputs_EB'!$E$268:$E$311,'Key Inputs_BY Techs'!$E84,'OMNIA - Key Inputs_EB'!$C$268:$C$311,'Key Inputs_BY Techs'!$C84)*AE32</f>
        <v>0</v>
      </c>
      <c r="AF84" s="51">
        <f>SUMIFS('OMNIA - Key Inputs_EB'!AE$268:AE$311,'OMNIA - Key Inputs_EB'!$E$268:$E$311,'Key Inputs_BY Techs'!$E84,'OMNIA - Key Inputs_EB'!$C$268:$C$311,'Key Inputs_BY Techs'!$C84)*AF32</f>
        <v>0</v>
      </c>
      <c r="AG84" s="51">
        <f>SUMIFS('OMNIA - Key Inputs_EB'!AF$268:AF$311,'OMNIA - Key Inputs_EB'!$E$268:$E$311,'Key Inputs_BY Techs'!$E84,'OMNIA - Key Inputs_EB'!$C$268:$C$311,'Key Inputs_BY Techs'!$C84)*AG32</f>
        <v>0</v>
      </c>
      <c r="AH84" s="51">
        <f>SUMIFS('OMNIA - Key Inputs_EB'!AG$268:AG$311,'OMNIA - Key Inputs_EB'!$E$268:$E$311,'Key Inputs_BY Techs'!$E84,'OMNIA - Key Inputs_EB'!$C$268:$C$311,'Key Inputs_BY Techs'!$C84)*AH32</f>
        <v>0</v>
      </c>
      <c r="AI84" s="51">
        <f>SUMIFS('OMNIA - Key Inputs_EB'!AH$268:AH$311,'OMNIA - Key Inputs_EB'!$E$268:$E$311,'Key Inputs_BY Techs'!$E84,'OMNIA - Key Inputs_EB'!$C$268:$C$311,'Key Inputs_BY Techs'!$C84)*AI32</f>
        <v>0</v>
      </c>
      <c r="AJ84" s="51">
        <f>SUMIFS('OMNIA - Key Inputs_EB'!AI$268:AI$311,'OMNIA - Key Inputs_EB'!$E$268:$E$311,'Key Inputs_BY Techs'!$E84,'OMNIA - Key Inputs_EB'!$C$268:$C$311,'Key Inputs_BY Techs'!$C84)*AJ32</f>
        <v>0</v>
      </c>
      <c r="AL84" s="385"/>
      <c r="AM84" s="405"/>
      <c r="AN84" s="385"/>
    </row>
    <row r="85" spans="1:45" x14ac:dyDescent="0.2">
      <c r="A85" s="341" t="s">
        <v>74</v>
      </c>
      <c r="B85" s="46" t="s">
        <v>119</v>
      </c>
      <c r="C85" s="46" t="s">
        <v>118</v>
      </c>
      <c r="D85" s="46" t="s">
        <v>115</v>
      </c>
      <c r="E85" s="46" t="s">
        <v>368</v>
      </c>
      <c r="F85" s="46" t="s">
        <v>12</v>
      </c>
      <c r="G85" s="46"/>
      <c r="H85" s="46"/>
      <c r="I85" s="46">
        <f>SUMIFS('OMNIA - Key Inputs_EB'!H$268:H$311,'OMNIA - Key Inputs_EB'!$E$268:$E$311,'Key Inputs_BY Techs'!$E85,'OMNIA - Key Inputs_EB'!$C$268:$C$311,'Key Inputs_BY Techs'!$C85)*I33</f>
        <v>1258.3002603352872</v>
      </c>
      <c r="J85" s="46">
        <f>SUMIFS('OMNIA - Key Inputs_EB'!I$268:I$311,'OMNIA - Key Inputs_EB'!$E$268:$E$311,'Key Inputs_BY Techs'!$E85,'OMNIA - Key Inputs_EB'!$C$268:$C$311,'Key Inputs_BY Techs'!$C85)*J33</f>
        <v>58.431497996028746</v>
      </c>
      <c r="K85" s="46">
        <f>SUMIFS('OMNIA - Key Inputs_EB'!J$268:J$311,'OMNIA - Key Inputs_EB'!$E$268:$E$311,'Key Inputs_BY Techs'!$E85,'OMNIA - Key Inputs_EB'!$C$268:$C$311,'Key Inputs_BY Techs'!$C85)*K33</f>
        <v>914.05558520514376</v>
      </c>
      <c r="L85" s="46">
        <f>SUMIFS('OMNIA - Key Inputs_EB'!K$268:K$311,'OMNIA - Key Inputs_EB'!$E$268:$E$311,'Key Inputs_BY Techs'!$E85,'OMNIA - Key Inputs_EB'!$C$268:$C$311,'Key Inputs_BY Techs'!$C85)*L33</f>
        <v>464.85892523385024</v>
      </c>
      <c r="M85" s="46">
        <f>SUMIFS('OMNIA - Key Inputs_EB'!L$268:L$311,'OMNIA - Key Inputs_EB'!$E$268:$E$311,'Key Inputs_BY Techs'!$E85,'OMNIA - Key Inputs_EB'!$C$268:$C$311,'Key Inputs_BY Techs'!$C85)*M33</f>
        <v>9.582231206863823E-3</v>
      </c>
      <c r="N85" s="46">
        <f>SUMIFS('OMNIA - Key Inputs_EB'!M$268:M$311,'OMNIA - Key Inputs_EB'!$E$268:$E$311,'Key Inputs_BY Techs'!$E85,'OMNIA - Key Inputs_EB'!$C$268:$C$311,'Key Inputs_BY Techs'!$C85)*N33</f>
        <v>3.1565577384546186</v>
      </c>
      <c r="O85" s="46">
        <f>SUMIFS('OMNIA - Key Inputs_EB'!N$268:N$311,'OMNIA - Key Inputs_EB'!$E$268:$E$311,'Key Inputs_BY Techs'!$E85,'OMNIA - Key Inputs_EB'!$C$268:$C$311,'Key Inputs_BY Techs'!$C85)*O33</f>
        <v>28.011058836376716</v>
      </c>
      <c r="P85" s="46">
        <f>SUMIFS('OMNIA - Key Inputs_EB'!O$268:O$311,'OMNIA - Key Inputs_EB'!$E$268:$E$311,'Key Inputs_BY Techs'!$E85,'OMNIA - Key Inputs_EB'!$C$268:$C$311,'Key Inputs_BY Techs'!$C85)*P33</f>
        <v>56.755719457407565</v>
      </c>
      <c r="Q85" s="46">
        <f>SUMIFS('OMNIA - Key Inputs_EB'!P$268:P$311,'OMNIA - Key Inputs_EB'!$E$268:$E$311,'Key Inputs_BY Techs'!$E85,'OMNIA - Key Inputs_EB'!$C$268:$C$311,'Key Inputs_BY Techs'!$C85)*Q33</f>
        <v>176.22164800648704</v>
      </c>
      <c r="R85" s="46">
        <f>SUMIFS('OMNIA - Key Inputs_EB'!Q$268:Q$311,'OMNIA - Key Inputs_EB'!$E$268:$E$311,'Key Inputs_BY Techs'!$E85,'OMNIA - Key Inputs_EB'!$C$268:$C$311,'Key Inputs_BY Techs'!$C85)*R33</f>
        <v>0</v>
      </c>
      <c r="S85" s="46">
        <f>SUMIFS('OMNIA - Key Inputs_EB'!R$268:R$311,'OMNIA - Key Inputs_EB'!$E$268:$E$311,'Key Inputs_BY Techs'!$E85,'OMNIA - Key Inputs_EB'!$C$268:$C$311,'Key Inputs_BY Techs'!$C85)*S33</f>
        <v>0.38106284952616193</v>
      </c>
      <c r="T85" s="46">
        <f>SUMIFS('OMNIA - Key Inputs_EB'!S$268:S$311,'OMNIA - Key Inputs_EB'!$E$268:$E$311,'Key Inputs_BY Techs'!$E85,'OMNIA - Key Inputs_EB'!$C$268:$C$311,'Key Inputs_BY Techs'!$C85)*T33</f>
        <v>25.519246002194837</v>
      </c>
      <c r="U85" s="46">
        <f>SUMIFS('OMNIA - Key Inputs_EB'!T$268:T$311,'OMNIA - Key Inputs_EB'!$E$268:$E$311,'Key Inputs_BY Techs'!$E85,'OMNIA - Key Inputs_EB'!$C$268:$C$311,'Key Inputs_BY Techs'!$C85)*U33</f>
        <v>2.3679030547071589</v>
      </c>
      <c r="V85" s="46">
        <f>SUMIFS('OMNIA - Key Inputs_EB'!U$268:U$311,'OMNIA - Key Inputs_EB'!$E$268:$E$311,'Key Inputs_BY Techs'!$E85,'OMNIA - Key Inputs_EB'!$C$268:$C$311,'Key Inputs_BY Techs'!$C85)*V33</f>
        <v>2.1777221100207553E-2</v>
      </c>
      <c r="W85" s="46">
        <f>SUMIFS('OMNIA - Key Inputs_EB'!V$268:V$311,'OMNIA - Key Inputs_EB'!$E$268:$E$311,'Key Inputs_BY Techs'!$E85,'OMNIA - Key Inputs_EB'!$C$268:$C$311,'Key Inputs_BY Techs'!$C85)*W33</f>
        <v>6.0259186697654634</v>
      </c>
      <c r="X85" s="46">
        <f>SUMIFS('OMNIA - Key Inputs_EB'!W$268:W$311,'OMNIA - Key Inputs_EB'!$E$268:$E$311,'Key Inputs_BY Techs'!$E85,'OMNIA - Key Inputs_EB'!$C$268:$C$311,'Key Inputs_BY Techs'!$C85)*X33</f>
        <v>10.967230088273588</v>
      </c>
      <c r="Y85" s="46">
        <f>SUMIFS('OMNIA - Key Inputs_EB'!X$268:X$311,'OMNIA - Key Inputs_EB'!$E$268:$E$311,'Key Inputs_BY Techs'!$E85,'OMNIA - Key Inputs_EB'!$C$268:$C$311,'Key Inputs_BY Techs'!$C85)*Y33</f>
        <v>6.0991706347013078E-2</v>
      </c>
      <c r="Z85" s="46">
        <f>SUMIFS('OMNIA - Key Inputs_EB'!Y$268:Y$311,'OMNIA - Key Inputs_EB'!$E$268:$E$311,'Key Inputs_BY Techs'!$E85,'OMNIA - Key Inputs_EB'!$C$268:$C$311,'Key Inputs_BY Techs'!$C85)*Z33</f>
        <v>42.215332599442284</v>
      </c>
      <c r="AA85" s="46">
        <f>SUMIFS('OMNIA - Key Inputs_EB'!Z$268:Z$311,'OMNIA - Key Inputs_EB'!$E$268:$E$311,'Key Inputs_BY Techs'!$E85,'OMNIA - Key Inputs_EB'!$C$268:$C$311,'Key Inputs_BY Techs'!$C85)*AA33</f>
        <v>151.12229449103171</v>
      </c>
      <c r="AB85" s="46">
        <f>SUMIFS('OMNIA - Key Inputs_EB'!AA$268:AA$311,'OMNIA - Key Inputs_EB'!$E$268:$E$311,'Key Inputs_BY Techs'!$E85,'OMNIA - Key Inputs_EB'!$C$268:$C$311,'Key Inputs_BY Techs'!$C85)*AB33</f>
        <v>3.5526453231939162E-2</v>
      </c>
      <c r="AC85" s="46">
        <f>SUMIFS('OMNIA - Key Inputs_EB'!AB$268:AB$311,'OMNIA - Key Inputs_EB'!$E$268:$E$311,'Key Inputs_BY Techs'!$E85,'OMNIA - Key Inputs_EB'!$C$268:$C$311,'Key Inputs_BY Techs'!$C85)*AC33</f>
        <v>380.72554080000003</v>
      </c>
      <c r="AD85" s="46">
        <f>SUMIFS('OMNIA - Key Inputs_EB'!AC$268:AC$311,'OMNIA - Key Inputs_EB'!$E$268:$E$311,'Key Inputs_BY Techs'!$E85,'OMNIA - Key Inputs_EB'!$C$268:$C$311,'Key Inputs_BY Techs'!$C85)*AD33</f>
        <v>0</v>
      </c>
      <c r="AE85" s="46">
        <f>SUMIFS('OMNIA - Key Inputs_EB'!AD$268:AD$311,'OMNIA - Key Inputs_EB'!$E$268:$E$311,'Key Inputs_BY Techs'!$E85,'OMNIA - Key Inputs_EB'!$C$268:$C$311,'Key Inputs_BY Techs'!$C85)*AE33</f>
        <v>0</v>
      </c>
      <c r="AF85" s="46">
        <f>SUMIFS('OMNIA - Key Inputs_EB'!AE$268:AE$311,'OMNIA - Key Inputs_EB'!$E$268:$E$311,'Key Inputs_BY Techs'!$E85,'OMNIA - Key Inputs_EB'!$C$268:$C$311,'Key Inputs_BY Techs'!$C85)*AF33</f>
        <v>0</v>
      </c>
      <c r="AG85" s="46">
        <f>SUMIFS('OMNIA - Key Inputs_EB'!AF$268:AF$311,'OMNIA - Key Inputs_EB'!$E$268:$E$311,'Key Inputs_BY Techs'!$E85,'OMNIA - Key Inputs_EB'!$C$268:$C$311,'Key Inputs_BY Techs'!$C85)*AG33</f>
        <v>1847.2817934829422</v>
      </c>
      <c r="AH85" s="46">
        <f>SUMIFS('OMNIA - Key Inputs_EB'!AG$268:AG$311,'OMNIA - Key Inputs_EB'!$E$268:$E$311,'Key Inputs_BY Techs'!$E85,'OMNIA - Key Inputs_EB'!$C$268:$C$311,'Key Inputs_BY Techs'!$C85)*AH33</f>
        <v>1.5875578422955832</v>
      </c>
      <c r="AI85" s="46">
        <f>SUMIFS('OMNIA - Key Inputs_EB'!AH$268:AH$311,'OMNIA - Key Inputs_EB'!$E$268:$E$311,'Key Inputs_BY Techs'!$E85,'OMNIA - Key Inputs_EB'!$C$268:$C$311,'Key Inputs_BY Techs'!$C85)*AI33</f>
        <v>0.56604101140684415</v>
      </c>
      <c r="AJ85" s="46">
        <f>SUMIFS('OMNIA - Key Inputs_EB'!AI$268:AI$311,'OMNIA - Key Inputs_EB'!$E$268:$E$311,'Key Inputs_BY Techs'!$E85,'OMNIA - Key Inputs_EB'!$C$268:$C$311,'Key Inputs_BY Techs'!$C85)*AJ33</f>
        <v>0</v>
      </c>
      <c r="AK85" s="341"/>
      <c r="AM85" s="405"/>
      <c r="AS85" s="341"/>
    </row>
    <row r="86" spans="1:45" x14ac:dyDescent="0.25">
      <c r="A86" s="341" t="s">
        <v>74</v>
      </c>
      <c r="B86" s="46" t="s">
        <v>119</v>
      </c>
      <c r="C86" s="46" t="s">
        <v>118</v>
      </c>
      <c r="D86" s="46" t="s">
        <v>19</v>
      </c>
      <c r="E86" s="46" t="s">
        <v>105</v>
      </c>
      <c r="F86" s="46" t="s">
        <v>12</v>
      </c>
      <c r="G86" s="46"/>
      <c r="H86" s="46"/>
      <c r="I86" s="46">
        <f>SUMIFS('OMNIA - Key Inputs_EB'!H$268:H$311,'OMNIA - Key Inputs_EB'!$E$268:$E$311,'Key Inputs_BY Techs'!$E86,'OMNIA - Key Inputs_EB'!$C$268:$C$311,'Key Inputs_BY Techs'!$C86)*I34</f>
        <v>4.8467795333816586</v>
      </c>
      <c r="J86" s="46">
        <f>SUMIFS('OMNIA - Key Inputs_EB'!I$268:I$311,'OMNIA - Key Inputs_EB'!$E$268:$E$311,'Key Inputs_BY Techs'!$E86,'OMNIA - Key Inputs_EB'!$C$268:$C$311,'Key Inputs_BY Techs'!$C86)*J34</f>
        <v>24.808847025170596</v>
      </c>
      <c r="K86" s="46">
        <f>SUMIFS('OMNIA - Key Inputs_EB'!J$268:J$311,'OMNIA - Key Inputs_EB'!$E$268:$E$311,'Key Inputs_BY Techs'!$E86,'OMNIA - Key Inputs_EB'!$C$268:$C$311,'Key Inputs_BY Techs'!$C86)*K34</f>
        <v>4.762025319269128</v>
      </c>
      <c r="L86" s="46">
        <f>SUMIFS('OMNIA - Key Inputs_EB'!K$268:K$311,'OMNIA - Key Inputs_EB'!$E$268:$E$311,'Key Inputs_BY Techs'!$E86,'OMNIA - Key Inputs_EB'!$C$268:$C$311,'Key Inputs_BY Techs'!$C86)*L34</f>
        <v>12.928919612767764</v>
      </c>
      <c r="M86" s="46">
        <f>SUMIFS('OMNIA - Key Inputs_EB'!L$268:L$311,'OMNIA - Key Inputs_EB'!$E$268:$E$311,'Key Inputs_BY Techs'!$E86,'OMNIA - Key Inputs_EB'!$C$268:$C$311,'Key Inputs_BY Techs'!$C86)*M34</f>
        <v>16.785277895397037</v>
      </c>
      <c r="N86" s="46">
        <f>SUMIFS('OMNIA - Key Inputs_EB'!M$268:M$311,'OMNIA - Key Inputs_EB'!$E$268:$E$311,'Key Inputs_BY Techs'!$E86,'OMNIA - Key Inputs_EB'!$C$268:$C$311,'Key Inputs_BY Techs'!$C86)*N34</f>
        <v>20.540969698054123</v>
      </c>
      <c r="O86" s="46">
        <f>SUMIFS('OMNIA - Key Inputs_EB'!N$268:N$311,'OMNIA - Key Inputs_EB'!$E$268:$E$311,'Key Inputs_BY Techs'!$E86,'OMNIA - Key Inputs_EB'!$C$268:$C$311,'Key Inputs_BY Techs'!$C86)*O34</f>
        <v>29.575113911876535</v>
      </c>
      <c r="P86" s="46">
        <f>SUMIFS('OMNIA - Key Inputs_EB'!O$268:O$311,'OMNIA - Key Inputs_EB'!$E$268:$E$311,'Key Inputs_BY Techs'!$E86,'OMNIA - Key Inputs_EB'!$C$268:$C$311,'Key Inputs_BY Techs'!$C86)*P34</f>
        <v>32.671914618653538</v>
      </c>
      <c r="Q86" s="46">
        <f>SUMIFS('OMNIA - Key Inputs_EB'!P$268:P$311,'OMNIA - Key Inputs_EB'!$E$268:$E$311,'Key Inputs_BY Techs'!$E86,'OMNIA - Key Inputs_EB'!$C$268:$C$311,'Key Inputs_BY Techs'!$C86)*Q34</f>
        <v>15.12243541464322</v>
      </c>
      <c r="R86" s="46">
        <f>SUMIFS('OMNIA - Key Inputs_EB'!Q$268:Q$311,'OMNIA - Key Inputs_EB'!$E$268:$E$311,'Key Inputs_BY Techs'!$E86,'OMNIA - Key Inputs_EB'!$C$268:$C$311,'Key Inputs_BY Techs'!$C86)*R34</f>
        <v>45.177073660570308</v>
      </c>
      <c r="S86" s="46">
        <f>SUMIFS('OMNIA - Key Inputs_EB'!R$268:R$311,'OMNIA - Key Inputs_EB'!$E$268:$E$311,'Key Inputs_BY Techs'!$E86,'OMNIA - Key Inputs_EB'!$C$268:$C$311,'Key Inputs_BY Techs'!$C86)*S34</f>
        <v>2.7727550480822738</v>
      </c>
      <c r="T86" s="46">
        <f>SUMIFS('OMNIA - Key Inputs_EB'!S$268:S$311,'OMNIA - Key Inputs_EB'!$E$268:$E$311,'Key Inputs_BY Techs'!$E86,'OMNIA - Key Inputs_EB'!$C$268:$C$311,'Key Inputs_BY Techs'!$C86)*T34</f>
        <v>855.21964026881062</v>
      </c>
      <c r="U86" s="46">
        <f>SUMIFS('OMNIA - Key Inputs_EB'!T$268:T$311,'OMNIA - Key Inputs_EB'!$E$268:$E$311,'Key Inputs_BY Techs'!$E86,'OMNIA - Key Inputs_EB'!$C$268:$C$311,'Key Inputs_BY Techs'!$C86)*U34</f>
        <v>20.706179141801137</v>
      </c>
      <c r="V86" s="46">
        <f>SUMIFS('OMNIA - Key Inputs_EB'!U$268:U$311,'OMNIA - Key Inputs_EB'!$E$268:$E$311,'Key Inputs_BY Techs'!$E86,'OMNIA - Key Inputs_EB'!$C$268:$C$311,'Key Inputs_BY Techs'!$C86)*V34</f>
        <v>32.880756273589355</v>
      </c>
      <c r="W86" s="46">
        <f>SUMIFS('OMNIA - Key Inputs_EB'!V$268:V$311,'OMNIA - Key Inputs_EB'!$E$268:$E$311,'Key Inputs_BY Techs'!$E86,'OMNIA - Key Inputs_EB'!$C$268:$C$311,'Key Inputs_BY Techs'!$C86)*W34</f>
        <v>29.498665043781997</v>
      </c>
      <c r="X86" s="46">
        <f>SUMIFS('OMNIA - Key Inputs_EB'!W$268:W$311,'OMNIA - Key Inputs_EB'!$E$268:$E$311,'Key Inputs_BY Techs'!$E86,'OMNIA - Key Inputs_EB'!$C$268:$C$311,'Key Inputs_BY Techs'!$C86)*X34</f>
        <v>94.938658293419451</v>
      </c>
      <c r="Y86" s="46">
        <f>SUMIFS('OMNIA - Key Inputs_EB'!X$268:X$311,'OMNIA - Key Inputs_EB'!$E$268:$E$311,'Key Inputs_BY Techs'!$E86,'OMNIA - Key Inputs_EB'!$C$268:$C$311,'Key Inputs_BY Techs'!$C86)*Y34</f>
        <v>144.52472981114187</v>
      </c>
      <c r="Z86" s="46">
        <f>SUMIFS('OMNIA - Key Inputs_EB'!Y$268:Y$311,'OMNIA - Key Inputs_EB'!$E$268:$E$311,'Key Inputs_BY Techs'!$E86,'OMNIA - Key Inputs_EB'!$C$268:$C$311,'Key Inputs_BY Techs'!$C86)*Z34</f>
        <v>67.677912950123016</v>
      </c>
      <c r="AA86" s="46">
        <f>SUMIFS('OMNIA - Key Inputs_EB'!Z$268:Z$311,'OMNIA - Key Inputs_EB'!$E$268:$E$311,'Key Inputs_BY Techs'!$E86,'OMNIA - Key Inputs_EB'!$C$268:$C$311,'Key Inputs_BY Techs'!$C86)*AA34</f>
        <v>102.98376531424736</v>
      </c>
      <c r="AB86" s="46">
        <f>SUMIFS('OMNIA - Key Inputs_EB'!AA$268:AA$311,'OMNIA - Key Inputs_EB'!$E$268:$E$311,'Key Inputs_BY Techs'!$E86,'OMNIA - Key Inputs_EB'!$C$268:$C$311,'Key Inputs_BY Techs'!$C86)*AB34</f>
        <v>41.931983285358726</v>
      </c>
      <c r="AC86" s="46">
        <f>SUMIFS('OMNIA - Key Inputs_EB'!AB$268:AB$311,'OMNIA - Key Inputs_EB'!$E$268:$E$311,'Key Inputs_BY Techs'!$E86,'OMNIA - Key Inputs_EB'!$C$268:$C$311,'Key Inputs_BY Techs'!$C86)*AC34</f>
        <v>0</v>
      </c>
      <c r="AD86" s="46">
        <f>SUMIFS('OMNIA - Key Inputs_EB'!AC$268:AC$311,'OMNIA - Key Inputs_EB'!$E$268:$E$311,'Key Inputs_BY Techs'!$E86,'OMNIA - Key Inputs_EB'!$C$268:$C$311,'Key Inputs_BY Techs'!$C86)*AD34</f>
        <v>27.017733919386338</v>
      </c>
      <c r="AE86" s="46">
        <f>SUMIFS('OMNIA - Key Inputs_EB'!AD$268:AD$311,'OMNIA - Key Inputs_EB'!$E$268:$E$311,'Key Inputs_BY Techs'!$E86,'OMNIA - Key Inputs_EB'!$C$268:$C$311,'Key Inputs_BY Techs'!$C86)*AE34</f>
        <v>93.655698609559494</v>
      </c>
      <c r="AF86" s="46">
        <f>SUMIFS('OMNIA - Key Inputs_EB'!AE$268:AE$311,'OMNIA - Key Inputs_EB'!$E$268:$E$311,'Key Inputs_BY Techs'!$E86,'OMNIA - Key Inputs_EB'!$C$268:$C$311,'Key Inputs_BY Techs'!$C86)*AF34</f>
        <v>2.4006132543352114</v>
      </c>
      <c r="AG86" s="46">
        <f>SUMIFS('OMNIA - Key Inputs_EB'!AF$268:AF$311,'OMNIA - Key Inputs_EB'!$E$268:$E$311,'Key Inputs_BY Techs'!$E86,'OMNIA - Key Inputs_EB'!$C$268:$C$311,'Key Inputs_BY Techs'!$C86)*AG34</f>
        <v>3.4743178234808911</v>
      </c>
      <c r="AH86" s="46">
        <f>SUMIFS('OMNIA - Key Inputs_EB'!AG$268:AG$311,'OMNIA - Key Inputs_EB'!$E$268:$E$311,'Key Inputs_BY Techs'!$E86,'OMNIA - Key Inputs_EB'!$C$268:$C$311,'Key Inputs_BY Techs'!$C86)*AH34</f>
        <v>53.418474793111152</v>
      </c>
      <c r="AI86" s="46">
        <f>SUMIFS('OMNIA - Key Inputs_EB'!AH$268:AH$311,'OMNIA - Key Inputs_EB'!$E$268:$E$311,'Key Inputs_BY Techs'!$E86,'OMNIA - Key Inputs_EB'!$C$268:$C$311,'Key Inputs_BY Techs'!$C86)*AI34</f>
        <v>6.8446018035586267</v>
      </c>
      <c r="AJ86" s="46">
        <f>SUMIFS('OMNIA - Key Inputs_EB'!AI$268:AI$311,'OMNIA - Key Inputs_EB'!$E$268:$E$311,'Key Inputs_BY Techs'!$E86,'OMNIA - Key Inputs_EB'!$C$268:$C$311,'Key Inputs_BY Techs'!$C86)*AJ34</f>
        <v>53.478155896626646</v>
      </c>
      <c r="AK86" s="341"/>
      <c r="AM86" s="221"/>
    </row>
    <row r="87" spans="1:45" s="341" customFormat="1" x14ac:dyDescent="0.25">
      <c r="A87" s="341" t="s">
        <v>74</v>
      </c>
      <c r="B87" s="46" t="s">
        <v>119</v>
      </c>
      <c r="C87" s="46" t="s">
        <v>118</v>
      </c>
      <c r="D87" s="46" t="s">
        <v>473</v>
      </c>
      <c r="E87" s="46" t="s">
        <v>482</v>
      </c>
      <c r="F87" s="46" t="s">
        <v>12</v>
      </c>
      <c r="G87" s="46"/>
      <c r="H87" s="46"/>
      <c r="I87" s="46">
        <f>SUMIFS('OMNIA - Key Inputs_EB'!H$268:H$311,'OMNIA - Key Inputs_EB'!$E$268:$E$311,'Key Inputs_BY Techs'!$E87,'OMNIA - Key Inputs_EB'!$C$268:$C$311,'Key Inputs_BY Techs'!$C87)*I35</f>
        <v>0</v>
      </c>
      <c r="J87" s="46">
        <f>SUMIFS('OMNIA - Key Inputs_EB'!I$268:I$311,'OMNIA - Key Inputs_EB'!$E$268:$E$311,'Key Inputs_BY Techs'!$E87,'OMNIA - Key Inputs_EB'!$C$268:$C$311,'Key Inputs_BY Techs'!$C87)*J35</f>
        <v>40.778107537469715</v>
      </c>
      <c r="K87" s="46">
        <f>SUMIFS('OMNIA - Key Inputs_EB'!J$268:J$311,'OMNIA - Key Inputs_EB'!$E$268:$E$311,'Key Inputs_BY Techs'!$E87,'OMNIA - Key Inputs_EB'!$C$268:$C$311,'Key Inputs_BY Techs'!$C87)*K35</f>
        <v>0</v>
      </c>
      <c r="L87" s="46">
        <f>SUMIFS('OMNIA - Key Inputs_EB'!K$268:K$311,'OMNIA - Key Inputs_EB'!$E$268:$E$311,'Key Inputs_BY Techs'!$E87,'OMNIA - Key Inputs_EB'!$C$268:$C$311,'Key Inputs_BY Techs'!$C87)*L35</f>
        <v>1.7029644811728507E-2</v>
      </c>
      <c r="M87" s="46">
        <f>SUMIFS('OMNIA - Key Inputs_EB'!L$268:L$311,'OMNIA - Key Inputs_EB'!$E$268:$E$311,'Key Inputs_BY Techs'!$E87,'OMNIA - Key Inputs_EB'!$C$268:$C$311,'Key Inputs_BY Techs'!$C87)*M35</f>
        <v>4.712729116976436</v>
      </c>
      <c r="N87" s="46">
        <f>SUMIFS('OMNIA - Key Inputs_EB'!M$268:M$311,'OMNIA - Key Inputs_EB'!$E$268:$E$311,'Key Inputs_BY Techs'!$E87,'OMNIA - Key Inputs_EB'!$C$268:$C$311,'Key Inputs_BY Techs'!$C87)*N35</f>
        <v>67.792775508261727</v>
      </c>
      <c r="O87" s="46">
        <f>SUMIFS('OMNIA - Key Inputs_EB'!N$268:N$311,'OMNIA - Key Inputs_EB'!$E$268:$E$311,'Key Inputs_BY Techs'!$E87,'OMNIA - Key Inputs_EB'!$C$268:$C$311,'Key Inputs_BY Techs'!$C87)*O35</f>
        <v>0.30944687520425807</v>
      </c>
      <c r="P87" s="46">
        <f>SUMIFS('OMNIA - Key Inputs_EB'!O$268:O$311,'OMNIA - Key Inputs_EB'!$E$268:$E$311,'Key Inputs_BY Techs'!$E87,'OMNIA - Key Inputs_EB'!$C$268:$C$311,'Key Inputs_BY Techs'!$C87)*P35</f>
        <v>52.671579287689113</v>
      </c>
      <c r="Q87" s="46">
        <f>SUMIFS('OMNIA - Key Inputs_EB'!P$268:P$311,'OMNIA - Key Inputs_EB'!$E$268:$E$311,'Key Inputs_BY Techs'!$E87,'OMNIA - Key Inputs_EB'!$C$268:$C$311,'Key Inputs_BY Techs'!$C87)*Q35</f>
        <v>4.3690880316400849</v>
      </c>
      <c r="R87" s="46">
        <f>SUMIFS('OMNIA - Key Inputs_EB'!Q$268:Q$311,'OMNIA - Key Inputs_EB'!$E$268:$E$311,'Key Inputs_BY Techs'!$E87,'OMNIA - Key Inputs_EB'!$C$268:$C$311,'Key Inputs_BY Techs'!$C87)*R35</f>
        <v>3.344936395575151</v>
      </c>
      <c r="S87" s="46">
        <f>SUMIFS('OMNIA - Key Inputs_EB'!R$268:R$311,'OMNIA - Key Inputs_EB'!$E$268:$E$311,'Key Inputs_BY Techs'!$E87,'OMNIA - Key Inputs_EB'!$C$268:$C$311,'Key Inputs_BY Techs'!$C87)*S35</f>
        <v>0.69024382291008946</v>
      </c>
      <c r="T87" s="46">
        <f>SUMIFS('OMNIA - Key Inputs_EB'!S$268:S$311,'OMNIA - Key Inputs_EB'!$E$268:$E$311,'Key Inputs_BY Techs'!$E87,'OMNIA - Key Inputs_EB'!$C$268:$C$311,'Key Inputs_BY Techs'!$C87)*T35</f>
        <v>477.95799150162645</v>
      </c>
      <c r="U87" s="46">
        <f>SUMIFS('OMNIA - Key Inputs_EB'!T$268:T$311,'OMNIA - Key Inputs_EB'!$E$268:$E$311,'Key Inputs_BY Techs'!$E87,'OMNIA - Key Inputs_EB'!$C$268:$C$311,'Key Inputs_BY Techs'!$C87)*U35</f>
        <v>30.6781159496669</v>
      </c>
      <c r="V87" s="46">
        <f>SUMIFS('OMNIA - Key Inputs_EB'!U$268:U$311,'OMNIA - Key Inputs_EB'!$E$268:$E$311,'Key Inputs_BY Techs'!$E87,'OMNIA - Key Inputs_EB'!$C$268:$C$311,'Key Inputs_BY Techs'!$C87)*V35</f>
        <v>10.328577874815087</v>
      </c>
      <c r="W87" s="46">
        <f>SUMIFS('OMNIA - Key Inputs_EB'!V$268:V$311,'OMNIA - Key Inputs_EB'!$E$268:$E$311,'Key Inputs_BY Techs'!$E87,'OMNIA - Key Inputs_EB'!$C$268:$C$311,'Key Inputs_BY Techs'!$C87)*W35</f>
        <v>40.00560840967016</v>
      </c>
      <c r="X87" s="46">
        <f>SUMIFS('OMNIA - Key Inputs_EB'!W$268:W$311,'OMNIA - Key Inputs_EB'!$E$268:$E$311,'Key Inputs_BY Techs'!$E87,'OMNIA - Key Inputs_EB'!$C$268:$C$311,'Key Inputs_BY Techs'!$C87)*X35</f>
        <v>109.9591704777594</v>
      </c>
      <c r="Y87" s="46">
        <f>SUMIFS('OMNIA - Key Inputs_EB'!X$268:X$311,'OMNIA - Key Inputs_EB'!$E$268:$E$311,'Key Inputs_BY Techs'!$E87,'OMNIA - Key Inputs_EB'!$C$268:$C$311,'Key Inputs_BY Techs'!$C87)*Y35</f>
        <v>14.087066769037248</v>
      </c>
      <c r="Z87" s="46">
        <f>SUMIFS('OMNIA - Key Inputs_EB'!Y$268:Y$311,'OMNIA - Key Inputs_EB'!$E$268:$E$311,'Key Inputs_BY Techs'!$E87,'OMNIA - Key Inputs_EB'!$C$268:$C$311,'Key Inputs_BY Techs'!$C87)*Z35</f>
        <v>0.10547994452753656</v>
      </c>
      <c r="AA87" s="46">
        <f>SUMIFS('OMNIA - Key Inputs_EB'!Z$268:Z$311,'OMNIA - Key Inputs_EB'!$E$268:$E$311,'Key Inputs_BY Techs'!$E87,'OMNIA - Key Inputs_EB'!$C$268:$C$311,'Key Inputs_BY Techs'!$C87)*AA35</f>
        <v>6.767372224719101</v>
      </c>
      <c r="AB87" s="46">
        <f>SUMIFS('OMNIA - Key Inputs_EB'!AA$268:AA$311,'OMNIA - Key Inputs_EB'!$E$268:$E$311,'Key Inputs_BY Techs'!$E87,'OMNIA - Key Inputs_EB'!$C$268:$C$311,'Key Inputs_BY Techs'!$C87)*AB35</f>
        <v>29.696525163217373</v>
      </c>
      <c r="AC87" s="46">
        <f>SUMIFS('OMNIA - Key Inputs_EB'!AB$268:AB$311,'OMNIA - Key Inputs_EB'!$E$268:$E$311,'Key Inputs_BY Techs'!$E87,'OMNIA - Key Inputs_EB'!$C$268:$C$311,'Key Inputs_BY Techs'!$C87)*AC35</f>
        <v>19.979786954501119</v>
      </c>
      <c r="AD87" s="46">
        <f>SUMIFS('OMNIA - Key Inputs_EB'!AC$268:AC$311,'OMNIA - Key Inputs_EB'!$E$268:$E$311,'Key Inputs_BY Techs'!$E87,'OMNIA - Key Inputs_EB'!$C$268:$C$311,'Key Inputs_BY Techs'!$C87)*AD35</f>
        <v>18.699484278143451</v>
      </c>
      <c r="AE87" s="46">
        <f>SUMIFS('OMNIA - Key Inputs_EB'!AD$268:AD$311,'OMNIA - Key Inputs_EB'!$E$268:$E$311,'Key Inputs_BY Techs'!$E87,'OMNIA - Key Inputs_EB'!$C$268:$C$311,'Key Inputs_BY Techs'!$C87)*AE35</f>
        <v>65.009262234909457</v>
      </c>
      <c r="AF87" s="46">
        <f>SUMIFS('OMNIA - Key Inputs_EB'!AE$268:AE$311,'OMNIA - Key Inputs_EB'!$E$268:$E$311,'Key Inputs_BY Techs'!$E87,'OMNIA - Key Inputs_EB'!$C$268:$C$311,'Key Inputs_BY Techs'!$C87)*AF35</f>
        <v>0.27716619229853118</v>
      </c>
      <c r="AG87" s="46">
        <f>SUMIFS('OMNIA - Key Inputs_EB'!AF$268:AF$311,'OMNIA - Key Inputs_EB'!$E$268:$E$311,'Key Inputs_BY Techs'!$E87,'OMNIA - Key Inputs_EB'!$C$268:$C$311,'Key Inputs_BY Techs'!$C87)*AG35</f>
        <v>0</v>
      </c>
      <c r="AH87" s="46">
        <f>SUMIFS('OMNIA - Key Inputs_EB'!AG$268:AG$311,'OMNIA - Key Inputs_EB'!$E$268:$E$311,'Key Inputs_BY Techs'!$E87,'OMNIA - Key Inputs_EB'!$C$268:$C$311,'Key Inputs_BY Techs'!$C87)*AH35</f>
        <v>315.45717630138796</v>
      </c>
      <c r="AI87" s="46">
        <f>SUMIFS('OMNIA - Key Inputs_EB'!AH$268:AH$311,'OMNIA - Key Inputs_EB'!$E$268:$E$311,'Key Inputs_BY Techs'!$E87,'OMNIA - Key Inputs_EB'!$C$268:$C$311,'Key Inputs_BY Techs'!$C87)*AI35</f>
        <v>50.693809026855305</v>
      </c>
      <c r="AJ87" s="46">
        <f>SUMIFS('OMNIA - Key Inputs_EB'!AI$268:AI$311,'OMNIA - Key Inputs_EB'!$E$268:$E$311,'Key Inputs_BY Techs'!$E87,'OMNIA - Key Inputs_EB'!$C$268:$C$311,'Key Inputs_BY Techs'!$C87)*AJ35</f>
        <v>50.851366344104804</v>
      </c>
      <c r="AL87" s="385"/>
      <c r="AM87" s="221"/>
      <c r="AN87" s="385"/>
      <c r="AO87" s="385"/>
      <c r="AP87" s="385"/>
      <c r="AQ87" s="385"/>
      <c r="AR87" s="385"/>
      <c r="AS87" s="385"/>
    </row>
    <row r="88" spans="1:45" x14ac:dyDescent="0.25">
      <c r="A88" s="341" t="s">
        <v>74</v>
      </c>
      <c r="B88" s="46" t="s">
        <v>119</v>
      </c>
      <c r="C88" s="46" t="s">
        <v>118</v>
      </c>
      <c r="D88" s="46" t="s">
        <v>0</v>
      </c>
      <c r="E88" s="46" t="s">
        <v>109</v>
      </c>
      <c r="F88" s="46" t="s">
        <v>12</v>
      </c>
      <c r="G88" s="46"/>
      <c r="H88" s="46"/>
      <c r="I88" s="46">
        <f>SUMIFS('OMNIA - Key Inputs_EB'!H$268:H$311,'OMNIA - Key Inputs_EB'!$E$268:$E$311,'Key Inputs_BY Techs'!$E88,'OMNIA - Key Inputs_EB'!$C$268:$C$311,'Key Inputs_BY Techs'!$C88)*I36</f>
        <v>20.071832700368539</v>
      </c>
      <c r="J88" s="46">
        <f>SUMIFS('OMNIA - Key Inputs_EB'!I$268:I$311,'OMNIA - Key Inputs_EB'!$E$268:$E$311,'Key Inputs_BY Techs'!$E88,'OMNIA - Key Inputs_EB'!$C$268:$C$311,'Key Inputs_BY Techs'!$C88)*J36</f>
        <v>237.93182810147786</v>
      </c>
      <c r="K88" s="46">
        <f>SUMIFS('OMNIA - Key Inputs_EB'!J$268:J$311,'OMNIA - Key Inputs_EB'!$E$268:$E$311,'Key Inputs_BY Techs'!$E88,'OMNIA - Key Inputs_EB'!$C$268:$C$311,'Key Inputs_BY Techs'!$C88)*K36</f>
        <v>28.234729294568737</v>
      </c>
      <c r="L88" s="46">
        <f>SUMIFS('OMNIA - Key Inputs_EB'!K$268:K$311,'OMNIA - Key Inputs_EB'!$E$268:$E$311,'Key Inputs_BY Techs'!$E88,'OMNIA - Key Inputs_EB'!$C$268:$C$311,'Key Inputs_BY Techs'!$C88)*L36</f>
        <v>16.466114251200537</v>
      </c>
      <c r="M88" s="46">
        <f>SUMIFS('OMNIA - Key Inputs_EB'!L$268:L$311,'OMNIA - Key Inputs_EB'!$E$268:$E$311,'Key Inputs_BY Techs'!$E88,'OMNIA - Key Inputs_EB'!$C$268:$C$311,'Key Inputs_BY Techs'!$C88)*M36</f>
        <v>3.2196730378163241</v>
      </c>
      <c r="N88" s="46">
        <f>SUMIFS('OMNIA - Key Inputs_EB'!M$268:M$311,'OMNIA - Key Inputs_EB'!$E$268:$E$311,'Key Inputs_BY Techs'!$E88,'OMNIA - Key Inputs_EB'!$C$268:$C$311,'Key Inputs_BY Techs'!$C88)*N36</f>
        <v>68.26970010531646</v>
      </c>
      <c r="O88" s="46">
        <f>SUMIFS('OMNIA - Key Inputs_EB'!N$268:N$311,'OMNIA - Key Inputs_EB'!$E$268:$E$311,'Key Inputs_BY Techs'!$E88,'OMNIA - Key Inputs_EB'!$C$268:$C$311,'Key Inputs_BY Techs'!$C88)*O36</f>
        <v>67.851243706329115</v>
      </c>
      <c r="P88" s="46">
        <f>SUMIFS('OMNIA - Key Inputs_EB'!O$268:O$311,'OMNIA - Key Inputs_EB'!$E$268:$E$311,'Key Inputs_BY Techs'!$E88,'OMNIA - Key Inputs_EB'!$C$268:$C$311,'Key Inputs_BY Techs'!$C88)*P36</f>
        <v>35.434060933670885</v>
      </c>
      <c r="Q88" s="46">
        <f>SUMIFS('OMNIA - Key Inputs_EB'!P$268:P$311,'OMNIA - Key Inputs_EB'!$E$268:$E$311,'Key Inputs_BY Techs'!$E88,'OMNIA - Key Inputs_EB'!$C$268:$C$311,'Key Inputs_BY Techs'!$C88)*Q36</f>
        <v>158.33123603318623</v>
      </c>
      <c r="R88" s="46">
        <f>SUMIFS('OMNIA - Key Inputs_EB'!Q$268:Q$311,'OMNIA - Key Inputs_EB'!$E$268:$E$311,'Key Inputs_BY Techs'!$E88,'OMNIA - Key Inputs_EB'!$C$268:$C$311,'Key Inputs_BY Techs'!$C88)*R36</f>
        <v>0</v>
      </c>
      <c r="S88" s="46">
        <f>SUMIFS('OMNIA - Key Inputs_EB'!R$268:R$311,'OMNIA - Key Inputs_EB'!$E$268:$E$311,'Key Inputs_BY Techs'!$E88,'OMNIA - Key Inputs_EB'!$C$268:$C$311,'Key Inputs_BY Techs'!$C88)*S36</f>
        <v>3.2298244803358278</v>
      </c>
      <c r="T88" s="46">
        <f>SUMIFS('OMNIA - Key Inputs_EB'!S$268:S$311,'OMNIA - Key Inputs_EB'!$E$268:$E$311,'Key Inputs_BY Techs'!$E88,'OMNIA - Key Inputs_EB'!$C$268:$C$311,'Key Inputs_BY Techs'!$C88)*T36</f>
        <v>642.09960154590351</v>
      </c>
      <c r="U88" s="46">
        <f>SUMIFS('OMNIA - Key Inputs_EB'!T$268:T$311,'OMNIA - Key Inputs_EB'!$E$268:$E$311,'Key Inputs_BY Techs'!$E88,'OMNIA - Key Inputs_EB'!$C$268:$C$311,'Key Inputs_BY Techs'!$C88)*U36</f>
        <v>7.1256627452348296</v>
      </c>
      <c r="V88" s="46">
        <f>SUMIFS('OMNIA - Key Inputs_EB'!U$268:U$311,'OMNIA - Key Inputs_EB'!$E$268:$E$311,'Key Inputs_BY Techs'!$E88,'OMNIA - Key Inputs_EB'!$C$268:$C$311,'Key Inputs_BY Techs'!$C88)*V36</f>
        <v>0</v>
      </c>
      <c r="W88" s="46">
        <f>SUMIFS('OMNIA - Key Inputs_EB'!V$268:V$311,'OMNIA - Key Inputs_EB'!$E$268:$E$311,'Key Inputs_BY Techs'!$E88,'OMNIA - Key Inputs_EB'!$C$268:$C$311,'Key Inputs_BY Techs'!$C88)*W36</f>
        <v>22.538499338055502</v>
      </c>
      <c r="X88" s="46">
        <f>SUMIFS('OMNIA - Key Inputs_EB'!W$268:W$311,'OMNIA - Key Inputs_EB'!$E$268:$E$311,'Key Inputs_BY Techs'!$E88,'OMNIA - Key Inputs_EB'!$C$268:$C$311,'Key Inputs_BY Techs'!$C88)*X36</f>
        <v>11.050253781357105</v>
      </c>
      <c r="Y88" s="46">
        <f>SUMIFS('OMNIA - Key Inputs_EB'!X$268:X$311,'OMNIA - Key Inputs_EB'!$E$268:$E$311,'Key Inputs_BY Techs'!$E88,'OMNIA - Key Inputs_EB'!$C$268:$C$311,'Key Inputs_BY Techs'!$C88)*Y36</f>
        <v>2.3322810344580447E-2</v>
      </c>
      <c r="Z88" s="46">
        <f>SUMIFS('OMNIA - Key Inputs_EB'!Y$268:Y$311,'OMNIA - Key Inputs_EB'!$E$268:$E$311,'Key Inputs_BY Techs'!$E88,'OMNIA - Key Inputs_EB'!$C$268:$C$311,'Key Inputs_BY Techs'!$C88)*Z36</f>
        <v>291.3183667321519</v>
      </c>
      <c r="AA88" s="46">
        <f>SUMIFS('OMNIA - Key Inputs_EB'!Z$268:Z$311,'OMNIA - Key Inputs_EB'!$E$268:$E$311,'Key Inputs_BY Techs'!$E88,'OMNIA - Key Inputs_EB'!$C$268:$C$311,'Key Inputs_BY Techs'!$C88)*AA36</f>
        <v>776.81476005265836</v>
      </c>
      <c r="AB88" s="46">
        <f>SUMIFS('OMNIA - Key Inputs_EB'!AA$268:AA$311,'OMNIA - Key Inputs_EB'!$E$268:$E$311,'Key Inputs_BY Techs'!$E88,'OMNIA - Key Inputs_EB'!$C$268:$C$311,'Key Inputs_BY Techs'!$C88)*AB36</f>
        <v>14.350518109269759</v>
      </c>
      <c r="AC88" s="46">
        <f>SUMIFS('OMNIA - Key Inputs_EB'!AB$268:AB$311,'OMNIA - Key Inputs_EB'!$E$268:$E$311,'Key Inputs_BY Techs'!$E88,'OMNIA - Key Inputs_EB'!$C$268:$C$311,'Key Inputs_BY Techs'!$C88)*AC36</f>
        <v>135.71662264435295</v>
      </c>
      <c r="AD88" s="46">
        <f>SUMIFS('OMNIA - Key Inputs_EB'!AC$268:AC$311,'OMNIA - Key Inputs_EB'!$E$268:$E$311,'Key Inputs_BY Techs'!$E88,'OMNIA - Key Inputs_EB'!$C$268:$C$311,'Key Inputs_BY Techs'!$C88)*AD36</f>
        <v>26.316541618739056</v>
      </c>
      <c r="AE88" s="46">
        <f>SUMIFS('OMNIA - Key Inputs_EB'!AD$268:AD$311,'OMNIA - Key Inputs_EB'!$E$268:$E$311,'Key Inputs_BY Techs'!$E88,'OMNIA - Key Inputs_EB'!$C$268:$C$311,'Key Inputs_BY Techs'!$C88)*AE36</f>
        <v>112.10844420472854</v>
      </c>
      <c r="AF88" s="46">
        <f>SUMIFS('OMNIA - Key Inputs_EB'!AE$268:AE$311,'OMNIA - Key Inputs_EB'!$E$268:$E$311,'Key Inputs_BY Techs'!$E88,'OMNIA - Key Inputs_EB'!$C$268:$C$311,'Key Inputs_BY Techs'!$C88)*AF36</f>
        <v>2.9830197031902279</v>
      </c>
      <c r="AG88" s="46">
        <f>SUMIFS('OMNIA - Key Inputs_EB'!AF$268:AF$311,'OMNIA - Key Inputs_EB'!$E$268:$E$311,'Key Inputs_BY Techs'!$E88,'OMNIA - Key Inputs_EB'!$C$268:$C$311,'Key Inputs_BY Techs'!$C88)*AG36</f>
        <v>10.033252026207052</v>
      </c>
      <c r="AH88" s="46">
        <f>SUMIFS('OMNIA - Key Inputs_EB'!AG$268:AG$311,'OMNIA - Key Inputs_EB'!$E$268:$E$311,'Key Inputs_BY Techs'!$E88,'OMNIA - Key Inputs_EB'!$C$268:$C$311,'Key Inputs_BY Techs'!$C88)*AH36</f>
        <v>369.54476279088613</v>
      </c>
      <c r="AI88" s="46">
        <f>SUMIFS('OMNIA - Key Inputs_EB'!AH$268:AH$311,'OMNIA - Key Inputs_EB'!$E$268:$E$311,'Key Inputs_BY Techs'!$E88,'OMNIA - Key Inputs_EB'!$C$268:$C$311,'Key Inputs_BY Techs'!$C88)*AI36</f>
        <v>4.2583707608137358</v>
      </c>
      <c r="AJ88" s="46">
        <f>SUMIFS('OMNIA - Key Inputs_EB'!AI$268:AI$311,'OMNIA - Key Inputs_EB'!$E$268:$E$311,'Key Inputs_BY Techs'!$E88,'OMNIA - Key Inputs_EB'!$C$268:$C$311,'Key Inputs_BY Techs'!$C88)*AJ36</f>
        <v>2.4850531470049853</v>
      </c>
      <c r="AK88" s="341"/>
      <c r="AM88" s="221"/>
      <c r="AS88" s="341"/>
    </row>
    <row r="89" spans="1:45" x14ac:dyDescent="0.25">
      <c r="A89" s="341" t="s">
        <v>74</v>
      </c>
      <c r="B89" s="46" t="s">
        <v>119</v>
      </c>
      <c r="C89" s="46" t="s">
        <v>118</v>
      </c>
      <c r="D89" s="46" t="s">
        <v>18</v>
      </c>
      <c r="E89" s="46" t="s">
        <v>104</v>
      </c>
      <c r="F89" s="46" t="s">
        <v>12</v>
      </c>
      <c r="G89" s="46"/>
      <c r="H89" s="46"/>
      <c r="I89" s="46">
        <f>SUMIFS('OMNIA - Key Inputs_EB'!H$268:H$311,'OMNIA - Key Inputs_EB'!$E$268:$E$311,'Key Inputs_BY Techs'!$E89,'OMNIA - Key Inputs_EB'!$C$268:$C$311,'Key Inputs_BY Techs'!$C89)*I37</f>
        <v>2.2632434993020013E-2</v>
      </c>
      <c r="J89" s="46">
        <f>SUMIFS('OMNIA - Key Inputs_EB'!I$268:I$311,'OMNIA - Key Inputs_EB'!$E$268:$E$311,'Key Inputs_BY Techs'!$E89,'OMNIA - Key Inputs_EB'!$C$268:$C$311,'Key Inputs_BY Techs'!$C89)*J37</f>
        <v>1.2990814704513727E-2</v>
      </c>
      <c r="K89" s="46">
        <f>SUMIFS('OMNIA - Key Inputs_EB'!J$268:J$311,'OMNIA - Key Inputs_EB'!$E$268:$E$311,'Key Inputs_BY Techs'!$E89,'OMNIA - Key Inputs_EB'!$C$268:$C$311,'Key Inputs_BY Techs'!$C89)*K37</f>
        <v>0</v>
      </c>
      <c r="L89" s="46">
        <f>SUMIFS('OMNIA - Key Inputs_EB'!K$268:K$311,'OMNIA - Key Inputs_EB'!$E$268:$E$311,'Key Inputs_BY Techs'!$E89,'OMNIA - Key Inputs_EB'!$C$268:$C$311,'Key Inputs_BY Techs'!$C89)*L37</f>
        <v>20.028994533643555</v>
      </c>
      <c r="M89" s="46">
        <f>SUMIFS('OMNIA - Key Inputs_EB'!L$268:L$311,'OMNIA - Key Inputs_EB'!$E$268:$E$311,'Key Inputs_BY Techs'!$E89,'OMNIA - Key Inputs_EB'!$C$268:$C$311,'Key Inputs_BY Techs'!$C89)*M37</f>
        <v>2.8315916426244769E-2</v>
      </c>
      <c r="N89" s="46">
        <f>SUMIFS('OMNIA - Key Inputs_EB'!M$268:M$311,'OMNIA - Key Inputs_EB'!$E$268:$E$311,'Key Inputs_BY Techs'!$E89,'OMNIA - Key Inputs_EB'!$C$268:$C$311,'Key Inputs_BY Techs'!$C89)*N37</f>
        <v>33.494249485714285</v>
      </c>
      <c r="O89" s="46">
        <f>SUMIFS('OMNIA - Key Inputs_EB'!N$268:N$311,'OMNIA - Key Inputs_EB'!$E$268:$E$311,'Key Inputs_BY Techs'!$E89,'OMNIA - Key Inputs_EB'!$C$268:$C$311,'Key Inputs_BY Techs'!$C89)*O37</f>
        <v>7.1314697142857142</v>
      </c>
      <c r="P89" s="46">
        <f>SUMIFS('OMNIA - Key Inputs_EB'!O$268:O$311,'OMNIA - Key Inputs_EB'!$E$268:$E$311,'Key Inputs_BY Techs'!$E89,'OMNIA - Key Inputs_EB'!$C$268:$C$311,'Key Inputs_BY Techs'!$C89)*P37</f>
        <v>1.6390628571428572E-2</v>
      </c>
      <c r="Q89" s="46">
        <f>SUMIFS('OMNIA - Key Inputs_EB'!P$268:P$311,'OMNIA - Key Inputs_EB'!$E$268:$E$311,'Key Inputs_BY Techs'!$E89,'OMNIA - Key Inputs_EB'!$C$268:$C$311,'Key Inputs_BY Techs'!$C89)*Q37</f>
        <v>0</v>
      </c>
      <c r="R89" s="46">
        <f>SUMIFS('OMNIA - Key Inputs_EB'!Q$268:Q$311,'OMNIA - Key Inputs_EB'!$E$268:$E$311,'Key Inputs_BY Techs'!$E89,'OMNIA - Key Inputs_EB'!$C$268:$C$311,'Key Inputs_BY Techs'!$C89)*R37</f>
        <v>0</v>
      </c>
      <c r="S89" s="46">
        <f>SUMIFS('OMNIA - Key Inputs_EB'!R$268:R$311,'OMNIA - Key Inputs_EB'!$E$268:$E$311,'Key Inputs_BY Techs'!$E89,'OMNIA - Key Inputs_EB'!$C$268:$C$311,'Key Inputs_BY Techs'!$C89)*S37</f>
        <v>0</v>
      </c>
      <c r="T89" s="46">
        <f>SUMIFS('OMNIA - Key Inputs_EB'!S$268:S$311,'OMNIA - Key Inputs_EB'!$E$268:$E$311,'Key Inputs_BY Techs'!$E89,'OMNIA - Key Inputs_EB'!$C$268:$C$311,'Key Inputs_BY Techs'!$C89)*T37</f>
        <v>221.4738843428571</v>
      </c>
      <c r="U89" s="46">
        <f>SUMIFS('OMNIA - Key Inputs_EB'!T$268:T$311,'OMNIA - Key Inputs_EB'!$E$268:$E$311,'Key Inputs_BY Techs'!$E89,'OMNIA - Key Inputs_EB'!$C$268:$C$311,'Key Inputs_BY Techs'!$C89)*U37</f>
        <v>2.7580108562121914</v>
      </c>
      <c r="V89" s="46">
        <f>SUMIFS('OMNIA - Key Inputs_EB'!U$268:U$311,'OMNIA - Key Inputs_EB'!$E$268:$E$311,'Key Inputs_BY Techs'!$E89,'OMNIA - Key Inputs_EB'!$C$268:$C$311,'Key Inputs_BY Techs'!$C89)*V37</f>
        <v>1.9257867892042813</v>
      </c>
      <c r="W89" s="46">
        <f>SUMIFS('OMNIA - Key Inputs_EB'!V$268:V$311,'OMNIA - Key Inputs_EB'!$E$268:$E$311,'Key Inputs_BY Techs'!$E89,'OMNIA - Key Inputs_EB'!$C$268:$C$311,'Key Inputs_BY Techs'!$C89)*W37</f>
        <v>24.593946522661703</v>
      </c>
      <c r="X89" s="46">
        <f>SUMIFS('OMNIA - Key Inputs_EB'!W$268:W$311,'OMNIA - Key Inputs_EB'!$E$268:$E$311,'Key Inputs_BY Techs'!$E89,'OMNIA - Key Inputs_EB'!$C$268:$C$311,'Key Inputs_BY Techs'!$C89)*X37</f>
        <v>0.38018431158678462</v>
      </c>
      <c r="Y89" s="46">
        <f>SUMIFS('OMNIA - Key Inputs_EB'!X$268:X$311,'OMNIA - Key Inputs_EB'!$E$268:$E$311,'Key Inputs_BY Techs'!$E89,'OMNIA - Key Inputs_EB'!$C$268:$C$311,'Key Inputs_BY Techs'!$C89)*Y37</f>
        <v>3.0556831962773381</v>
      </c>
      <c r="Z89" s="46">
        <f>SUMIFS('OMNIA - Key Inputs_EB'!Y$268:Y$311,'OMNIA - Key Inputs_EB'!$E$268:$E$311,'Key Inputs_BY Techs'!$E89,'OMNIA - Key Inputs_EB'!$C$268:$C$311,'Key Inputs_BY Techs'!$C89)*Z37</f>
        <v>8.4673059428571431</v>
      </c>
      <c r="AA89" s="46">
        <f>SUMIFS('OMNIA - Key Inputs_EB'!Z$268:Z$311,'OMNIA - Key Inputs_EB'!$E$268:$E$311,'Key Inputs_BY Techs'!$E89,'OMNIA - Key Inputs_EB'!$C$268:$C$311,'Key Inputs_BY Techs'!$C89)*AA37</f>
        <v>1.4689714285714286</v>
      </c>
      <c r="AB89" s="46">
        <f>SUMIFS('OMNIA - Key Inputs_EB'!AA$268:AA$311,'OMNIA - Key Inputs_EB'!$E$268:$E$311,'Key Inputs_BY Techs'!$E89,'OMNIA - Key Inputs_EB'!$C$268:$C$311,'Key Inputs_BY Techs'!$C89)*AB37</f>
        <v>0</v>
      </c>
      <c r="AC89" s="46">
        <f>SUMIFS('OMNIA - Key Inputs_EB'!AB$268:AB$311,'OMNIA - Key Inputs_EB'!$E$268:$E$311,'Key Inputs_BY Techs'!$E89,'OMNIA - Key Inputs_EB'!$C$268:$C$311,'Key Inputs_BY Techs'!$C89)*AC37</f>
        <v>0.47751393113075852</v>
      </c>
      <c r="AD89" s="46">
        <f>SUMIFS('OMNIA - Key Inputs_EB'!AC$268:AC$311,'OMNIA - Key Inputs_EB'!$E$268:$E$311,'Key Inputs_BY Techs'!$E89,'OMNIA - Key Inputs_EB'!$C$268:$C$311,'Key Inputs_BY Techs'!$C89)*AD37</f>
        <v>0</v>
      </c>
      <c r="AE89" s="46">
        <f>SUMIFS('OMNIA - Key Inputs_EB'!AD$268:AD$311,'OMNIA - Key Inputs_EB'!$E$268:$E$311,'Key Inputs_BY Techs'!$E89,'OMNIA - Key Inputs_EB'!$C$268:$C$311,'Key Inputs_BY Techs'!$C89)*AE37</f>
        <v>0</v>
      </c>
      <c r="AF89" s="46">
        <f>SUMIFS('OMNIA - Key Inputs_EB'!AE$268:AE$311,'OMNIA - Key Inputs_EB'!$E$268:$E$311,'Key Inputs_BY Techs'!$E89,'OMNIA - Key Inputs_EB'!$C$268:$C$311,'Key Inputs_BY Techs'!$C89)*AF37</f>
        <v>0</v>
      </c>
      <c r="AG89" s="46">
        <f>SUMIFS('OMNIA - Key Inputs_EB'!AF$268:AF$311,'OMNIA - Key Inputs_EB'!$E$268:$E$311,'Key Inputs_BY Techs'!$E89,'OMNIA - Key Inputs_EB'!$C$268:$C$311,'Key Inputs_BY Techs'!$C89)*AG37</f>
        <v>0</v>
      </c>
      <c r="AH89" s="46">
        <f>SUMIFS('OMNIA - Key Inputs_EB'!AG$268:AG$311,'OMNIA - Key Inputs_EB'!$E$268:$E$311,'Key Inputs_BY Techs'!$E89,'OMNIA - Key Inputs_EB'!$C$268:$C$311,'Key Inputs_BY Techs'!$C89)*AH37</f>
        <v>11.793521142857141</v>
      </c>
      <c r="AI89" s="46">
        <f>SUMIFS('OMNIA - Key Inputs_EB'!AH$268:AH$311,'OMNIA - Key Inputs_EB'!$E$268:$E$311,'Key Inputs_BY Techs'!$E89,'OMNIA - Key Inputs_EB'!$C$268:$C$311,'Key Inputs_BY Techs'!$C89)*AI37</f>
        <v>1.8695991986970686</v>
      </c>
      <c r="AJ89" s="46">
        <f>SUMIFS('OMNIA - Key Inputs_EB'!AI$268:AI$311,'OMNIA - Key Inputs_EB'!$E$268:$E$311,'Key Inputs_BY Techs'!$E89,'OMNIA - Key Inputs_EB'!$C$268:$C$311,'Key Inputs_BY Techs'!$C89)*AJ37</f>
        <v>0</v>
      </c>
      <c r="AK89" s="341"/>
    </row>
    <row r="90" spans="1:45" x14ac:dyDescent="0.25">
      <c r="A90" s="341" t="s">
        <v>74</v>
      </c>
      <c r="B90" s="48" t="s">
        <v>119</v>
      </c>
      <c r="C90" s="46" t="s">
        <v>118</v>
      </c>
      <c r="D90" s="48" t="s">
        <v>474</v>
      </c>
      <c r="E90" s="48" t="s">
        <v>475</v>
      </c>
      <c r="F90" s="48" t="s">
        <v>12</v>
      </c>
      <c r="G90" s="48"/>
      <c r="H90" s="48"/>
      <c r="I90" s="48">
        <f>SUMIFS('OMNIA - Key Inputs_EB'!H$268:H$311,'OMNIA - Key Inputs_EB'!$E$268:$E$311,'Key Inputs_BY Techs'!$E90,'OMNIA - Key Inputs_EB'!$C$268:$C$311,'Key Inputs_BY Techs'!$C90)*I38</f>
        <v>6.4263494330491762</v>
      </c>
      <c r="J90" s="48">
        <f>SUMIFS('OMNIA - Key Inputs_EB'!I$268:I$311,'OMNIA - Key Inputs_EB'!$E$268:$E$311,'Key Inputs_BY Techs'!$E90,'OMNIA - Key Inputs_EB'!$C$268:$C$311,'Key Inputs_BY Techs'!$C90)*J38</f>
        <v>2.9579916867066225</v>
      </c>
      <c r="K90" s="48">
        <f>SUMIFS('OMNIA - Key Inputs_EB'!J$268:J$311,'OMNIA - Key Inputs_EB'!$E$268:$E$311,'Key Inputs_BY Techs'!$E90,'OMNIA - Key Inputs_EB'!$C$268:$C$311,'Key Inputs_BY Techs'!$C90)*K38</f>
        <v>8.727733277370362</v>
      </c>
      <c r="L90" s="48">
        <f>SUMIFS('OMNIA - Key Inputs_EB'!K$268:K$311,'OMNIA - Key Inputs_EB'!$E$268:$E$311,'Key Inputs_BY Techs'!$E90,'OMNIA - Key Inputs_EB'!$C$268:$C$311,'Key Inputs_BY Techs'!$C90)*L38</f>
        <v>15.181910094181591</v>
      </c>
      <c r="M90" s="48">
        <f>SUMIFS('OMNIA - Key Inputs_EB'!L$268:L$311,'OMNIA - Key Inputs_EB'!$E$268:$E$311,'Key Inputs_BY Techs'!$E90,'OMNIA - Key Inputs_EB'!$C$268:$C$311,'Key Inputs_BY Techs'!$C90)*M38</f>
        <v>2.1523705579629501E-2</v>
      </c>
      <c r="N90" s="48">
        <f>SUMIFS('OMNIA - Key Inputs_EB'!M$268:M$311,'OMNIA - Key Inputs_EB'!$E$268:$E$311,'Key Inputs_BY Techs'!$E90,'OMNIA - Key Inputs_EB'!$C$268:$C$311,'Key Inputs_BY Techs'!$C90)*N38</f>
        <v>64.459394393924057</v>
      </c>
      <c r="O90" s="48">
        <f>SUMIFS('OMNIA - Key Inputs_EB'!N$268:N$311,'OMNIA - Key Inputs_EB'!$E$268:$E$311,'Key Inputs_BY Techs'!$E90,'OMNIA - Key Inputs_EB'!$C$268:$C$311,'Key Inputs_BY Techs'!$C90)*O38</f>
        <v>15.327955716455696</v>
      </c>
      <c r="P90" s="48">
        <f>SUMIFS('OMNIA - Key Inputs_EB'!O$268:O$311,'OMNIA - Key Inputs_EB'!$E$268:$E$311,'Key Inputs_BY Techs'!$E90,'OMNIA - Key Inputs_EB'!$C$268:$C$311,'Key Inputs_BY Techs'!$C90)*P38</f>
        <v>14.53262717164557</v>
      </c>
      <c r="Q90" s="48">
        <f>SUMIFS('OMNIA - Key Inputs_EB'!P$268:P$311,'OMNIA - Key Inputs_EB'!$E$268:$E$311,'Key Inputs_BY Techs'!$E90,'OMNIA - Key Inputs_EB'!$C$268:$C$311,'Key Inputs_BY Techs'!$C90)*Q38</f>
        <v>5.1911306955360871E-2</v>
      </c>
      <c r="R90" s="48">
        <f>SUMIFS('OMNIA - Key Inputs_EB'!Q$268:Q$311,'OMNIA - Key Inputs_EB'!$E$268:$E$311,'Key Inputs_BY Techs'!$E90,'OMNIA - Key Inputs_EB'!$C$268:$C$311,'Key Inputs_BY Techs'!$C90)*R38</f>
        <v>0</v>
      </c>
      <c r="S90" s="48">
        <f>SUMIFS('OMNIA - Key Inputs_EB'!R$268:R$311,'OMNIA - Key Inputs_EB'!$E$268:$E$311,'Key Inputs_BY Techs'!$E90,'OMNIA - Key Inputs_EB'!$C$268:$C$311,'Key Inputs_BY Techs'!$C90)*S38</f>
        <v>0.32329420715330637</v>
      </c>
      <c r="T90" s="48">
        <f>SUMIFS('OMNIA - Key Inputs_EB'!S$268:S$311,'OMNIA - Key Inputs_EB'!$E$268:$E$311,'Key Inputs_BY Techs'!$E90,'OMNIA - Key Inputs_EB'!$C$268:$C$311,'Key Inputs_BY Techs'!$C90)*T38</f>
        <v>948.62481886303101</v>
      </c>
      <c r="U90" s="48">
        <f>SUMIFS('OMNIA - Key Inputs_EB'!T$268:T$311,'OMNIA - Key Inputs_EB'!$E$268:$E$311,'Key Inputs_BY Techs'!$E90,'OMNIA - Key Inputs_EB'!$C$268:$C$311,'Key Inputs_BY Techs'!$C90)*U38</f>
        <v>0.34890250729963385</v>
      </c>
      <c r="V90" s="48">
        <f>SUMIFS('OMNIA - Key Inputs_EB'!U$268:U$311,'OMNIA - Key Inputs_EB'!$E$268:$E$311,'Key Inputs_BY Techs'!$E90,'OMNIA - Key Inputs_EB'!$C$268:$C$311,'Key Inputs_BY Techs'!$C90)*V38</f>
        <v>0</v>
      </c>
      <c r="W90" s="48">
        <f>SUMIFS('OMNIA - Key Inputs_EB'!V$268:V$311,'OMNIA - Key Inputs_EB'!$E$268:$E$311,'Key Inputs_BY Techs'!$E90,'OMNIA - Key Inputs_EB'!$C$268:$C$311,'Key Inputs_BY Techs'!$C90)*W38</f>
        <v>6.0956131432923408</v>
      </c>
      <c r="X90" s="48">
        <f>SUMIFS('OMNIA - Key Inputs_EB'!W$268:W$311,'OMNIA - Key Inputs_EB'!$E$268:$E$311,'Key Inputs_BY Techs'!$E90,'OMNIA - Key Inputs_EB'!$C$268:$C$311,'Key Inputs_BY Techs'!$C90)*X38</f>
        <v>23.900279678396174</v>
      </c>
      <c r="Y90" s="48">
        <f>SUMIFS('OMNIA - Key Inputs_EB'!X$268:X$311,'OMNIA - Key Inputs_EB'!$E$268:$E$311,'Key Inputs_BY Techs'!$E90,'OMNIA - Key Inputs_EB'!$C$268:$C$311,'Key Inputs_BY Techs'!$C90)*Y38</f>
        <v>0.34565001663961792</v>
      </c>
      <c r="Z90" s="48">
        <f>SUMIFS('OMNIA - Key Inputs_EB'!Y$268:Y$311,'OMNIA - Key Inputs_EB'!$E$268:$E$311,'Key Inputs_BY Techs'!$E90,'OMNIA - Key Inputs_EB'!$C$268:$C$311,'Key Inputs_BY Techs'!$C90)*Z38</f>
        <v>538.76653449721516</v>
      </c>
      <c r="AA90" s="48">
        <f>SUMIFS('OMNIA - Key Inputs_EB'!Z$268:Z$311,'OMNIA - Key Inputs_EB'!$E$268:$E$311,'Key Inputs_BY Techs'!$E90,'OMNIA - Key Inputs_EB'!$C$268:$C$311,'Key Inputs_BY Techs'!$C90)*AA38</f>
        <v>69.16292986329114</v>
      </c>
      <c r="AB90" s="48">
        <f>SUMIFS('OMNIA - Key Inputs_EB'!AA$268:AA$311,'OMNIA - Key Inputs_EB'!$E$268:$E$311,'Key Inputs_BY Techs'!$E90,'OMNIA - Key Inputs_EB'!$C$268:$C$311,'Key Inputs_BY Techs'!$C90)*AB38</f>
        <v>21.816800814870454</v>
      </c>
      <c r="AC90" s="48">
        <f>SUMIFS('OMNIA - Key Inputs_EB'!AB$268:AB$311,'OMNIA - Key Inputs_EB'!$E$268:$E$311,'Key Inputs_BY Techs'!$E90,'OMNIA - Key Inputs_EB'!$C$268:$C$311,'Key Inputs_BY Techs'!$C90)*AC38</f>
        <v>7.8740315912205645</v>
      </c>
      <c r="AD90" s="48">
        <f>SUMIFS('OMNIA - Key Inputs_EB'!AC$268:AC$311,'OMNIA - Key Inputs_EB'!$E$268:$E$311,'Key Inputs_BY Techs'!$E90,'OMNIA - Key Inputs_EB'!$C$268:$C$311,'Key Inputs_BY Techs'!$C90)*AD38</f>
        <v>16.44817525691769</v>
      </c>
      <c r="AE90" s="48">
        <f>SUMIFS('OMNIA - Key Inputs_EB'!AD$268:AD$311,'OMNIA - Key Inputs_EB'!$E$268:$E$311,'Key Inputs_BY Techs'!$E90,'OMNIA - Key Inputs_EB'!$C$268:$C$311,'Key Inputs_BY Techs'!$C90)*AE38</f>
        <v>73.814933958493867</v>
      </c>
      <c r="AF90" s="48">
        <f>SUMIFS('OMNIA - Key Inputs_EB'!AE$268:AE$311,'OMNIA - Key Inputs_EB'!$E$268:$E$311,'Key Inputs_BY Techs'!$E90,'OMNIA - Key Inputs_EB'!$C$268:$C$311,'Key Inputs_BY Techs'!$C90)*AF38</f>
        <v>0</v>
      </c>
      <c r="AG90" s="48">
        <f>SUMIFS('OMNIA - Key Inputs_EB'!AF$268:AF$311,'OMNIA - Key Inputs_EB'!$E$268:$E$311,'Key Inputs_BY Techs'!$E90,'OMNIA - Key Inputs_EB'!$C$268:$C$311,'Key Inputs_BY Techs'!$C90)*AG38</f>
        <v>14.26064607005919</v>
      </c>
      <c r="AH90" s="48">
        <f>SUMIFS('OMNIA - Key Inputs_EB'!AG$268:AG$311,'OMNIA - Key Inputs_EB'!$E$268:$E$311,'Key Inputs_BY Techs'!$E90,'OMNIA - Key Inputs_EB'!$C$268:$C$311,'Key Inputs_BY Techs'!$C90)*AH38</f>
        <v>74.676288959999994</v>
      </c>
      <c r="AI90" s="48">
        <f>SUMIFS('OMNIA - Key Inputs_EB'!AH$268:AH$311,'OMNIA - Key Inputs_EB'!$E$268:$E$311,'Key Inputs_BY Techs'!$E90,'OMNIA - Key Inputs_EB'!$C$268:$C$311,'Key Inputs_BY Techs'!$C90)*AI38</f>
        <v>14.107741094553726</v>
      </c>
      <c r="AJ90" s="48">
        <f>SUMIFS('OMNIA - Key Inputs_EB'!AI$268:AI$311,'OMNIA - Key Inputs_EB'!$E$268:$E$311,'Key Inputs_BY Techs'!$E90,'OMNIA - Key Inputs_EB'!$C$268:$C$311,'Key Inputs_BY Techs'!$C90)*AJ38</f>
        <v>5.8067798915798088</v>
      </c>
      <c r="AK90" s="341"/>
      <c r="AM90" s="406"/>
    </row>
    <row r="91" spans="1:45" x14ac:dyDescent="0.25">
      <c r="A91" s="341" t="s">
        <v>74</v>
      </c>
      <c r="B91" s="61" t="s">
        <v>94</v>
      </c>
      <c r="C91" s="61" t="s">
        <v>125</v>
      </c>
      <c r="D91" s="46" t="s">
        <v>19</v>
      </c>
      <c r="E91" s="46" t="s">
        <v>105</v>
      </c>
      <c r="F91" s="236" t="s">
        <v>178</v>
      </c>
      <c r="G91" s="61"/>
      <c r="H91" s="61"/>
      <c r="I91" s="48">
        <f>SUMIFS('OMNIA - Key Inputs_EB'!H$268:H$311,'OMNIA - Key Inputs_EB'!$E$268:$E$311,'Key Inputs_BY Techs'!$E91,'OMNIA - Key Inputs_EB'!$C$268:$C$311,'Key Inputs_BY Techs'!$C91)*I39</f>
        <v>462.04978003849328</v>
      </c>
      <c r="J91" s="48">
        <f>SUMIFS('OMNIA - Key Inputs_EB'!I$268:I$311,'OMNIA - Key Inputs_EB'!$E$268:$E$311,'Key Inputs_BY Techs'!$E91,'OMNIA - Key Inputs_EB'!$C$268:$C$311,'Key Inputs_BY Techs'!$C91)*J39</f>
        <v>2365.0595683255428</v>
      </c>
      <c r="K91" s="48">
        <f>SUMIFS('OMNIA - Key Inputs_EB'!J$268:J$311,'OMNIA - Key Inputs_EB'!$E$268:$E$311,'Key Inputs_BY Techs'!$E91,'OMNIA - Key Inputs_EB'!$C$268:$C$311,'Key Inputs_BY Techs'!$C91)*K39</f>
        <v>453.9700508660984</v>
      </c>
      <c r="L91" s="48">
        <f>SUMIFS('OMNIA - Key Inputs_EB'!K$268:K$311,'OMNIA - Key Inputs_EB'!$E$268:$E$311,'Key Inputs_BY Techs'!$E91,'OMNIA - Key Inputs_EB'!$C$268:$C$311,'Key Inputs_BY Techs'!$C91)*L39</f>
        <v>1232.5306777563928</v>
      </c>
      <c r="M91" s="48">
        <f>SUMIFS('OMNIA - Key Inputs_EB'!L$268:L$311,'OMNIA - Key Inputs_EB'!$E$268:$E$311,'Key Inputs_BY Techs'!$E91,'OMNIA - Key Inputs_EB'!$C$268:$C$311,'Key Inputs_BY Techs'!$C91)*M39</f>
        <v>676.48643803139419</v>
      </c>
      <c r="N91" s="48">
        <f>SUMIFS('OMNIA - Key Inputs_EB'!M$268:M$311,'OMNIA - Key Inputs_EB'!$E$268:$E$311,'Key Inputs_BY Techs'!$E91,'OMNIA - Key Inputs_EB'!$C$268:$C$311,'Key Inputs_BY Techs'!$C91)*N39</f>
        <v>556.7600000000001</v>
      </c>
      <c r="O91" s="48">
        <f>SUMIFS('OMNIA - Key Inputs_EB'!N$268:N$311,'OMNIA - Key Inputs_EB'!$E$268:$E$311,'Key Inputs_BY Techs'!$E91,'OMNIA - Key Inputs_EB'!$C$268:$C$311,'Key Inputs_BY Techs'!$C91)*O39</f>
        <v>961.95500000000004</v>
      </c>
      <c r="P91" s="48">
        <f>SUMIFS('OMNIA - Key Inputs_EB'!O$268:O$311,'OMNIA - Key Inputs_EB'!$E$268:$E$311,'Key Inputs_BY Techs'!$E91,'OMNIA - Key Inputs_EB'!$C$268:$C$311,'Key Inputs_BY Techs'!$C91)*P39</f>
        <v>885.56750000000011</v>
      </c>
      <c r="Q91" s="48">
        <f>SUMIFS('OMNIA - Key Inputs_EB'!P$268:P$311,'OMNIA - Key Inputs_EB'!$E$268:$E$311,'Key Inputs_BY Techs'!$E91,'OMNIA - Key Inputs_EB'!$C$268:$C$311,'Key Inputs_BY Techs'!$C91)*Q39</f>
        <v>800.96802861466506</v>
      </c>
      <c r="R91" s="48">
        <f>SUMIFS('OMNIA - Key Inputs_EB'!Q$268:Q$311,'OMNIA - Key Inputs_EB'!$E$268:$E$311,'Key Inputs_BY Techs'!$E91,'OMNIA - Key Inputs_EB'!$C$268:$C$311,'Key Inputs_BY Techs'!$C91)*R39</f>
        <v>1293.9243443518305</v>
      </c>
      <c r="S91" s="48">
        <f>SUMIFS('OMNIA - Key Inputs_EB'!R$268:R$311,'OMNIA - Key Inputs_EB'!$E$268:$E$311,'Key Inputs_BY Techs'!$E91,'OMNIA - Key Inputs_EB'!$C$268:$C$311,'Key Inputs_BY Techs'!$C91)*S39</f>
        <v>199.1052874013314</v>
      </c>
      <c r="T91" s="48">
        <f>SUMIFS('OMNIA - Key Inputs_EB'!S$268:S$311,'OMNIA - Key Inputs_EB'!$E$268:$E$311,'Key Inputs_BY Techs'!$E91,'OMNIA - Key Inputs_EB'!$C$268:$C$311,'Key Inputs_BY Techs'!$C91)*T39</f>
        <v>7635.0949501635923</v>
      </c>
      <c r="U91" s="48">
        <f>SUMIFS('OMNIA - Key Inputs_EB'!T$268:T$311,'OMNIA - Key Inputs_EB'!$E$268:$E$311,'Key Inputs_BY Techs'!$E91,'OMNIA - Key Inputs_EB'!$C$268:$C$311,'Key Inputs_BY Techs'!$C91)*U39</f>
        <v>127.57481651701559</v>
      </c>
      <c r="V91" s="48">
        <f>SUMIFS('OMNIA - Key Inputs_EB'!U$268:U$311,'OMNIA - Key Inputs_EB'!$E$268:$E$311,'Key Inputs_BY Techs'!$E91,'OMNIA - Key Inputs_EB'!$C$268:$C$311,'Key Inputs_BY Techs'!$C91)*V39</f>
        <v>1383.9164004065369</v>
      </c>
      <c r="W91" s="48">
        <f>SUMIFS('OMNIA - Key Inputs_EB'!V$268:V$311,'OMNIA - Key Inputs_EB'!$E$268:$E$311,'Key Inputs_BY Techs'!$E91,'OMNIA - Key Inputs_EB'!$C$268:$C$311,'Key Inputs_BY Techs'!$C91)*W39</f>
        <v>181.74704056627027</v>
      </c>
      <c r="X91" s="48">
        <f>SUMIFS('OMNIA - Key Inputs_EB'!W$268:W$311,'OMNIA - Key Inputs_EB'!$E$268:$E$311,'Key Inputs_BY Techs'!$E91,'OMNIA - Key Inputs_EB'!$C$268:$C$311,'Key Inputs_BY Techs'!$C91)*X39</f>
        <v>2235.9452584167957</v>
      </c>
      <c r="Y91" s="48">
        <f>SUMIFS('OMNIA - Key Inputs_EB'!X$268:X$311,'OMNIA - Key Inputs_EB'!$E$268:$E$311,'Key Inputs_BY Techs'!$E91,'OMNIA - Key Inputs_EB'!$C$268:$C$311,'Key Inputs_BY Techs'!$C91)*Y39</f>
        <v>1349.65446587205</v>
      </c>
      <c r="Z91" s="48">
        <f>SUMIFS('OMNIA - Key Inputs_EB'!Y$268:Y$311,'OMNIA - Key Inputs_EB'!$E$268:$E$311,'Key Inputs_BY Techs'!$E91,'OMNIA - Key Inputs_EB'!$C$268:$C$311,'Key Inputs_BY Techs'!$C91)*Z39</f>
        <v>1834.4</v>
      </c>
      <c r="AA91" s="48">
        <f>SUMIFS('OMNIA - Key Inputs_EB'!Z$268:Z$311,'OMNIA - Key Inputs_EB'!$E$268:$E$311,'Key Inputs_BY Techs'!$E91,'OMNIA - Key Inputs_EB'!$C$268:$C$311,'Key Inputs_BY Techs'!$C91)*AA39</f>
        <v>2791.36</v>
      </c>
      <c r="AB91" s="48">
        <f>SUMIFS('OMNIA - Key Inputs_EB'!AA$268:AA$311,'OMNIA - Key Inputs_EB'!$E$268:$E$311,'Key Inputs_BY Techs'!$E91,'OMNIA - Key Inputs_EB'!$C$268:$C$311,'Key Inputs_BY Techs'!$C91)*AB39</f>
        <v>2268.56</v>
      </c>
      <c r="AC91" s="48">
        <f>SUMIFS('OMNIA - Key Inputs_EB'!AB$268:AB$311,'OMNIA - Key Inputs_EB'!$E$268:$E$311,'Key Inputs_BY Techs'!$E91,'OMNIA - Key Inputs_EB'!$C$268:$C$311,'Key Inputs_BY Techs'!$C91)*AC39</f>
        <v>3790.1585561841093</v>
      </c>
      <c r="AD91" s="48">
        <f>SUMIFS('OMNIA - Key Inputs_EB'!AC$268:AC$311,'OMNIA - Key Inputs_EB'!$E$268:$E$311,'Key Inputs_BY Techs'!$E91,'OMNIA - Key Inputs_EB'!$C$268:$C$311,'Key Inputs_BY Techs'!$C91)*AD39</f>
        <v>822.95630438918886</v>
      </c>
      <c r="AE91" s="48">
        <f>SUMIFS('OMNIA - Key Inputs_EB'!AD$268:AD$311,'OMNIA - Key Inputs_EB'!$E$268:$E$311,'Key Inputs_BY Techs'!$E91,'OMNIA - Key Inputs_EB'!$C$268:$C$311,'Key Inputs_BY Techs'!$C91)*AE39</f>
        <v>2852.7391617180224</v>
      </c>
      <c r="AF91" s="48">
        <f>SUMIFS('OMNIA - Key Inputs_EB'!AE$268:AE$311,'OMNIA - Key Inputs_EB'!$E$268:$E$311,'Key Inputs_BY Techs'!$E91,'OMNIA - Key Inputs_EB'!$C$268:$C$311,'Key Inputs_BY Techs'!$C91)*AF39</f>
        <v>338.62615734482227</v>
      </c>
      <c r="AG91" s="48">
        <f>SUMIFS('OMNIA - Key Inputs_EB'!AF$268:AF$311,'OMNIA - Key Inputs_EB'!$E$268:$E$311,'Key Inputs_BY Techs'!$E91,'OMNIA - Key Inputs_EB'!$C$268:$C$311,'Key Inputs_BY Techs'!$C91)*AG39</f>
        <v>331.21122491064068</v>
      </c>
      <c r="AH91" s="48">
        <f>SUMIFS('OMNIA - Key Inputs_EB'!AG$268:AG$311,'OMNIA - Key Inputs_EB'!$E$268:$E$311,'Key Inputs_BY Techs'!$E91,'OMNIA - Key Inputs_EB'!$C$268:$C$311,'Key Inputs_BY Techs'!$C91)*AH39</f>
        <v>1447.8999999999999</v>
      </c>
      <c r="AI91" s="48">
        <f>SUMIFS('OMNIA - Key Inputs_EB'!AH$268:AH$311,'OMNIA - Key Inputs_EB'!$E$268:$E$311,'Key Inputs_BY Techs'!$E91,'OMNIA - Key Inputs_EB'!$C$268:$C$311,'Key Inputs_BY Techs'!$C91)*AI39</f>
        <v>277.0473970248114</v>
      </c>
      <c r="AJ91" s="48">
        <f>SUMIFS('OMNIA - Key Inputs_EB'!AI$268:AI$311,'OMNIA - Key Inputs_EB'!$E$268:$E$311,'Key Inputs_BY Techs'!$E91,'OMNIA - Key Inputs_EB'!$C$268:$C$311,'Key Inputs_BY Techs'!$C91)*AJ39</f>
        <v>7543.5318039918429</v>
      </c>
      <c r="AO91" s="341"/>
      <c r="AP91" s="341"/>
      <c r="AQ91" s="341"/>
      <c r="AR91" s="341"/>
    </row>
    <row r="92" spans="1:45" x14ac:dyDescent="0.25">
      <c r="A92" s="341" t="s">
        <v>74</v>
      </c>
      <c r="B92" s="89" t="s">
        <v>148</v>
      </c>
      <c r="C92" s="89" t="s">
        <v>173</v>
      </c>
      <c r="D92" s="61" t="s">
        <v>19</v>
      </c>
      <c r="E92" s="61" t="s">
        <v>105</v>
      </c>
      <c r="F92" s="48" t="s">
        <v>12</v>
      </c>
      <c r="G92" s="48"/>
      <c r="H92" s="48"/>
      <c r="I92" s="48">
        <f>SUMIFS('OMNIA - Key Inputs_EB'!H$268:H$311,'OMNIA - Key Inputs_EB'!$E$268:$E$311,'Key Inputs_BY Techs'!$E92,'OMNIA - Key Inputs_EB'!$C$268:$C$311,'Key Inputs_BY Techs'!$C92)*I40</f>
        <v>54.068185117604415</v>
      </c>
      <c r="J92" s="48">
        <f>SUMIFS('OMNIA - Key Inputs_EB'!I$268:I$311,'OMNIA - Key Inputs_EB'!$E$268:$E$311,'Key Inputs_BY Techs'!$E92,'OMNIA - Key Inputs_EB'!$C$268:$C$311,'Key Inputs_BY Techs'!$C92)*J40</f>
        <v>276.75476556602592</v>
      </c>
      <c r="K92" s="48">
        <f>SUMIFS('OMNIA - Key Inputs_EB'!J$268:J$311,'OMNIA - Key Inputs_EB'!$E$268:$E$311,'Key Inputs_BY Techs'!$E92,'OMNIA - Key Inputs_EB'!$C$268:$C$311,'Key Inputs_BY Techs'!$C92)*K40</f>
        <v>53.122710600644886</v>
      </c>
      <c r="L92" s="48">
        <f>SUMIFS('OMNIA - Key Inputs_EB'!K$268:K$311,'OMNIA - Key Inputs_EB'!$E$268:$E$311,'Key Inputs_BY Techs'!$E92,'OMNIA - Key Inputs_EB'!$C$268:$C$311,'Key Inputs_BY Techs'!$C92)*L40</f>
        <v>144.22839210638139</v>
      </c>
      <c r="M92" s="48">
        <f>SUMIFS('OMNIA - Key Inputs_EB'!L$268:L$311,'OMNIA - Key Inputs_EB'!$E$268:$E$311,'Key Inputs_BY Techs'!$E92,'OMNIA - Key Inputs_EB'!$C$268:$C$311,'Key Inputs_BY Techs'!$C92)*M40</f>
        <v>111.33582110167598</v>
      </c>
      <c r="N92" s="48">
        <f>SUMIFS('OMNIA - Key Inputs_EB'!M$268:M$311,'OMNIA - Key Inputs_EB'!$E$268:$E$311,'Key Inputs_BY Techs'!$E92,'OMNIA - Key Inputs_EB'!$C$268:$C$311,'Key Inputs_BY Techs'!$C92)*N40</f>
        <v>144.44628262133745</v>
      </c>
      <c r="O92" s="48">
        <f>SUMIFS('OMNIA - Key Inputs_EB'!N$268:N$311,'OMNIA - Key Inputs_EB'!$E$268:$E$311,'Key Inputs_BY Techs'!$E92,'OMNIA - Key Inputs_EB'!$C$268:$C$311,'Key Inputs_BY Techs'!$C92)*O40</f>
        <v>249.57041418027276</v>
      </c>
      <c r="P92" s="48">
        <f>SUMIFS('OMNIA - Key Inputs_EB'!O$268:O$311,'OMNIA - Key Inputs_EB'!$E$268:$E$311,'Key Inputs_BY Techs'!$E92,'OMNIA - Key Inputs_EB'!$C$268:$C$311,'Key Inputs_BY Techs'!$C92)*P40</f>
        <v>229.75237694028172</v>
      </c>
      <c r="Q92" s="48">
        <f>SUMIFS('OMNIA - Key Inputs_EB'!P$268:P$311,'OMNIA - Key Inputs_EB'!$E$268:$E$311,'Key Inputs_BY Techs'!$E92,'OMNIA - Key Inputs_EB'!$C$268:$C$311,'Key Inputs_BY Techs'!$C92)*Q40</f>
        <v>282.4650449855551</v>
      </c>
      <c r="R92" s="48">
        <f>SUMIFS('OMNIA - Key Inputs_EB'!Q$268:Q$311,'OMNIA - Key Inputs_EB'!$E$268:$E$311,'Key Inputs_BY Techs'!$E92,'OMNIA - Key Inputs_EB'!$C$268:$C$311,'Key Inputs_BY Techs'!$C92)*R40</f>
        <v>144.88818951958979</v>
      </c>
      <c r="S92" s="48">
        <f>SUMIFS('OMNIA - Key Inputs_EB'!R$268:R$311,'OMNIA - Key Inputs_EB'!$E$268:$E$311,'Key Inputs_BY Techs'!$E92,'OMNIA - Key Inputs_EB'!$C$268:$C$311,'Key Inputs_BY Techs'!$C92)*S40</f>
        <v>32.684309618515698</v>
      </c>
      <c r="T92" s="48">
        <f>SUMIFS('OMNIA - Key Inputs_EB'!S$268:S$311,'OMNIA - Key Inputs_EB'!$E$268:$E$311,'Key Inputs_BY Techs'!$E92,'OMNIA - Key Inputs_EB'!$C$268:$C$311,'Key Inputs_BY Techs'!$C92)*T40</f>
        <v>1491.8762272545666</v>
      </c>
      <c r="U92" s="48">
        <f>SUMIFS('OMNIA - Key Inputs_EB'!T$268:T$311,'OMNIA - Key Inputs_EB'!$E$268:$E$311,'Key Inputs_BY Techs'!$E92,'OMNIA - Key Inputs_EB'!$C$268:$C$311,'Key Inputs_BY Techs'!$C92)*U40</f>
        <v>173.74644740445746</v>
      </c>
      <c r="V92" s="48">
        <f>SUMIFS('OMNIA - Key Inputs_EB'!U$268:U$311,'OMNIA - Key Inputs_EB'!$E$268:$E$311,'Key Inputs_BY Techs'!$E92,'OMNIA - Key Inputs_EB'!$C$268:$C$311,'Key Inputs_BY Techs'!$C92)*V40</f>
        <v>201.05108935246471</v>
      </c>
      <c r="W92" s="48">
        <f>SUMIFS('OMNIA - Key Inputs_EB'!V$268:V$311,'OMNIA - Key Inputs_EB'!$E$268:$E$311,'Key Inputs_BY Techs'!$E92,'OMNIA - Key Inputs_EB'!$C$268:$C$311,'Key Inputs_BY Techs'!$C92)*W40</f>
        <v>247.52457802243038</v>
      </c>
      <c r="X92" s="48">
        <f>SUMIFS('OMNIA - Key Inputs_EB'!W$268:W$311,'OMNIA - Key Inputs_EB'!$E$268:$E$311,'Key Inputs_BY Techs'!$E92,'OMNIA - Key Inputs_EB'!$C$268:$C$311,'Key Inputs_BY Techs'!$C92)*X40</f>
        <v>646.46658020062557</v>
      </c>
      <c r="Y92" s="48">
        <f>SUMIFS('OMNIA - Key Inputs_EB'!X$268:X$311,'OMNIA - Key Inputs_EB'!$E$268:$E$311,'Key Inputs_BY Techs'!$E92,'OMNIA - Key Inputs_EB'!$C$268:$C$311,'Key Inputs_BY Techs'!$C92)*Y40</f>
        <v>555.94061127950295</v>
      </c>
      <c r="Z92" s="48">
        <f>SUMIFS('OMNIA - Key Inputs_EB'!Y$268:Y$311,'OMNIA - Key Inputs_EB'!$E$268:$E$311,'Key Inputs_BY Techs'!$E92,'OMNIA - Key Inputs_EB'!$C$268:$C$311,'Key Inputs_BY Techs'!$C92)*Z40</f>
        <v>475.91827868485774</v>
      </c>
      <c r="AA92" s="48">
        <f>SUMIFS('OMNIA - Key Inputs_EB'!Z$268:Z$311,'OMNIA - Key Inputs_EB'!$E$268:$E$311,'Key Inputs_BY Techs'!$E92,'OMNIA - Key Inputs_EB'!$C$268:$C$311,'Key Inputs_BY Techs'!$C92)*AA40</f>
        <v>724.19278586445944</v>
      </c>
      <c r="AB92" s="48">
        <f>SUMIFS('OMNIA - Key Inputs_EB'!AA$268:AA$311,'OMNIA - Key Inputs_EB'!$E$268:$E$311,'Key Inputs_BY Techs'!$E92,'OMNIA - Key Inputs_EB'!$C$268:$C$311,'Key Inputs_BY Techs'!$C92)*AB40</f>
        <v>509.55647883023374</v>
      </c>
      <c r="AC92" s="48">
        <f>SUMIFS('OMNIA - Key Inputs_EB'!AB$268:AB$311,'OMNIA - Key Inputs_EB'!$E$268:$E$311,'Key Inputs_BY Techs'!$E92,'OMNIA - Key Inputs_EB'!$C$268:$C$311,'Key Inputs_BY Techs'!$C92)*AC40</f>
        <v>295.20989890184319</v>
      </c>
      <c r="AD92" s="48">
        <f>SUMIFS('OMNIA - Key Inputs_EB'!AC$268:AC$311,'OMNIA - Key Inputs_EB'!$E$268:$E$311,'Key Inputs_BY Techs'!$E92,'OMNIA - Key Inputs_EB'!$C$268:$C$311,'Key Inputs_BY Techs'!$C92)*AD40</f>
        <v>193.41753568531635</v>
      </c>
      <c r="AE92" s="48">
        <f>SUMIFS('OMNIA - Key Inputs_EB'!AD$268:AD$311,'OMNIA - Key Inputs_EB'!$E$268:$E$311,'Key Inputs_BY Techs'!$E92,'OMNIA - Key Inputs_EB'!$C$268:$C$311,'Key Inputs_BY Techs'!$C92)*AE40</f>
        <v>670.47275252606187</v>
      </c>
      <c r="AF92" s="48">
        <f>SUMIFS('OMNIA - Key Inputs_EB'!AE$268:AE$311,'OMNIA - Key Inputs_EB'!$E$268:$E$311,'Key Inputs_BY Techs'!$E92,'OMNIA - Key Inputs_EB'!$C$268:$C$311,'Key Inputs_BY Techs'!$C92)*AF40</f>
        <v>114.6238713293786</v>
      </c>
      <c r="AG92" s="48">
        <f>SUMIFS('OMNIA - Key Inputs_EB'!AF$268:AF$311,'OMNIA - Key Inputs_EB'!$E$268:$E$311,'Key Inputs_BY Techs'!$E92,'OMNIA - Key Inputs_EB'!$C$268:$C$311,'Key Inputs_BY Techs'!$C92)*AG40</f>
        <v>38.757706626340394</v>
      </c>
      <c r="AH92" s="48">
        <f>SUMIFS('OMNIA - Key Inputs_EB'!AG$268:AG$311,'OMNIA - Key Inputs_EB'!$E$268:$E$311,'Key Inputs_BY Techs'!$E92,'OMNIA - Key Inputs_EB'!$C$268:$C$311,'Key Inputs_BY Techs'!$C92)*AH40</f>
        <v>375.64439364795328</v>
      </c>
      <c r="AI92" s="48">
        <f>SUMIFS('OMNIA - Key Inputs_EB'!AH$268:AH$311,'OMNIA - Key Inputs_EB'!$E$268:$E$311,'Key Inputs_BY Techs'!$E92,'OMNIA - Key Inputs_EB'!$C$268:$C$311,'Key Inputs_BY Techs'!$C92)*AI40</f>
        <v>154.93841486337939</v>
      </c>
      <c r="AJ92" s="48">
        <f>SUMIFS('OMNIA - Key Inputs_EB'!AI$268:AI$311,'OMNIA - Key Inputs_EB'!$E$268:$E$311,'Key Inputs_BY Techs'!$E92,'OMNIA - Key Inputs_EB'!$C$268:$C$311,'Key Inputs_BY Techs'!$C92)*AJ40</f>
        <v>2553.4613913164007</v>
      </c>
      <c r="AO92" s="341"/>
      <c r="AP92" s="341"/>
      <c r="AQ92" s="341"/>
      <c r="AR92" s="341"/>
    </row>
    <row r="93" spans="1:45" x14ac:dyDescent="0.25">
      <c r="A93" s="341" t="s">
        <v>74</v>
      </c>
      <c r="B93" s="46" t="s">
        <v>169</v>
      </c>
      <c r="C93" s="46" t="s">
        <v>120</v>
      </c>
      <c r="D93" s="46" t="s">
        <v>22</v>
      </c>
      <c r="E93" s="46" t="s">
        <v>111</v>
      </c>
      <c r="F93" s="46" t="s">
        <v>12</v>
      </c>
      <c r="G93" s="46"/>
      <c r="H93" s="46"/>
      <c r="I93" s="51">
        <f>SUMIFS('OMNIA - Key Inputs_EB'!H$268:H$311,'OMNIA - Key Inputs_EB'!$E$268:$E$311,'Key Inputs_BY Techs'!$E93,'OMNIA - Key Inputs_EB'!$C$268:$C$311,'Key Inputs_BY Techs'!$C93)*I$41</f>
        <v>0</v>
      </c>
      <c r="J93" s="51">
        <f>SUMIFS('OMNIA - Key Inputs_EB'!I$268:I$311,'OMNIA - Key Inputs_EB'!$E$268:$E$311,'Key Inputs_BY Techs'!$E93,'OMNIA - Key Inputs_EB'!$C$268:$C$311,'Key Inputs_BY Techs'!$C93)*J$41</f>
        <v>0</v>
      </c>
      <c r="K93" s="51">
        <f>SUMIFS('OMNIA - Key Inputs_EB'!J$268:J$311,'OMNIA - Key Inputs_EB'!$E$268:$E$311,'Key Inputs_BY Techs'!$E93,'OMNIA - Key Inputs_EB'!$C$268:$C$311,'Key Inputs_BY Techs'!$C93)*K$41</f>
        <v>0</v>
      </c>
      <c r="L93" s="51">
        <f>SUMIFS('OMNIA - Key Inputs_EB'!K$268:K$311,'OMNIA - Key Inputs_EB'!$E$268:$E$311,'Key Inputs_BY Techs'!$E93,'OMNIA - Key Inputs_EB'!$C$268:$C$311,'Key Inputs_BY Techs'!$C93)*L$41</f>
        <v>0</v>
      </c>
      <c r="M93" s="51">
        <f>SUMIFS('OMNIA - Key Inputs_EB'!L$268:L$311,'OMNIA - Key Inputs_EB'!$E$268:$E$311,'Key Inputs_BY Techs'!$E93,'OMNIA - Key Inputs_EB'!$C$268:$C$311,'Key Inputs_BY Techs'!$C93)*M$41</f>
        <v>0</v>
      </c>
      <c r="N93" s="51">
        <f>SUMIFS('OMNIA - Key Inputs_EB'!M$268:M$311,'OMNIA - Key Inputs_EB'!$E$268:$E$311,'Key Inputs_BY Techs'!$E93,'OMNIA - Key Inputs_EB'!$C$268:$C$311,'Key Inputs_BY Techs'!$C93)*N$41</f>
        <v>0</v>
      </c>
      <c r="O93" s="51">
        <f>SUMIFS('OMNIA - Key Inputs_EB'!N$268:N$311,'OMNIA - Key Inputs_EB'!$E$268:$E$311,'Key Inputs_BY Techs'!$E93,'OMNIA - Key Inputs_EB'!$C$268:$C$311,'Key Inputs_BY Techs'!$C93)*O$41</f>
        <v>0</v>
      </c>
      <c r="P93" s="51">
        <f>SUMIFS('OMNIA - Key Inputs_EB'!O$268:O$311,'OMNIA - Key Inputs_EB'!$E$268:$E$311,'Key Inputs_BY Techs'!$E93,'OMNIA - Key Inputs_EB'!$C$268:$C$311,'Key Inputs_BY Techs'!$C93)*P$41</f>
        <v>0</v>
      </c>
      <c r="Q93" s="51">
        <f>SUMIFS('OMNIA - Key Inputs_EB'!P$268:P$311,'OMNIA - Key Inputs_EB'!$E$268:$E$311,'Key Inputs_BY Techs'!$E93,'OMNIA - Key Inputs_EB'!$C$268:$C$311,'Key Inputs_BY Techs'!$C93)*Q$41</f>
        <v>0</v>
      </c>
      <c r="R93" s="51">
        <f>SUMIFS('OMNIA - Key Inputs_EB'!Q$268:Q$311,'OMNIA - Key Inputs_EB'!$E$268:$E$311,'Key Inputs_BY Techs'!$E93,'OMNIA - Key Inputs_EB'!$C$268:$C$311,'Key Inputs_BY Techs'!$C93)*R$41</f>
        <v>0</v>
      </c>
      <c r="S93" s="51">
        <f>SUMIFS('OMNIA - Key Inputs_EB'!R$268:R$311,'OMNIA - Key Inputs_EB'!$E$268:$E$311,'Key Inputs_BY Techs'!$E93,'OMNIA - Key Inputs_EB'!$C$268:$C$311,'Key Inputs_BY Techs'!$C93)*S$41</f>
        <v>0</v>
      </c>
      <c r="T93" s="51">
        <f>SUMIFS('OMNIA - Key Inputs_EB'!S$268:S$311,'OMNIA - Key Inputs_EB'!$E$268:$E$311,'Key Inputs_BY Techs'!$E93,'OMNIA - Key Inputs_EB'!$C$268:$C$311,'Key Inputs_BY Techs'!$C93)*T$41</f>
        <v>0</v>
      </c>
      <c r="U93" s="51">
        <f>SUMIFS('OMNIA - Key Inputs_EB'!T$268:T$311,'OMNIA - Key Inputs_EB'!$E$268:$E$311,'Key Inputs_BY Techs'!$E93,'OMNIA - Key Inputs_EB'!$C$268:$C$311,'Key Inputs_BY Techs'!$C93)*U$41</f>
        <v>0</v>
      </c>
      <c r="V93" s="51">
        <f>SUMIFS('OMNIA - Key Inputs_EB'!U$268:U$311,'OMNIA - Key Inputs_EB'!$E$268:$E$311,'Key Inputs_BY Techs'!$E93,'OMNIA - Key Inputs_EB'!$C$268:$C$311,'Key Inputs_BY Techs'!$C93)*V$41</f>
        <v>0</v>
      </c>
      <c r="W93" s="51">
        <f>SUMIFS('OMNIA - Key Inputs_EB'!V$268:V$311,'OMNIA - Key Inputs_EB'!$E$268:$E$311,'Key Inputs_BY Techs'!$E93,'OMNIA - Key Inputs_EB'!$C$268:$C$311,'Key Inputs_BY Techs'!$C93)*W$41</f>
        <v>0</v>
      </c>
      <c r="X93" s="51">
        <f>SUMIFS('OMNIA - Key Inputs_EB'!W$268:W$311,'OMNIA - Key Inputs_EB'!$E$268:$E$311,'Key Inputs_BY Techs'!$E93,'OMNIA - Key Inputs_EB'!$C$268:$C$311,'Key Inputs_BY Techs'!$C93)*X$41</f>
        <v>0</v>
      </c>
      <c r="Y93" s="51">
        <f>SUMIFS('OMNIA - Key Inputs_EB'!X$268:X$311,'OMNIA - Key Inputs_EB'!$E$268:$E$311,'Key Inputs_BY Techs'!$E93,'OMNIA - Key Inputs_EB'!$C$268:$C$311,'Key Inputs_BY Techs'!$C93)*Y$41</f>
        <v>0</v>
      </c>
      <c r="Z93" s="51">
        <f>SUMIFS('OMNIA - Key Inputs_EB'!Y$268:Y$311,'OMNIA - Key Inputs_EB'!$E$268:$E$311,'Key Inputs_BY Techs'!$E93,'OMNIA - Key Inputs_EB'!$C$268:$C$311,'Key Inputs_BY Techs'!$C93)*Z$41</f>
        <v>0</v>
      </c>
      <c r="AA93" s="51">
        <f>SUMIFS('OMNIA - Key Inputs_EB'!Z$268:Z$311,'OMNIA - Key Inputs_EB'!$E$268:$E$311,'Key Inputs_BY Techs'!$E93,'OMNIA - Key Inputs_EB'!$C$268:$C$311,'Key Inputs_BY Techs'!$C93)*AA$41</f>
        <v>0</v>
      </c>
      <c r="AB93" s="51">
        <f>SUMIFS('OMNIA - Key Inputs_EB'!AA$268:AA$311,'OMNIA - Key Inputs_EB'!$E$268:$E$311,'Key Inputs_BY Techs'!$E93,'OMNIA - Key Inputs_EB'!$C$268:$C$311,'Key Inputs_BY Techs'!$C93)*AB$41</f>
        <v>0</v>
      </c>
      <c r="AC93" s="51">
        <f>SUMIFS('OMNIA - Key Inputs_EB'!AB$268:AB$311,'OMNIA - Key Inputs_EB'!$E$268:$E$311,'Key Inputs_BY Techs'!$E93,'OMNIA - Key Inputs_EB'!$C$268:$C$311,'Key Inputs_BY Techs'!$C93)*AC$41</f>
        <v>0</v>
      </c>
      <c r="AD93" s="51">
        <f>SUMIFS('OMNIA - Key Inputs_EB'!AC$268:AC$311,'OMNIA - Key Inputs_EB'!$E$268:$E$311,'Key Inputs_BY Techs'!$E93,'OMNIA - Key Inputs_EB'!$C$268:$C$311,'Key Inputs_BY Techs'!$C93)*AD$41</f>
        <v>0</v>
      </c>
      <c r="AE93" s="51">
        <f>SUMIFS('OMNIA - Key Inputs_EB'!AD$268:AD$311,'OMNIA - Key Inputs_EB'!$E$268:$E$311,'Key Inputs_BY Techs'!$E93,'OMNIA - Key Inputs_EB'!$C$268:$C$311,'Key Inputs_BY Techs'!$C93)*AE$41</f>
        <v>0</v>
      </c>
      <c r="AF93" s="51">
        <f>SUMIFS('OMNIA - Key Inputs_EB'!AE$268:AE$311,'OMNIA - Key Inputs_EB'!$E$268:$E$311,'Key Inputs_BY Techs'!$E93,'OMNIA - Key Inputs_EB'!$C$268:$C$311,'Key Inputs_BY Techs'!$C93)*AF$41</f>
        <v>0</v>
      </c>
      <c r="AG93" s="51">
        <f>SUMIFS('OMNIA - Key Inputs_EB'!AF$268:AF$311,'OMNIA - Key Inputs_EB'!$E$268:$E$311,'Key Inputs_BY Techs'!$E93,'OMNIA - Key Inputs_EB'!$C$268:$C$311,'Key Inputs_BY Techs'!$C93)*AG$41</f>
        <v>0</v>
      </c>
      <c r="AH93" s="51">
        <f>SUMIFS('OMNIA - Key Inputs_EB'!AG$268:AG$311,'OMNIA - Key Inputs_EB'!$E$268:$E$311,'Key Inputs_BY Techs'!$E93,'OMNIA - Key Inputs_EB'!$C$268:$C$311,'Key Inputs_BY Techs'!$C93)*AH$41</f>
        <v>0</v>
      </c>
      <c r="AI93" s="51">
        <f>SUMIFS('OMNIA - Key Inputs_EB'!AH$268:AH$311,'OMNIA - Key Inputs_EB'!$E$268:$E$311,'Key Inputs_BY Techs'!$E93,'OMNIA - Key Inputs_EB'!$C$268:$C$311,'Key Inputs_BY Techs'!$C93)*AI$41</f>
        <v>0</v>
      </c>
      <c r="AJ93" s="51">
        <f>SUMIFS('OMNIA - Key Inputs_EB'!AI$268:AI$311,'OMNIA - Key Inputs_EB'!$E$268:$E$311,'Key Inputs_BY Techs'!$E93,'OMNIA - Key Inputs_EB'!$C$268:$C$311,'Key Inputs_BY Techs'!$C93)*AJ$41</f>
        <v>0</v>
      </c>
      <c r="AK93" s="341"/>
      <c r="AO93" s="341"/>
      <c r="AP93" s="341"/>
      <c r="AQ93" s="341"/>
      <c r="AR93" s="341"/>
    </row>
    <row r="94" spans="1:45" x14ac:dyDescent="0.25">
      <c r="A94" s="341" t="s">
        <v>74</v>
      </c>
      <c r="B94" s="46" t="s">
        <v>169</v>
      </c>
      <c r="C94" s="46" t="s">
        <v>120</v>
      </c>
      <c r="D94" s="46" t="s">
        <v>115</v>
      </c>
      <c r="E94" s="46" t="s">
        <v>368</v>
      </c>
      <c r="F94" s="46" t="s">
        <v>12</v>
      </c>
      <c r="G94" s="46"/>
      <c r="H94" s="46"/>
      <c r="I94" s="46">
        <f>SUMIFS('OMNIA - Key Inputs_EB'!H$268:H$311,'OMNIA - Key Inputs_EB'!$E$268:$E$311,'Key Inputs_BY Techs'!$E94,'OMNIA - Key Inputs_EB'!$C$268:$C$311,'Key Inputs_BY Techs'!$C94)*I$41</f>
        <v>0</v>
      </c>
      <c r="J94" s="46">
        <f>SUMIFS('OMNIA - Key Inputs_EB'!I$268:I$311,'OMNIA - Key Inputs_EB'!$E$268:$E$311,'Key Inputs_BY Techs'!$E94,'OMNIA - Key Inputs_EB'!$C$268:$C$311,'Key Inputs_BY Techs'!$C94)*J$41</f>
        <v>0</v>
      </c>
      <c r="K94" s="46">
        <f>SUMIFS('OMNIA - Key Inputs_EB'!J$268:J$311,'OMNIA - Key Inputs_EB'!$E$268:$E$311,'Key Inputs_BY Techs'!$E94,'OMNIA - Key Inputs_EB'!$C$268:$C$311,'Key Inputs_BY Techs'!$C94)*K$41</f>
        <v>0</v>
      </c>
      <c r="L94" s="46">
        <f>SUMIFS('OMNIA - Key Inputs_EB'!K$268:K$311,'OMNIA - Key Inputs_EB'!$E$268:$E$311,'Key Inputs_BY Techs'!$E94,'OMNIA - Key Inputs_EB'!$C$268:$C$311,'Key Inputs_BY Techs'!$C94)*L$41</f>
        <v>0</v>
      </c>
      <c r="M94" s="46">
        <f>SUMIFS('OMNIA - Key Inputs_EB'!L$268:L$311,'OMNIA - Key Inputs_EB'!$E$268:$E$311,'Key Inputs_BY Techs'!$E94,'OMNIA - Key Inputs_EB'!$C$268:$C$311,'Key Inputs_BY Techs'!$C94)*M$41</f>
        <v>0</v>
      </c>
      <c r="N94" s="46">
        <f>SUMIFS('OMNIA - Key Inputs_EB'!M$268:M$311,'OMNIA - Key Inputs_EB'!$E$268:$E$311,'Key Inputs_BY Techs'!$E94,'OMNIA - Key Inputs_EB'!$C$268:$C$311,'Key Inputs_BY Techs'!$C94)*N$41</f>
        <v>0</v>
      </c>
      <c r="O94" s="46">
        <f>SUMIFS('OMNIA - Key Inputs_EB'!N$268:N$311,'OMNIA - Key Inputs_EB'!$E$268:$E$311,'Key Inputs_BY Techs'!$E94,'OMNIA - Key Inputs_EB'!$C$268:$C$311,'Key Inputs_BY Techs'!$C94)*O$41</f>
        <v>0</v>
      </c>
      <c r="P94" s="46">
        <f>SUMIFS('OMNIA - Key Inputs_EB'!O$268:O$311,'OMNIA - Key Inputs_EB'!$E$268:$E$311,'Key Inputs_BY Techs'!$E94,'OMNIA - Key Inputs_EB'!$C$268:$C$311,'Key Inputs_BY Techs'!$C94)*P$41</f>
        <v>0</v>
      </c>
      <c r="Q94" s="46">
        <f>SUMIFS('OMNIA - Key Inputs_EB'!P$268:P$311,'OMNIA - Key Inputs_EB'!$E$268:$E$311,'Key Inputs_BY Techs'!$E94,'OMNIA - Key Inputs_EB'!$C$268:$C$311,'Key Inputs_BY Techs'!$C94)*Q$41</f>
        <v>0</v>
      </c>
      <c r="R94" s="46">
        <f>SUMIFS('OMNIA - Key Inputs_EB'!Q$268:Q$311,'OMNIA - Key Inputs_EB'!$E$268:$E$311,'Key Inputs_BY Techs'!$E94,'OMNIA - Key Inputs_EB'!$C$268:$C$311,'Key Inputs_BY Techs'!$C94)*R$41</f>
        <v>0</v>
      </c>
      <c r="S94" s="46">
        <f>SUMIFS('OMNIA - Key Inputs_EB'!R$268:R$311,'OMNIA - Key Inputs_EB'!$E$268:$E$311,'Key Inputs_BY Techs'!$E94,'OMNIA - Key Inputs_EB'!$C$268:$C$311,'Key Inputs_BY Techs'!$C94)*S$41</f>
        <v>7.3400387858347385</v>
      </c>
      <c r="T94" s="46">
        <f>SUMIFS('OMNIA - Key Inputs_EB'!S$268:S$311,'OMNIA - Key Inputs_EB'!$E$268:$E$311,'Key Inputs_BY Techs'!$E94,'OMNIA - Key Inputs_EB'!$C$268:$C$311,'Key Inputs_BY Techs'!$C94)*T$41</f>
        <v>0</v>
      </c>
      <c r="U94" s="46">
        <f>SUMIFS('OMNIA - Key Inputs_EB'!T$268:T$311,'OMNIA - Key Inputs_EB'!$E$268:$E$311,'Key Inputs_BY Techs'!$E94,'OMNIA - Key Inputs_EB'!$C$268:$C$311,'Key Inputs_BY Techs'!$C94)*U$41</f>
        <v>0.22991384127572653</v>
      </c>
      <c r="V94" s="46">
        <f>SUMIFS('OMNIA - Key Inputs_EB'!U$268:U$311,'OMNIA - Key Inputs_EB'!$E$268:$E$311,'Key Inputs_BY Techs'!$E94,'OMNIA - Key Inputs_EB'!$C$268:$C$311,'Key Inputs_BY Techs'!$C94)*V$41</f>
        <v>0</v>
      </c>
      <c r="W94" s="46">
        <f>SUMIFS('OMNIA - Key Inputs_EB'!V$268:V$311,'OMNIA - Key Inputs_EB'!$E$268:$E$311,'Key Inputs_BY Techs'!$E94,'OMNIA - Key Inputs_EB'!$C$268:$C$311,'Key Inputs_BY Techs'!$C94)*W$41</f>
        <v>0.58509241154394853</v>
      </c>
      <c r="X94" s="46">
        <f>SUMIFS('OMNIA - Key Inputs_EB'!W$268:W$311,'OMNIA - Key Inputs_EB'!$E$268:$E$311,'Key Inputs_BY Techs'!$E94,'OMNIA - Key Inputs_EB'!$C$268:$C$311,'Key Inputs_BY Techs'!$C94)*X$41</f>
        <v>0.59467381163487187</v>
      </c>
      <c r="Y94" s="46">
        <f>SUMIFS('OMNIA - Key Inputs_EB'!X$268:X$311,'OMNIA - Key Inputs_EB'!$E$268:$E$311,'Key Inputs_BY Techs'!$E94,'OMNIA - Key Inputs_EB'!$C$268:$C$311,'Key Inputs_BY Techs'!$C94)*Y$41</f>
        <v>24.31443107024964</v>
      </c>
      <c r="Z94" s="46">
        <f>SUMIFS('OMNIA - Key Inputs_EB'!Y$268:Y$311,'OMNIA - Key Inputs_EB'!$E$268:$E$311,'Key Inputs_BY Techs'!$E94,'OMNIA - Key Inputs_EB'!$C$268:$C$311,'Key Inputs_BY Techs'!$C94)*Z$41</f>
        <v>0</v>
      </c>
      <c r="AA94" s="46">
        <f>SUMIFS('OMNIA - Key Inputs_EB'!Z$268:Z$311,'OMNIA - Key Inputs_EB'!$E$268:$E$311,'Key Inputs_BY Techs'!$E94,'OMNIA - Key Inputs_EB'!$C$268:$C$311,'Key Inputs_BY Techs'!$C94)*AA$41</f>
        <v>0</v>
      </c>
      <c r="AB94" s="46">
        <f>SUMIFS('OMNIA - Key Inputs_EB'!AA$268:AA$311,'OMNIA - Key Inputs_EB'!$E$268:$E$311,'Key Inputs_BY Techs'!$E94,'OMNIA - Key Inputs_EB'!$C$268:$C$311,'Key Inputs_BY Techs'!$C94)*AB$41</f>
        <v>0</v>
      </c>
      <c r="AC94" s="46">
        <f>SUMIFS('OMNIA - Key Inputs_EB'!AB$268:AB$311,'OMNIA - Key Inputs_EB'!$E$268:$E$311,'Key Inputs_BY Techs'!$E94,'OMNIA - Key Inputs_EB'!$C$268:$C$311,'Key Inputs_BY Techs'!$C94)*AC$41</f>
        <v>0</v>
      </c>
      <c r="AD94" s="46">
        <f>SUMIFS('OMNIA - Key Inputs_EB'!AC$268:AC$311,'OMNIA - Key Inputs_EB'!$E$268:$E$311,'Key Inputs_BY Techs'!$E94,'OMNIA - Key Inputs_EB'!$C$268:$C$311,'Key Inputs_BY Techs'!$C94)*AD$41</f>
        <v>0</v>
      </c>
      <c r="AE94" s="46">
        <f>SUMIFS('OMNIA - Key Inputs_EB'!AD$268:AD$311,'OMNIA - Key Inputs_EB'!$E$268:$E$311,'Key Inputs_BY Techs'!$E94,'OMNIA - Key Inputs_EB'!$C$268:$C$311,'Key Inputs_BY Techs'!$C94)*AE$41</f>
        <v>0</v>
      </c>
      <c r="AF94" s="46">
        <f>SUMIFS('OMNIA - Key Inputs_EB'!AE$268:AE$311,'OMNIA - Key Inputs_EB'!$E$268:$E$311,'Key Inputs_BY Techs'!$E94,'OMNIA - Key Inputs_EB'!$C$268:$C$311,'Key Inputs_BY Techs'!$C94)*AF$41</f>
        <v>0</v>
      </c>
      <c r="AG94" s="46">
        <f>SUMIFS('OMNIA - Key Inputs_EB'!AF$268:AF$311,'OMNIA - Key Inputs_EB'!$E$268:$E$311,'Key Inputs_BY Techs'!$E94,'OMNIA - Key Inputs_EB'!$C$268:$C$311,'Key Inputs_BY Techs'!$C94)*AG$41</f>
        <v>0</v>
      </c>
      <c r="AH94" s="46">
        <f>SUMIFS('OMNIA - Key Inputs_EB'!AG$268:AG$311,'OMNIA - Key Inputs_EB'!$E$268:$E$311,'Key Inputs_BY Techs'!$E94,'OMNIA - Key Inputs_EB'!$C$268:$C$311,'Key Inputs_BY Techs'!$C94)*AH$41</f>
        <v>0</v>
      </c>
      <c r="AI94" s="46">
        <f>SUMIFS('OMNIA - Key Inputs_EB'!AH$268:AH$311,'OMNIA - Key Inputs_EB'!$E$268:$E$311,'Key Inputs_BY Techs'!$E94,'OMNIA - Key Inputs_EB'!$C$268:$C$311,'Key Inputs_BY Techs'!$C94)*AI$41</f>
        <v>0</v>
      </c>
      <c r="AJ94" s="46">
        <f>SUMIFS('OMNIA - Key Inputs_EB'!AI$268:AI$311,'OMNIA - Key Inputs_EB'!$E$268:$E$311,'Key Inputs_BY Techs'!$E94,'OMNIA - Key Inputs_EB'!$C$268:$C$311,'Key Inputs_BY Techs'!$C94)*AJ$41</f>
        <v>0</v>
      </c>
      <c r="AO94" s="341"/>
      <c r="AP94" s="341"/>
      <c r="AQ94" s="341"/>
      <c r="AR94" s="341"/>
    </row>
    <row r="95" spans="1:45" x14ac:dyDescent="0.25">
      <c r="A95" s="341" t="s">
        <v>74</v>
      </c>
      <c r="B95" s="46" t="s">
        <v>169</v>
      </c>
      <c r="C95" s="46" t="s">
        <v>120</v>
      </c>
      <c r="D95" s="46" t="s">
        <v>19</v>
      </c>
      <c r="E95" s="46" t="s">
        <v>105</v>
      </c>
      <c r="F95" s="46" t="s">
        <v>12</v>
      </c>
      <c r="G95" s="46"/>
      <c r="H95" s="46"/>
      <c r="I95" s="46">
        <f>SUMIFS('OMNIA - Key Inputs_EB'!H$268:H$311,'OMNIA - Key Inputs_EB'!$E$268:$E$311,'Key Inputs_BY Techs'!$E95,'OMNIA - Key Inputs_EB'!$C$268:$C$311,'Key Inputs_BY Techs'!$C95)*I$41</f>
        <v>0.54270447671657474</v>
      </c>
      <c r="J95" s="46">
        <f>SUMIFS('OMNIA - Key Inputs_EB'!I$268:I$311,'OMNIA - Key Inputs_EB'!$E$268:$E$311,'Key Inputs_BY Techs'!$E95,'OMNIA - Key Inputs_EB'!$C$268:$C$311,'Key Inputs_BY Techs'!$C95)*J$41</f>
        <v>2.7779007173744601</v>
      </c>
      <c r="K95" s="46">
        <f>SUMIFS('OMNIA - Key Inputs_EB'!J$268:J$311,'OMNIA - Key Inputs_EB'!$E$268:$E$311,'Key Inputs_BY Techs'!$E95,'OMNIA - Key Inputs_EB'!$C$268:$C$311,'Key Inputs_BY Techs'!$C95)*K$41</f>
        <v>0.53321436248656495</v>
      </c>
      <c r="L95" s="46">
        <f>SUMIFS('OMNIA - Key Inputs_EB'!K$268:K$311,'OMNIA - Key Inputs_EB'!$E$268:$E$311,'Key Inputs_BY Techs'!$E95,'OMNIA - Key Inputs_EB'!$C$268:$C$311,'Key Inputs_BY Techs'!$C95)*L$41</f>
        <v>1.4476793311170548</v>
      </c>
      <c r="M95" s="46">
        <f>SUMIFS('OMNIA - Key Inputs_EB'!L$268:L$311,'OMNIA - Key Inputs_EB'!$E$268:$E$311,'Key Inputs_BY Techs'!$E95,'OMNIA - Key Inputs_EB'!$C$268:$C$311,'Key Inputs_BY Techs'!$C95)*M$41</f>
        <v>0</v>
      </c>
      <c r="N95" s="46">
        <f>SUMIFS('OMNIA - Key Inputs_EB'!M$268:M$311,'OMNIA - Key Inputs_EB'!$E$268:$E$311,'Key Inputs_BY Techs'!$E95,'OMNIA - Key Inputs_EB'!$C$268:$C$311,'Key Inputs_BY Techs'!$C95)*N$41</f>
        <v>0</v>
      </c>
      <c r="O95" s="46">
        <f>SUMIFS('OMNIA - Key Inputs_EB'!N$268:N$311,'OMNIA - Key Inputs_EB'!$E$268:$E$311,'Key Inputs_BY Techs'!$E95,'OMNIA - Key Inputs_EB'!$C$268:$C$311,'Key Inputs_BY Techs'!$C95)*O$41</f>
        <v>0</v>
      </c>
      <c r="P95" s="46">
        <f>SUMIFS('OMNIA - Key Inputs_EB'!O$268:O$311,'OMNIA - Key Inputs_EB'!$E$268:$E$311,'Key Inputs_BY Techs'!$E95,'OMNIA - Key Inputs_EB'!$C$268:$C$311,'Key Inputs_BY Techs'!$C95)*P$41</f>
        <v>0</v>
      </c>
      <c r="Q95" s="46">
        <f>SUMIFS('OMNIA - Key Inputs_EB'!P$268:P$311,'OMNIA - Key Inputs_EB'!$E$268:$E$311,'Key Inputs_BY Techs'!$E95,'OMNIA - Key Inputs_EB'!$C$268:$C$311,'Key Inputs_BY Techs'!$C95)*Q$41</f>
        <v>0</v>
      </c>
      <c r="R95" s="46">
        <f>SUMIFS('OMNIA - Key Inputs_EB'!Q$268:Q$311,'OMNIA - Key Inputs_EB'!$E$268:$E$311,'Key Inputs_BY Techs'!$E95,'OMNIA - Key Inputs_EB'!$C$268:$C$311,'Key Inputs_BY Techs'!$C95)*R$41</f>
        <v>0</v>
      </c>
      <c r="S95" s="46">
        <f>SUMIFS('OMNIA - Key Inputs_EB'!R$268:R$311,'OMNIA - Key Inputs_EB'!$E$268:$E$311,'Key Inputs_BY Techs'!$E95,'OMNIA - Key Inputs_EB'!$C$268:$C$311,'Key Inputs_BY Techs'!$C95)*S$41</f>
        <v>1.3203134725170547</v>
      </c>
      <c r="T95" s="46">
        <f>SUMIFS('OMNIA - Key Inputs_EB'!S$268:S$311,'OMNIA - Key Inputs_EB'!$E$268:$E$311,'Key Inputs_BY Techs'!$E95,'OMNIA - Key Inputs_EB'!$C$268:$C$311,'Key Inputs_BY Techs'!$C95)*T$41</f>
        <v>0</v>
      </c>
      <c r="U95" s="46">
        <f>SUMIFS('OMNIA - Key Inputs_EB'!T$268:T$311,'OMNIA - Key Inputs_EB'!$E$268:$E$311,'Key Inputs_BY Techs'!$E95,'OMNIA - Key Inputs_EB'!$C$268:$C$311,'Key Inputs_BY Techs'!$C95)*U$41</f>
        <v>2.1341787628607389</v>
      </c>
      <c r="V95" s="46">
        <f>SUMIFS('OMNIA - Key Inputs_EB'!U$268:U$311,'OMNIA - Key Inputs_EB'!$E$268:$E$311,'Key Inputs_BY Techs'!$E95,'OMNIA - Key Inputs_EB'!$C$268:$C$311,'Key Inputs_BY Techs'!$C95)*V$41</f>
        <v>150.03058284941065</v>
      </c>
      <c r="W95" s="46">
        <f>SUMIFS('OMNIA - Key Inputs_EB'!V$268:V$311,'OMNIA - Key Inputs_EB'!$E$268:$E$311,'Key Inputs_BY Techs'!$E95,'OMNIA - Key Inputs_EB'!$C$268:$C$311,'Key Inputs_BY Techs'!$C95)*W$41</f>
        <v>3.0404172608595412</v>
      </c>
      <c r="X95" s="46">
        <f>SUMIFS('OMNIA - Key Inputs_EB'!W$268:W$311,'OMNIA - Key Inputs_EB'!$E$268:$E$311,'Key Inputs_BY Techs'!$E95,'OMNIA - Key Inputs_EB'!$C$268:$C$311,'Key Inputs_BY Techs'!$C95)*X$41</f>
        <v>29.203078510919113</v>
      </c>
      <c r="Y95" s="46">
        <f>SUMIFS('OMNIA - Key Inputs_EB'!X$268:X$311,'OMNIA - Key Inputs_EB'!$E$268:$E$311,'Key Inputs_BY Techs'!$E95,'OMNIA - Key Inputs_EB'!$C$268:$C$311,'Key Inputs_BY Techs'!$C95)*Y$41</f>
        <v>14.085125442969785</v>
      </c>
      <c r="Z95" s="46">
        <f>SUMIFS('OMNIA - Key Inputs_EB'!Y$268:Y$311,'OMNIA - Key Inputs_EB'!$E$268:$E$311,'Key Inputs_BY Techs'!$E95,'OMNIA - Key Inputs_EB'!$C$268:$C$311,'Key Inputs_BY Techs'!$C95)*Z$41</f>
        <v>0</v>
      </c>
      <c r="AA95" s="46">
        <f>SUMIFS('OMNIA - Key Inputs_EB'!Z$268:Z$311,'OMNIA - Key Inputs_EB'!$E$268:$E$311,'Key Inputs_BY Techs'!$E95,'OMNIA - Key Inputs_EB'!$C$268:$C$311,'Key Inputs_BY Techs'!$C95)*AA$41</f>
        <v>0</v>
      </c>
      <c r="AB95" s="46">
        <f>SUMIFS('OMNIA - Key Inputs_EB'!AA$268:AA$311,'OMNIA - Key Inputs_EB'!$E$268:$E$311,'Key Inputs_BY Techs'!$E95,'OMNIA - Key Inputs_EB'!$C$268:$C$311,'Key Inputs_BY Techs'!$C95)*AB$41</f>
        <v>0</v>
      </c>
      <c r="AC95" s="46">
        <f>SUMIFS('OMNIA - Key Inputs_EB'!AB$268:AB$311,'OMNIA - Key Inputs_EB'!$E$268:$E$311,'Key Inputs_BY Techs'!$E95,'OMNIA - Key Inputs_EB'!$C$268:$C$311,'Key Inputs_BY Techs'!$C95)*AC$41</f>
        <v>0</v>
      </c>
      <c r="AD95" s="46">
        <f>SUMIFS('OMNIA - Key Inputs_EB'!AC$268:AC$311,'OMNIA - Key Inputs_EB'!$E$268:$E$311,'Key Inputs_BY Techs'!$E95,'OMNIA - Key Inputs_EB'!$C$268:$C$311,'Key Inputs_BY Techs'!$C95)*AD$41</f>
        <v>41.654979601237741</v>
      </c>
      <c r="AE95" s="46">
        <f>SUMIFS('OMNIA - Key Inputs_EB'!AD$268:AD$311,'OMNIA - Key Inputs_EB'!$E$268:$E$311,'Key Inputs_BY Techs'!$E95,'OMNIA - Key Inputs_EB'!$C$268:$C$311,'Key Inputs_BY Techs'!$C95)*AE$41</f>
        <v>144.39501946244206</v>
      </c>
      <c r="AF95" s="46">
        <f>SUMIFS('OMNIA - Key Inputs_EB'!AE$268:AE$311,'OMNIA - Key Inputs_EB'!$E$268:$E$311,'Key Inputs_BY Techs'!$E95,'OMNIA - Key Inputs_EB'!$C$268:$C$311,'Key Inputs_BY Techs'!$C95)*AF$41</f>
        <v>4.1836530208442024</v>
      </c>
      <c r="AG95" s="46">
        <f>SUMIFS('OMNIA - Key Inputs_EB'!AF$268:AF$311,'OMNIA - Key Inputs_EB'!$E$268:$E$311,'Key Inputs_BY Techs'!$E95,'OMNIA - Key Inputs_EB'!$C$268:$C$311,'Key Inputs_BY Techs'!$C95)*AG$41</f>
        <v>0.38902694528457527</v>
      </c>
      <c r="AH95" s="46">
        <f>SUMIFS('OMNIA - Key Inputs_EB'!AG$268:AG$311,'OMNIA - Key Inputs_EB'!$E$268:$E$311,'Key Inputs_BY Techs'!$E95,'OMNIA - Key Inputs_EB'!$C$268:$C$311,'Key Inputs_BY Techs'!$C95)*AH$41</f>
        <v>0</v>
      </c>
      <c r="AI95" s="46">
        <f>SUMIFS('OMNIA - Key Inputs_EB'!AH$268:AH$311,'OMNIA - Key Inputs_EB'!$E$268:$E$311,'Key Inputs_BY Techs'!$E95,'OMNIA - Key Inputs_EB'!$C$268:$C$311,'Key Inputs_BY Techs'!$C95)*AI$41</f>
        <v>9.9598776260244808</v>
      </c>
      <c r="AJ95" s="46">
        <f>SUMIFS('OMNIA - Key Inputs_EB'!AI$268:AI$311,'OMNIA - Key Inputs_EB'!$E$268:$E$311,'Key Inputs_BY Techs'!$E95,'OMNIA - Key Inputs_EB'!$C$268:$C$311,'Key Inputs_BY Techs'!$C95)*AJ$41</f>
        <v>93.198705814884249</v>
      </c>
      <c r="AO95" s="341"/>
      <c r="AP95" s="341"/>
      <c r="AQ95" s="341"/>
      <c r="AR95" s="341"/>
      <c r="AS95" s="341"/>
    </row>
    <row r="96" spans="1:45" x14ac:dyDescent="0.25">
      <c r="A96" s="341" t="s">
        <v>74</v>
      </c>
      <c r="B96" s="46" t="s">
        <v>169</v>
      </c>
      <c r="C96" s="46" t="s">
        <v>120</v>
      </c>
      <c r="D96" s="46" t="s">
        <v>473</v>
      </c>
      <c r="E96" s="46" t="s">
        <v>482</v>
      </c>
      <c r="F96" s="46" t="s">
        <v>12</v>
      </c>
      <c r="G96" s="46"/>
      <c r="H96" s="46"/>
      <c r="I96" s="46">
        <f>SUMIFS('OMNIA - Key Inputs_EB'!H$268:H$311,'OMNIA - Key Inputs_EB'!$E$268:$E$311,'Key Inputs_BY Techs'!$E96,'OMNIA - Key Inputs_EB'!$C$268:$C$311,'Key Inputs_BY Techs'!$C96)*I$41</f>
        <v>0</v>
      </c>
      <c r="J96" s="46">
        <f>SUMIFS('OMNIA - Key Inputs_EB'!I$268:I$311,'OMNIA - Key Inputs_EB'!$E$268:$E$311,'Key Inputs_BY Techs'!$E96,'OMNIA - Key Inputs_EB'!$C$268:$C$311,'Key Inputs_BY Techs'!$C96)*J$41</f>
        <v>6.6024390951629526</v>
      </c>
      <c r="K96" s="46">
        <f>SUMIFS('OMNIA - Key Inputs_EB'!J$268:J$311,'OMNIA - Key Inputs_EB'!$E$268:$E$311,'Key Inputs_BY Techs'!$E96,'OMNIA - Key Inputs_EB'!$C$268:$C$311,'Key Inputs_BY Techs'!$C96)*K$41</f>
        <v>0</v>
      </c>
      <c r="L96" s="46">
        <f>SUMIFS('OMNIA - Key Inputs_EB'!K$268:K$311,'OMNIA - Key Inputs_EB'!$E$268:$E$311,'Key Inputs_BY Techs'!$E96,'OMNIA - Key Inputs_EB'!$C$268:$C$311,'Key Inputs_BY Techs'!$C96)*L$41</f>
        <v>2.7572930543277485E-3</v>
      </c>
      <c r="M96" s="46">
        <f>SUMIFS('OMNIA - Key Inputs_EB'!L$268:L$311,'OMNIA - Key Inputs_EB'!$E$268:$E$311,'Key Inputs_BY Techs'!$E96,'OMNIA - Key Inputs_EB'!$C$268:$C$311,'Key Inputs_BY Techs'!$C96)*M$41</f>
        <v>0</v>
      </c>
      <c r="N96" s="46">
        <f>SUMIFS('OMNIA - Key Inputs_EB'!M$268:M$311,'OMNIA - Key Inputs_EB'!$E$268:$E$311,'Key Inputs_BY Techs'!$E96,'OMNIA - Key Inputs_EB'!$C$268:$C$311,'Key Inputs_BY Techs'!$C96)*N$41</f>
        <v>0</v>
      </c>
      <c r="O96" s="46">
        <f>SUMIFS('OMNIA - Key Inputs_EB'!N$268:N$311,'OMNIA - Key Inputs_EB'!$E$268:$E$311,'Key Inputs_BY Techs'!$E96,'OMNIA - Key Inputs_EB'!$C$268:$C$311,'Key Inputs_BY Techs'!$C96)*O$41</f>
        <v>0</v>
      </c>
      <c r="P96" s="46">
        <f>SUMIFS('OMNIA - Key Inputs_EB'!O$268:O$311,'OMNIA - Key Inputs_EB'!$E$268:$E$311,'Key Inputs_BY Techs'!$E96,'OMNIA - Key Inputs_EB'!$C$268:$C$311,'Key Inputs_BY Techs'!$C96)*P$41</f>
        <v>0</v>
      </c>
      <c r="Q96" s="46">
        <f>SUMIFS('OMNIA - Key Inputs_EB'!P$268:P$311,'OMNIA - Key Inputs_EB'!$E$268:$E$311,'Key Inputs_BY Techs'!$E96,'OMNIA - Key Inputs_EB'!$C$268:$C$311,'Key Inputs_BY Techs'!$C96)*Q$41</f>
        <v>0</v>
      </c>
      <c r="R96" s="46">
        <f>SUMIFS('OMNIA - Key Inputs_EB'!Q$268:Q$311,'OMNIA - Key Inputs_EB'!$E$268:$E$311,'Key Inputs_BY Techs'!$E96,'OMNIA - Key Inputs_EB'!$C$268:$C$311,'Key Inputs_BY Techs'!$C96)*R$41</f>
        <v>0</v>
      </c>
      <c r="S96" s="46">
        <f>SUMIFS('OMNIA - Key Inputs_EB'!R$268:R$311,'OMNIA - Key Inputs_EB'!$E$268:$E$311,'Key Inputs_BY Techs'!$E96,'OMNIA - Key Inputs_EB'!$C$268:$C$311,'Key Inputs_BY Techs'!$C96)*S$41</f>
        <v>2.3232757851226253</v>
      </c>
      <c r="T96" s="46">
        <f>SUMIFS('OMNIA - Key Inputs_EB'!S$268:S$311,'OMNIA - Key Inputs_EB'!$E$268:$E$311,'Key Inputs_BY Techs'!$E96,'OMNIA - Key Inputs_EB'!$C$268:$C$311,'Key Inputs_BY Techs'!$C96)*T$41</f>
        <v>0</v>
      </c>
      <c r="U96" s="46">
        <f>SUMIFS('OMNIA - Key Inputs_EB'!T$268:T$311,'OMNIA - Key Inputs_EB'!$E$268:$E$311,'Key Inputs_BY Techs'!$E96,'OMNIA - Key Inputs_EB'!$C$268:$C$311,'Key Inputs_BY Techs'!$C96)*U$41</f>
        <v>4.9671356603762389</v>
      </c>
      <c r="V96" s="46">
        <f>SUMIFS('OMNIA - Key Inputs_EB'!U$268:U$311,'OMNIA - Key Inputs_EB'!$E$268:$E$311,'Key Inputs_BY Techs'!$E96,'OMNIA - Key Inputs_EB'!$C$268:$C$311,'Key Inputs_BY Techs'!$C96)*V$41</f>
        <v>0</v>
      </c>
      <c r="W96" s="46">
        <f>SUMIFS('OMNIA - Key Inputs_EB'!V$268:V$311,'OMNIA - Key Inputs_EB'!$E$268:$E$311,'Key Inputs_BY Techs'!$E96,'OMNIA - Key Inputs_EB'!$C$268:$C$311,'Key Inputs_BY Techs'!$C96)*W$41</f>
        <v>0</v>
      </c>
      <c r="X96" s="46">
        <f>SUMIFS('OMNIA - Key Inputs_EB'!W$268:W$311,'OMNIA - Key Inputs_EB'!$E$268:$E$311,'Key Inputs_BY Techs'!$E96,'OMNIA - Key Inputs_EB'!$C$268:$C$311,'Key Inputs_BY Techs'!$C96)*X$41</f>
        <v>17.803639498643957</v>
      </c>
      <c r="Y96" s="46">
        <f>SUMIFS('OMNIA - Key Inputs_EB'!X$268:X$311,'OMNIA - Key Inputs_EB'!$E$268:$E$311,'Key Inputs_BY Techs'!$E96,'OMNIA - Key Inputs_EB'!$C$268:$C$311,'Key Inputs_BY Techs'!$C96)*Y$41</f>
        <v>10.765840382296286</v>
      </c>
      <c r="Z96" s="46">
        <f>SUMIFS('OMNIA - Key Inputs_EB'!Y$268:Y$311,'OMNIA - Key Inputs_EB'!$E$268:$E$311,'Key Inputs_BY Techs'!$E96,'OMNIA - Key Inputs_EB'!$C$268:$C$311,'Key Inputs_BY Techs'!$C96)*Z$41</f>
        <v>0</v>
      </c>
      <c r="AA96" s="46">
        <f>SUMIFS('OMNIA - Key Inputs_EB'!Z$268:Z$311,'OMNIA - Key Inputs_EB'!$E$268:$E$311,'Key Inputs_BY Techs'!$E96,'OMNIA - Key Inputs_EB'!$C$268:$C$311,'Key Inputs_BY Techs'!$C96)*AA$41</f>
        <v>0</v>
      </c>
      <c r="AB96" s="46">
        <f>SUMIFS('OMNIA - Key Inputs_EB'!AA$268:AA$311,'OMNIA - Key Inputs_EB'!$E$268:$E$311,'Key Inputs_BY Techs'!$E96,'OMNIA - Key Inputs_EB'!$C$268:$C$311,'Key Inputs_BY Techs'!$C96)*AB$41</f>
        <v>0</v>
      </c>
      <c r="AC96" s="46">
        <f>SUMIFS('OMNIA - Key Inputs_EB'!AB$268:AB$311,'OMNIA - Key Inputs_EB'!$E$268:$E$311,'Key Inputs_BY Techs'!$E96,'OMNIA - Key Inputs_EB'!$C$268:$C$311,'Key Inputs_BY Techs'!$C96)*AC$41</f>
        <v>0</v>
      </c>
      <c r="AD96" s="46">
        <f>SUMIFS('OMNIA - Key Inputs_EB'!AC$268:AC$311,'OMNIA - Key Inputs_EB'!$E$268:$E$311,'Key Inputs_BY Techs'!$E96,'OMNIA - Key Inputs_EB'!$C$268:$C$311,'Key Inputs_BY Techs'!$C96)*AD$41</f>
        <v>12.176186075672762</v>
      </c>
      <c r="AE96" s="46">
        <f>SUMIFS('OMNIA - Key Inputs_EB'!AD$268:AD$311,'OMNIA - Key Inputs_EB'!$E$268:$E$311,'Key Inputs_BY Techs'!$E96,'OMNIA - Key Inputs_EB'!$C$268:$C$311,'Key Inputs_BY Techs'!$C96)*AE$41</f>
        <v>42.33083981570924</v>
      </c>
      <c r="AF96" s="46">
        <f>SUMIFS('OMNIA - Key Inputs_EB'!AE$268:AE$311,'OMNIA - Key Inputs_EB'!$E$268:$E$311,'Key Inputs_BY Techs'!$E96,'OMNIA - Key Inputs_EB'!$C$268:$C$311,'Key Inputs_BY Techs'!$C96)*AF$41</f>
        <v>1.2386734758691091</v>
      </c>
      <c r="AG96" s="46">
        <f>SUMIFS('OMNIA - Key Inputs_EB'!AF$268:AF$311,'OMNIA - Key Inputs_EB'!$E$268:$E$311,'Key Inputs_BY Techs'!$E96,'OMNIA - Key Inputs_EB'!$C$268:$C$311,'Key Inputs_BY Techs'!$C96)*AG$41</f>
        <v>0</v>
      </c>
      <c r="AH96" s="46">
        <f>SUMIFS('OMNIA - Key Inputs_EB'!AG$268:AG$311,'OMNIA - Key Inputs_EB'!$E$268:$E$311,'Key Inputs_BY Techs'!$E96,'OMNIA - Key Inputs_EB'!$C$268:$C$311,'Key Inputs_BY Techs'!$C96)*AH$41</f>
        <v>0</v>
      </c>
      <c r="AI96" s="46">
        <f>SUMIFS('OMNIA - Key Inputs_EB'!AH$268:AH$311,'OMNIA - Key Inputs_EB'!$E$268:$E$311,'Key Inputs_BY Techs'!$E96,'OMNIA - Key Inputs_EB'!$C$268:$C$311,'Key Inputs_BY Techs'!$C96)*AI$41</f>
        <v>0</v>
      </c>
      <c r="AJ96" s="46">
        <f>SUMIFS('OMNIA - Key Inputs_EB'!AI$268:AI$311,'OMNIA - Key Inputs_EB'!$E$268:$E$311,'Key Inputs_BY Techs'!$E96,'OMNIA - Key Inputs_EB'!$C$268:$C$311,'Key Inputs_BY Techs'!$C96)*AJ$41</f>
        <v>227.25801505510503</v>
      </c>
      <c r="AO96" s="341"/>
      <c r="AP96" s="341"/>
      <c r="AQ96" s="341"/>
      <c r="AR96" s="341"/>
      <c r="AS96" s="341"/>
    </row>
    <row r="97" spans="1:45" x14ac:dyDescent="0.25">
      <c r="A97" s="341" t="s">
        <v>74</v>
      </c>
      <c r="B97" s="46" t="s">
        <v>169</v>
      </c>
      <c r="C97" s="46" t="s">
        <v>120</v>
      </c>
      <c r="D97" s="46" t="s">
        <v>0</v>
      </c>
      <c r="E97" s="46" t="s">
        <v>109</v>
      </c>
      <c r="F97" s="46" t="s">
        <v>12</v>
      </c>
      <c r="G97" s="46"/>
      <c r="H97" s="46"/>
      <c r="I97" s="46">
        <f>SUMIFS('OMNIA - Key Inputs_EB'!H$268:H$311,'OMNIA - Key Inputs_EB'!$E$268:$E$311,'Key Inputs_BY Techs'!$E97,'OMNIA - Key Inputs_EB'!$C$268:$C$311,'Key Inputs_BY Techs'!$C97)*I$41</f>
        <v>0</v>
      </c>
      <c r="J97" s="46">
        <f>SUMIFS('OMNIA - Key Inputs_EB'!I$268:I$311,'OMNIA - Key Inputs_EB'!$E$268:$E$311,'Key Inputs_BY Techs'!$E97,'OMNIA - Key Inputs_EB'!$C$268:$C$311,'Key Inputs_BY Techs'!$C97)*J$41</f>
        <v>0</v>
      </c>
      <c r="K97" s="46">
        <f>SUMIFS('OMNIA - Key Inputs_EB'!J$268:J$311,'OMNIA - Key Inputs_EB'!$E$268:$E$311,'Key Inputs_BY Techs'!$E97,'OMNIA - Key Inputs_EB'!$C$268:$C$311,'Key Inputs_BY Techs'!$C97)*K$41</f>
        <v>0</v>
      </c>
      <c r="L97" s="46">
        <f>SUMIFS('OMNIA - Key Inputs_EB'!K$268:K$311,'OMNIA - Key Inputs_EB'!$E$268:$E$311,'Key Inputs_BY Techs'!$E97,'OMNIA - Key Inputs_EB'!$C$268:$C$311,'Key Inputs_BY Techs'!$C97)*L$41</f>
        <v>0</v>
      </c>
      <c r="M97" s="46">
        <f>SUMIFS('OMNIA - Key Inputs_EB'!L$268:L$311,'OMNIA - Key Inputs_EB'!$E$268:$E$311,'Key Inputs_BY Techs'!$E97,'OMNIA - Key Inputs_EB'!$C$268:$C$311,'Key Inputs_BY Techs'!$C97)*M$41</f>
        <v>0</v>
      </c>
      <c r="N97" s="46">
        <f>SUMIFS('OMNIA - Key Inputs_EB'!M$268:M$311,'OMNIA - Key Inputs_EB'!$E$268:$E$311,'Key Inputs_BY Techs'!$E97,'OMNIA - Key Inputs_EB'!$C$268:$C$311,'Key Inputs_BY Techs'!$C97)*N$41</f>
        <v>0</v>
      </c>
      <c r="O97" s="46">
        <f>SUMIFS('OMNIA - Key Inputs_EB'!N$268:N$311,'OMNIA - Key Inputs_EB'!$E$268:$E$311,'Key Inputs_BY Techs'!$E97,'OMNIA - Key Inputs_EB'!$C$268:$C$311,'Key Inputs_BY Techs'!$C97)*O$41</f>
        <v>0</v>
      </c>
      <c r="P97" s="46">
        <f>SUMIFS('OMNIA - Key Inputs_EB'!O$268:O$311,'OMNIA - Key Inputs_EB'!$E$268:$E$311,'Key Inputs_BY Techs'!$E97,'OMNIA - Key Inputs_EB'!$C$268:$C$311,'Key Inputs_BY Techs'!$C97)*P$41</f>
        <v>0</v>
      </c>
      <c r="Q97" s="46">
        <f>SUMIFS('OMNIA - Key Inputs_EB'!P$268:P$311,'OMNIA - Key Inputs_EB'!$E$268:$E$311,'Key Inputs_BY Techs'!$E97,'OMNIA - Key Inputs_EB'!$C$268:$C$311,'Key Inputs_BY Techs'!$C97)*Q$41</f>
        <v>0</v>
      </c>
      <c r="R97" s="46">
        <f>SUMIFS('OMNIA - Key Inputs_EB'!Q$268:Q$311,'OMNIA - Key Inputs_EB'!$E$268:$E$311,'Key Inputs_BY Techs'!$E97,'OMNIA - Key Inputs_EB'!$C$268:$C$311,'Key Inputs_BY Techs'!$C97)*R$41</f>
        <v>0</v>
      </c>
      <c r="S97" s="46">
        <f>SUMIFS('OMNIA - Key Inputs_EB'!R$268:R$311,'OMNIA - Key Inputs_EB'!$E$268:$E$311,'Key Inputs_BY Techs'!$E97,'OMNIA - Key Inputs_EB'!$C$268:$C$311,'Key Inputs_BY Techs'!$C97)*S$41</f>
        <v>5.3804261453982658</v>
      </c>
      <c r="T97" s="46">
        <f>SUMIFS('OMNIA - Key Inputs_EB'!S$268:S$311,'OMNIA - Key Inputs_EB'!$E$268:$E$311,'Key Inputs_BY Techs'!$E97,'OMNIA - Key Inputs_EB'!$C$268:$C$311,'Key Inputs_BY Techs'!$C97)*T$41</f>
        <v>0</v>
      </c>
      <c r="U97" s="46">
        <f>SUMIFS('OMNIA - Key Inputs_EB'!T$268:T$311,'OMNIA - Key Inputs_EB'!$E$268:$E$311,'Key Inputs_BY Techs'!$E97,'OMNIA - Key Inputs_EB'!$C$268:$C$311,'Key Inputs_BY Techs'!$C97)*U$41</f>
        <v>0.38213316381441115</v>
      </c>
      <c r="V97" s="46">
        <f>SUMIFS('OMNIA - Key Inputs_EB'!U$268:U$311,'OMNIA - Key Inputs_EB'!$E$268:$E$311,'Key Inputs_BY Techs'!$E97,'OMNIA - Key Inputs_EB'!$C$268:$C$311,'Key Inputs_BY Techs'!$C97)*V$41</f>
        <v>0</v>
      </c>
      <c r="W97" s="46">
        <f>SUMIFS('OMNIA - Key Inputs_EB'!V$268:V$311,'OMNIA - Key Inputs_EB'!$E$268:$E$311,'Key Inputs_BY Techs'!$E97,'OMNIA - Key Inputs_EB'!$C$268:$C$311,'Key Inputs_BY Techs'!$C97)*W$41</f>
        <v>0.14542577664521816</v>
      </c>
      <c r="X97" s="46">
        <f>SUMIFS('OMNIA - Key Inputs_EB'!W$268:W$311,'OMNIA - Key Inputs_EB'!$E$268:$E$311,'Key Inputs_BY Techs'!$E97,'OMNIA - Key Inputs_EB'!$C$268:$C$311,'Key Inputs_BY Techs'!$C97)*X$41</f>
        <v>1.2415024191730268</v>
      </c>
      <c r="Y97" s="46">
        <f>SUMIFS('OMNIA - Key Inputs_EB'!X$268:X$311,'OMNIA - Key Inputs_EB'!$E$268:$E$311,'Key Inputs_BY Techs'!$E97,'OMNIA - Key Inputs_EB'!$C$268:$C$311,'Key Inputs_BY Techs'!$C97)*Y$41</f>
        <v>5.1703644862579292</v>
      </c>
      <c r="Z97" s="46">
        <f>SUMIFS('OMNIA - Key Inputs_EB'!Y$268:Y$311,'OMNIA - Key Inputs_EB'!$E$268:$E$311,'Key Inputs_BY Techs'!$E97,'OMNIA - Key Inputs_EB'!$C$268:$C$311,'Key Inputs_BY Techs'!$C97)*Z$41</f>
        <v>0</v>
      </c>
      <c r="AA97" s="46">
        <f>SUMIFS('OMNIA - Key Inputs_EB'!Z$268:Z$311,'OMNIA - Key Inputs_EB'!$E$268:$E$311,'Key Inputs_BY Techs'!$E97,'OMNIA - Key Inputs_EB'!$C$268:$C$311,'Key Inputs_BY Techs'!$C97)*AA$41</f>
        <v>0</v>
      </c>
      <c r="AB97" s="46">
        <f>SUMIFS('OMNIA - Key Inputs_EB'!AA$268:AA$311,'OMNIA - Key Inputs_EB'!$E$268:$E$311,'Key Inputs_BY Techs'!$E97,'OMNIA - Key Inputs_EB'!$C$268:$C$311,'Key Inputs_BY Techs'!$C97)*AB$41</f>
        <v>0</v>
      </c>
      <c r="AC97" s="46">
        <f>SUMIFS('OMNIA - Key Inputs_EB'!AB$268:AB$311,'OMNIA - Key Inputs_EB'!$E$268:$E$311,'Key Inputs_BY Techs'!$E97,'OMNIA - Key Inputs_EB'!$C$268:$C$311,'Key Inputs_BY Techs'!$C97)*AC$41</f>
        <v>0</v>
      </c>
      <c r="AD97" s="46">
        <f>SUMIFS('OMNIA - Key Inputs_EB'!AC$268:AC$311,'OMNIA - Key Inputs_EB'!$E$268:$E$311,'Key Inputs_BY Techs'!$E97,'OMNIA - Key Inputs_EB'!$C$268:$C$311,'Key Inputs_BY Techs'!$C97)*AD$41</f>
        <v>8.4503227889667247</v>
      </c>
      <c r="AE97" s="46">
        <f>SUMIFS('OMNIA - Key Inputs_EB'!AD$268:AD$311,'OMNIA - Key Inputs_EB'!$E$268:$E$311,'Key Inputs_BY Techs'!$E97,'OMNIA - Key Inputs_EB'!$C$268:$C$311,'Key Inputs_BY Techs'!$C97)*AE$41</f>
        <v>35.998367666374783</v>
      </c>
      <c r="AF97" s="46">
        <f>SUMIFS('OMNIA - Key Inputs_EB'!AE$268:AE$311,'OMNIA - Key Inputs_EB'!$E$268:$E$311,'Key Inputs_BY Techs'!$E97,'OMNIA - Key Inputs_EB'!$C$268:$C$311,'Key Inputs_BY Techs'!$C97)*AF$41</f>
        <v>18.031443646351718</v>
      </c>
      <c r="AG97" s="46">
        <f>SUMIFS('OMNIA - Key Inputs_EB'!AF$268:AF$311,'OMNIA - Key Inputs_EB'!$E$268:$E$311,'Key Inputs_BY Techs'!$E97,'OMNIA - Key Inputs_EB'!$C$268:$C$311,'Key Inputs_BY Techs'!$C97)*AG$41</f>
        <v>0</v>
      </c>
      <c r="AH97" s="46">
        <f>SUMIFS('OMNIA - Key Inputs_EB'!AG$268:AG$311,'OMNIA - Key Inputs_EB'!$E$268:$E$311,'Key Inputs_BY Techs'!$E97,'OMNIA - Key Inputs_EB'!$C$268:$C$311,'Key Inputs_BY Techs'!$C97)*AH$41</f>
        <v>0</v>
      </c>
      <c r="AI97" s="46">
        <f>SUMIFS('OMNIA - Key Inputs_EB'!AH$268:AH$311,'OMNIA - Key Inputs_EB'!$E$268:$E$311,'Key Inputs_BY Techs'!$E97,'OMNIA - Key Inputs_EB'!$C$268:$C$311,'Key Inputs_BY Techs'!$C97)*AI$41</f>
        <v>0</v>
      </c>
      <c r="AJ97" s="46">
        <f>SUMIFS('OMNIA - Key Inputs_EB'!AI$268:AI$311,'OMNIA - Key Inputs_EB'!$E$268:$E$311,'Key Inputs_BY Techs'!$E97,'OMNIA - Key Inputs_EB'!$C$268:$C$311,'Key Inputs_BY Techs'!$C97)*AJ$41</f>
        <v>15.021387800586011</v>
      </c>
      <c r="AS97" s="341"/>
    </row>
    <row r="98" spans="1:45" x14ac:dyDescent="0.25">
      <c r="A98" s="341" t="s">
        <v>74</v>
      </c>
      <c r="B98" s="46" t="s">
        <v>169</v>
      </c>
      <c r="C98" s="46" t="s">
        <v>120</v>
      </c>
      <c r="D98" s="46" t="s">
        <v>18</v>
      </c>
      <c r="E98" s="46" t="s">
        <v>104</v>
      </c>
      <c r="F98" s="46" t="s">
        <v>12</v>
      </c>
      <c r="G98" s="46"/>
      <c r="H98" s="46"/>
      <c r="I98" s="46">
        <f>SUMIFS('OMNIA - Key Inputs_EB'!H$268:H$311,'OMNIA - Key Inputs_EB'!$E$268:$E$311,'Key Inputs_BY Techs'!$E98,'OMNIA - Key Inputs_EB'!$C$268:$C$311,'Key Inputs_BY Techs'!$C98)*I$41</f>
        <v>0</v>
      </c>
      <c r="J98" s="46">
        <f>SUMIFS('OMNIA - Key Inputs_EB'!I$268:I$311,'OMNIA - Key Inputs_EB'!$E$268:$E$311,'Key Inputs_BY Techs'!$E98,'OMNIA - Key Inputs_EB'!$C$268:$C$311,'Key Inputs_BY Techs'!$C98)*J$41</f>
        <v>0</v>
      </c>
      <c r="K98" s="46">
        <f>SUMIFS('OMNIA - Key Inputs_EB'!J$268:J$311,'OMNIA - Key Inputs_EB'!$E$268:$E$311,'Key Inputs_BY Techs'!$E98,'OMNIA - Key Inputs_EB'!$C$268:$C$311,'Key Inputs_BY Techs'!$C98)*K$41</f>
        <v>0</v>
      </c>
      <c r="L98" s="46">
        <f>SUMIFS('OMNIA - Key Inputs_EB'!K$268:K$311,'OMNIA - Key Inputs_EB'!$E$268:$E$311,'Key Inputs_BY Techs'!$E98,'OMNIA - Key Inputs_EB'!$C$268:$C$311,'Key Inputs_BY Techs'!$C98)*L$41</f>
        <v>0</v>
      </c>
      <c r="M98" s="46">
        <f>SUMIFS('OMNIA - Key Inputs_EB'!L$268:L$311,'OMNIA - Key Inputs_EB'!$E$268:$E$311,'Key Inputs_BY Techs'!$E98,'OMNIA - Key Inputs_EB'!$C$268:$C$311,'Key Inputs_BY Techs'!$C98)*M$41</f>
        <v>0</v>
      </c>
      <c r="N98" s="46">
        <f>SUMIFS('OMNIA - Key Inputs_EB'!M$268:M$311,'OMNIA - Key Inputs_EB'!$E$268:$E$311,'Key Inputs_BY Techs'!$E98,'OMNIA - Key Inputs_EB'!$C$268:$C$311,'Key Inputs_BY Techs'!$C98)*N$41</f>
        <v>0</v>
      </c>
      <c r="O98" s="46">
        <f>SUMIFS('OMNIA - Key Inputs_EB'!N$268:N$311,'OMNIA - Key Inputs_EB'!$E$268:$E$311,'Key Inputs_BY Techs'!$E98,'OMNIA - Key Inputs_EB'!$C$268:$C$311,'Key Inputs_BY Techs'!$C98)*O$41</f>
        <v>0</v>
      </c>
      <c r="P98" s="46">
        <f>SUMIFS('OMNIA - Key Inputs_EB'!O$268:O$311,'OMNIA - Key Inputs_EB'!$E$268:$E$311,'Key Inputs_BY Techs'!$E98,'OMNIA - Key Inputs_EB'!$C$268:$C$311,'Key Inputs_BY Techs'!$C98)*P$41</f>
        <v>0</v>
      </c>
      <c r="Q98" s="46">
        <f>SUMIFS('OMNIA - Key Inputs_EB'!P$268:P$311,'OMNIA - Key Inputs_EB'!$E$268:$E$311,'Key Inputs_BY Techs'!$E98,'OMNIA - Key Inputs_EB'!$C$268:$C$311,'Key Inputs_BY Techs'!$C98)*Q$41</f>
        <v>0</v>
      </c>
      <c r="R98" s="46">
        <f>SUMIFS('OMNIA - Key Inputs_EB'!Q$268:Q$311,'OMNIA - Key Inputs_EB'!$E$268:$E$311,'Key Inputs_BY Techs'!$E98,'OMNIA - Key Inputs_EB'!$C$268:$C$311,'Key Inputs_BY Techs'!$C98)*R$41</f>
        <v>0</v>
      </c>
      <c r="S98" s="46">
        <f>SUMIFS('OMNIA - Key Inputs_EB'!R$268:R$311,'OMNIA - Key Inputs_EB'!$E$268:$E$311,'Key Inputs_BY Techs'!$E98,'OMNIA - Key Inputs_EB'!$C$268:$C$311,'Key Inputs_BY Techs'!$C98)*S$41</f>
        <v>0</v>
      </c>
      <c r="T98" s="46">
        <f>SUMIFS('OMNIA - Key Inputs_EB'!S$268:S$311,'OMNIA - Key Inputs_EB'!$E$268:$E$311,'Key Inputs_BY Techs'!$E98,'OMNIA - Key Inputs_EB'!$C$268:$C$311,'Key Inputs_BY Techs'!$C98)*T$41</f>
        <v>0</v>
      </c>
      <c r="U98" s="46">
        <f>SUMIFS('OMNIA - Key Inputs_EB'!T$268:T$311,'OMNIA - Key Inputs_EB'!$E$268:$E$311,'Key Inputs_BY Techs'!$E98,'OMNIA - Key Inputs_EB'!$C$268:$C$311,'Key Inputs_BY Techs'!$C98)*U$41</f>
        <v>0</v>
      </c>
      <c r="V98" s="46">
        <f>SUMIFS('OMNIA - Key Inputs_EB'!U$268:U$311,'OMNIA - Key Inputs_EB'!$E$268:$E$311,'Key Inputs_BY Techs'!$E98,'OMNIA - Key Inputs_EB'!$C$268:$C$311,'Key Inputs_BY Techs'!$C98)*V$41</f>
        <v>0</v>
      </c>
      <c r="W98" s="46">
        <f>SUMIFS('OMNIA - Key Inputs_EB'!V$268:V$311,'OMNIA - Key Inputs_EB'!$E$268:$E$311,'Key Inputs_BY Techs'!$E98,'OMNIA - Key Inputs_EB'!$C$268:$C$311,'Key Inputs_BY Techs'!$C98)*W$41</f>
        <v>0</v>
      </c>
      <c r="X98" s="46">
        <f>SUMIFS('OMNIA - Key Inputs_EB'!W$268:W$311,'OMNIA - Key Inputs_EB'!$E$268:$E$311,'Key Inputs_BY Techs'!$E98,'OMNIA - Key Inputs_EB'!$C$268:$C$311,'Key Inputs_BY Techs'!$C98)*X$41</f>
        <v>0</v>
      </c>
      <c r="Y98" s="46">
        <f>SUMIFS('OMNIA - Key Inputs_EB'!X$268:X$311,'OMNIA - Key Inputs_EB'!$E$268:$E$311,'Key Inputs_BY Techs'!$E98,'OMNIA - Key Inputs_EB'!$C$268:$C$311,'Key Inputs_BY Techs'!$C98)*Y$41</f>
        <v>0</v>
      </c>
      <c r="Z98" s="46">
        <f>SUMIFS('OMNIA - Key Inputs_EB'!Y$268:Y$311,'OMNIA - Key Inputs_EB'!$E$268:$E$311,'Key Inputs_BY Techs'!$E98,'OMNIA - Key Inputs_EB'!$C$268:$C$311,'Key Inputs_BY Techs'!$C98)*Z$41</f>
        <v>0</v>
      </c>
      <c r="AA98" s="46">
        <f>SUMIFS('OMNIA - Key Inputs_EB'!Z$268:Z$311,'OMNIA - Key Inputs_EB'!$E$268:$E$311,'Key Inputs_BY Techs'!$E98,'OMNIA - Key Inputs_EB'!$C$268:$C$311,'Key Inputs_BY Techs'!$C98)*AA$41</f>
        <v>0</v>
      </c>
      <c r="AB98" s="46">
        <f>SUMIFS('OMNIA - Key Inputs_EB'!AA$268:AA$311,'OMNIA - Key Inputs_EB'!$E$268:$E$311,'Key Inputs_BY Techs'!$E98,'OMNIA - Key Inputs_EB'!$C$268:$C$311,'Key Inputs_BY Techs'!$C98)*AB$41</f>
        <v>0</v>
      </c>
      <c r="AC98" s="46">
        <f>SUMIFS('OMNIA - Key Inputs_EB'!AB$268:AB$311,'OMNIA - Key Inputs_EB'!$E$268:$E$311,'Key Inputs_BY Techs'!$E98,'OMNIA - Key Inputs_EB'!$C$268:$C$311,'Key Inputs_BY Techs'!$C98)*AC$41</f>
        <v>0</v>
      </c>
      <c r="AD98" s="46">
        <f>SUMIFS('OMNIA - Key Inputs_EB'!AC$268:AC$311,'OMNIA - Key Inputs_EB'!$E$268:$E$311,'Key Inputs_BY Techs'!$E98,'OMNIA - Key Inputs_EB'!$C$268:$C$311,'Key Inputs_BY Techs'!$C98)*AD$41</f>
        <v>0</v>
      </c>
      <c r="AE98" s="46">
        <f>SUMIFS('OMNIA - Key Inputs_EB'!AD$268:AD$311,'OMNIA - Key Inputs_EB'!$E$268:$E$311,'Key Inputs_BY Techs'!$E98,'OMNIA - Key Inputs_EB'!$C$268:$C$311,'Key Inputs_BY Techs'!$C98)*AE$41</f>
        <v>0</v>
      </c>
      <c r="AF98" s="46">
        <f>SUMIFS('OMNIA - Key Inputs_EB'!AE$268:AE$311,'OMNIA - Key Inputs_EB'!$E$268:$E$311,'Key Inputs_BY Techs'!$E98,'OMNIA - Key Inputs_EB'!$C$268:$C$311,'Key Inputs_BY Techs'!$C98)*AF$41</f>
        <v>0</v>
      </c>
      <c r="AG98" s="46">
        <f>SUMIFS('OMNIA - Key Inputs_EB'!AF$268:AF$311,'OMNIA - Key Inputs_EB'!$E$268:$E$311,'Key Inputs_BY Techs'!$E98,'OMNIA - Key Inputs_EB'!$C$268:$C$311,'Key Inputs_BY Techs'!$C98)*AG$41</f>
        <v>0</v>
      </c>
      <c r="AH98" s="46">
        <f>SUMIFS('OMNIA - Key Inputs_EB'!AG$268:AG$311,'OMNIA - Key Inputs_EB'!$E$268:$E$311,'Key Inputs_BY Techs'!$E98,'OMNIA - Key Inputs_EB'!$C$268:$C$311,'Key Inputs_BY Techs'!$C98)*AH$41</f>
        <v>0</v>
      </c>
      <c r="AI98" s="46">
        <f>SUMIFS('OMNIA - Key Inputs_EB'!AH$268:AH$311,'OMNIA - Key Inputs_EB'!$E$268:$E$311,'Key Inputs_BY Techs'!$E98,'OMNIA - Key Inputs_EB'!$C$268:$C$311,'Key Inputs_BY Techs'!$C98)*AI$41</f>
        <v>0</v>
      </c>
      <c r="AJ98" s="46">
        <f>SUMIFS('OMNIA - Key Inputs_EB'!AI$268:AI$311,'OMNIA - Key Inputs_EB'!$E$268:$E$311,'Key Inputs_BY Techs'!$E98,'OMNIA - Key Inputs_EB'!$C$268:$C$311,'Key Inputs_BY Techs'!$C98)*AJ$41</f>
        <v>0</v>
      </c>
      <c r="AS98" s="341"/>
    </row>
    <row r="99" spans="1:45" x14ac:dyDescent="0.25">
      <c r="A99" s="341" t="s">
        <v>74</v>
      </c>
      <c r="B99" s="48" t="s">
        <v>169</v>
      </c>
      <c r="C99" s="48" t="s">
        <v>120</v>
      </c>
      <c r="D99" s="48" t="s">
        <v>474</v>
      </c>
      <c r="E99" s="48" t="s">
        <v>475</v>
      </c>
      <c r="F99" s="46" t="s">
        <v>12</v>
      </c>
      <c r="G99" s="46"/>
      <c r="H99" s="46"/>
      <c r="I99" s="48">
        <f>SUMIFS('OMNIA - Key Inputs_EB'!H$268:H$311,'OMNIA - Key Inputs_EB'!$E$268:$E$311,'Key Inputs_BY Techs'!$E99,'OMNIA - Key Inputs_EB'!$C$268:$C$311,'Key Inputs_BY Techs'!$C99)*I$41</f>
        <v>0</v>
      </c>
      <c r="J99" s="48">
        <f>SUMIFS('OMNIA - Key Inputs_EB'!I$268:I$311,'OMNIA - Key Inputs_EB'!$E$268:$E$311,'Key Inputs_BY Techs'!$E99,'OMNIA - Key Inputs_EB'!$C$268:$C$311,'Key Inputs_BY Techs'!$C99)*J$41</f>
        <v>0</v>
      </c>
      <c r="K99" s="48">
        <f>SUMIFS('OMNIA - Key Inputs_EB'!J$268:J$311,'OMNIA - Key Inputs_EB'!$E$268:$E$311,'Key Inputs_BY Techs'!$E99,'OMNIA - Key Inputs_EB'!$C$268:$C$311,'Key Inputs_BY Techs'!$C99)*K$41</f>
        <v>0</v>
      </c>
      <c r="L99" s="48">
        <f>SUMIFS('OMNIA - Key Inputs_EB'!K$268:K$311,'OMNIA - Key Inputs_EB'!$E$268:$E$311,'Key Inputs_BY Techs'!$E99,'OMNIA - Key Inputs_EB'!$C$268:$C$311,'Key Inputs_BY Techs'!$C99)*L$41</f>
        <v>0</v>
      </c>
      <c r="M99" s="48">
        <f>SUMIFS('OMNIA - Key Inputs_EB'!L$268:L$311,'OMNIA - Key Inputs_EB'!$E$268:$E$311,'Key Inputs_BY Techs'!$E99,'OMNIA - Key Inputs_EB'!$C$268:$C$311,'Key Inputs_BY Techs'!$C99)*M$41</f>
        <v>0</v>
      </c>
      <c r="N99" s="48">
        <f>SUMIFS('OMNIA - Key Inputs_EB'!M$268:M$311,'OMNIA - Key Inputs_EB'!$E$268:$E$311,'Key Inputs_BY Techs'!$E99,'OMNIA - Key Inputs_EB'!$C$268:$C$311,'Key Inputs_BY Techs'!$C99)*N$41</f>
        <v>0</v>
      </c>
      <c r="O99" s="48">
        <f>SUMIFS('OMNIA - Key Inputs_EB'!N$268:N$311,'OMNIA - Key Inputs_EB'!$E$268:$E$311,'Key Inputs_BY Techs'!$E99,'OMNIA - Key Inputs_EB'!$C$268:$C$311,'Key Inputs_BY Techs'!$C99)*O$41</f>
        <v>0</v>
      </c>
      <c r="P99" s="48">
        <f>SUMIFS('OMNIA - Key Inputs_EB'!O$268:O$311,'OMNIA - Key Inputs_EB'!$E$268:$E$311,'Key Inputs_BY Techs'!$E99,'OMNIA - Key Inputs_EB'!$C$268:$C$311,'Key Inputs_BY Techs'!$C99)*P$41</f>
        <v>0</v>
      </c>
      <c r="Q99" s="48">
        <f>SUMIFS('OMNIA - Key Inputs_EB'!P$268:P$311,'OMNIA - Key Inputs_EB'!$E$268:$E$311,'Key Inputs_BY Techs'!$E99,'OMNIA - Key Inputs_EB'!$C$268:$C$311,'Key Inputs_BY Techs'!$C99)*Q$41</f>
        <v>0</v>
      </c>
      <c r="R99" s="48">
        <f>SUMIFS('OMNIA - Key Inputs_EB'!Q$268:Q$311,'OMNIA - Key Inputs_EB'!$E$268:$E$311,'Key Inputs_BY Techs'!$E99,'OMNIA - Key Inputs_EB'!$C$268:$C$311,'Key Inputs_BY Techs'!$C99)*R$41</f>
        <v>0</v>
      </c>
      <c r="S99" s="48">
        <f>SUMIFS('OMNIA - Key Inputs_EB'!R$268:R$311,'OMNIA - Key Inputs_EB'!$E$268:$E$311,'Key Inputs_BY Techs'!$E99,'OMNIA - Key Inputs_EB'!$C$268:$C$311,'Key Inputs_BY Techs'!$C99)*S$41</f>
        <v>0.53856196069285722</v>
      </c>
      <c r="T99" s="48">
        <f>SUMIFS('OMNIA - Key Inputs_EB'!S$268:S$311,'OMNIA - Key Inputs_EB'!$E$268:$E$311,'Key Inputs_BY Techs'!$E99,'OMNIA - Key Inputs_EB'!$C$268:$C$311,'Key Inputs_BY Techs'!$C99)*T$41</f>
        <v>0</v>
      </c>
      <c r="U99" s="48">
        <f>SUMIFS('OMNIA - Key Inputs_EB'!T$268:T$311,'OMNIA - Key Inputs_EB'!$E$268:$E$311,'Key Inputs_BY Techs'!$E99,'OMNIA - Key Inputs_EB'!$C$268:$C$311,'Key Inputs_BY Techs'!$C99)*U$41</f>
        <v>1.8710851712193392E-2</v>
      </c>
      <c r="V99" s="48">
        <f>SUMIFS('OMNIA - Key Inputs_EB'!U$268:U$311,'OMNIA - Key Inputs_EB'!$E$268:$E$311,'Key Inputs_BY Techs'!$E99,'OMNIA - Key Inputs_EB'!$C$268:$C$311,'Key Inputs_BY Techs'!$C99)*V$41</f>
        <v>0</v>
      </c>
      <c r="W99" s="48">
        <f>SUMIFS('OMNIA - Key Inputs_EB'!V$268:V$311,'OMNIA - Key Inputs_EB'!$E$268:$E$311,'Key Inputs_BY Techs'!$E99,'OMNIA - Key Inputs_EB'!$C$268:$C$311,'Key Inputs_BY Techs'!$C99)*W$41</f>
        <v>3.933089165325801E-2</v>
      </c>
      <c r="X99" s="48">
        <f>SUMIFS('OMNIA - Key Inputs_EB'!W$268:W$311,'OMNIA - Key Inputs_EB'!$E$268:$E$311,'Key Inputs_BY Techs'!$E99,'OMNIA - Key Inputs_EB'!$C$268:$C$311,'Key Inputs_BY Techs'!$C99)*X$41</f>
        <v>2.6852102790345751</v>
      </c>
      <c r="Y99" s="48">
        <f>SUMIFS('OMNIA - Key Inputs_EB'!X$268:X$311,'OMNIA - Key Inputs_EB'!$E$268:$E$311,'Key Inputs_BY Techs'!$E99,'OMNIA - Key Inputs_EB'!$C$268:$C$311,'Key Inputs_BY Techs'!$C99)*Y$41</f>
        <v>76.634769370688645</v>
      </c>
      <c r="Z99" s="48">
        <f>SUMIFS('OMNIA - Key Inputs_EB'!Y$268:Y$311,'OMNIA - Key Inputs_EB'!$E$268:$E$311,'Key Inputs_BY Techs'!$E99,'OMNIA - Key Inputs_EB'!$C$268:$C$311,'Key Inputs_BY Techs'!$C99)*Z$41</f>
        <v>0</v>
      </c>
      <c r="AA99" s="48">
        <f>SUMIFS('OMNIA - Key Inputs_EB'!Z$268:Z$311,'OMNIA - Key Inputs_EB'!$E$268:$E$311,'Key Inputs_BY Techs'!$E99,'OMNIA - Key Inputs_EB'!$C$268:$C$311,'Key Inputs_BY Techs'!$C99)*AA$41</f>
        <v>0</v>
      </c>
      <c r="AB99" s="48">
        <f>SUMIFS('OMNIA - Key Inputs_EB'!AA$268:AA$311,'OMNIA - Key Inputs_EB'!$E$268:$E$311,'Key Inputs_BY Techs'!$E99,'OMNIA - Key Inputs_EB'!$C$268:$C$311,'Key Inputs_BY Techs'!$C99)*AB$41</f>
        <v>0</v>
      </c>
      <c r="AC99" s="48">
        <f>SUMIFS('OMNIA - Key Inputs_EB'!AB$268:AB$311,'OMNIA - Key Inputs_EB'!$E$268:$E$311,'Key Inputs_BY Techs'!$E99,'OMNIA - Key Inputs_EB'!$C$268:$C$311,'Key Inputs_BY Techs'!$C99)*AC$41</f>
        <v>0</v>
      </c>
      <c r="AD99" s="48">
        <f>SUMIFS('OMNIA - Key Inputs_EB'!AC$268:AC$311,'OMNIA - Key Inputs_EB'!$E$268:$E$311,'Key Inputs_BY Techs'!$E99,'OMNIA - Key Inputs_EB'!$C$268:$C$311,'Key Inputs_BY Techs'!$C99)*AD$41</f>
        <v>5.2815598730297726</v>
      </c>
      <c r="AE99" s="48">
        <f>SUMIFS('OMNIA - Key Inputs_EB'!AD$268:AD$311,'OMNIA - Key Inputs_EB'!$E$268:$E$311,'Key Inputs_BY Techs'!$E99,'OMNIA - Key Inputs_EB'!$C$268:$C$311,'Key Inputs_BY Techs'!$C99)*AE$41</f>
        <v>23.702203261821367</v>
      </c>
      <c r="AF99" s="48">
        <f>SUMIFS('OMNIA - Key Inputs_EB'!AE$268:AE$311,'OMNIA - Key Inputs_EB'!$E$268:$E$311,'Key Inputs_BY Techs'!$E99,'OMNIA - Key Inputs_EB'!$C$268:$C$311,'Key Inputs_BY Techs'!$C99)*AF$41</f>
        <v>0</v>
      </c>
      <c r="AG99" s="48">
        <f>SUMIFS('OMNIA - Key Inputs_EB'!AF$268:AF$311,'OMNIA - Key Inputs_EB'!$E$268:$E$311,'Key Inputs_BY Techs'!$E99,'OMNIA - Key Inputs_EB'!$C$268:$C$311,'Key Inputs_BY Techs'!$C99)*AG$41</f>
        <v>0</v>
      </c>
      <c r="AH99" s="48">
        <f>SUMIFS('OMNIA - Key Inputs_EB'!AG$268:AG$311,'OMNIA - Key Inputs_EB'!$E$268:$E$311,'Key Inputs_BY Techs'!$E99,'OMNIA - Key Inputs_EB'!$C$268:$C$311,'Key Inputs_BY Techs'!$C99)*AH$41</f>
        <v>0</v>
      </c>
      <c r="AI99" s="48">
        <f>SUMIFS('OMNIA - Key Inputs_EB'!AH$268:AH$311,'OMNIA - Key Inputs_EB'!$E$268:$E$311,'Key Inputs_BY Techs'!$E99,'OMNIA - Key Inputs_EB'!$C$268:$C$311,'Key Inputs_BY Techs'!$C99)*AI$41</f>
        <v>0</v>
      </c>
      <c r="AJ99" s="48">
        <f>SUMIFS('OMNIA - Key Inputs_EB'!AI$268:AI$311,'OMNIA - Key Inputs_EB'!$E$268:$E$311,'Key Inputs_BY Techs'!$E99,'OMNIA - Key Inputs_EB'!$C$268:$C$311,'Key Inputs_BY Techs'!$C99)*AJ$41</f>
        <v>35.100212133970146</v>
      </c>
      <c r="AO99" s="341"/>
      <c r="AP99" s="341"/>
      <c r="AQ99" s="341"/>
      <c r="AR99" s="341"/>
      <c r="AS99" s="341"/>
    </row>
    <row r="100" spans="1:45" x14ac:dyDescent="0.25">
      <c r="A100" s="341"/>
      <c r="B100" s="63"/>
      <c r="C100" s="59"/>
      <c r="D100" s="224"/>
      <c r="E100" s="224"/>
      <c r="F100" s="407" t="s">
        <v>483</v>
      </c>
      <c r="G100" s="407">
        <v>8760</v>
      </c>
      <c r="H100" s="224"/>
      <c r="I100" s="349"/>
      <c r="J100" s="349"/>
      <c r="K100" s="349"/>
      <c r="L100" s="349"/>
      <c r="M100" s="349"/>
      <c r="N100" s="349"/>
      <c r="O100" s="349"/>
      <c r="P100" s="349"/>
      <c r="Q100" s="349"/>
      <c r="R100" s="349"/>
      <c r="S100" s="349"/>
      <c r="T100" s="349"/>
      <c r="U100" s="349"/>
      <c r="V100" s="349"/>
      <c r="W100" s="349"/>
      <c r="X100" s="349"/>
      <c r="Y100" s="349"/>
      <c r="Z100" s="349"/>
      <c r="AA100" s="349"/>
      <c r="AB100" s="349"/>
      <c r="AC100" s="349"/>
      <c r="AD100" s="349"/>
      <c r="AE100" s="349"/>
      <c r="AF100" s="349"/>
      <c r="AG100" s="349"/>
      <c r="AH100" s="349"/>
      <c r="AI100" s="349"/>
      <c r="AJ100" s="349"/>
      <c r="AK100" s="341"/>
      <c r="AS100" s="341"/>
    </row>
    <row r="101" spans="1:45" s="400" customFormat="1" x14ac:dyDescent="0.25">
      <c r="A101" s="341"/>
      <c r="B101" s="341"/>
      <c r="C101" s="341"/>
      <c r="D101" s="341"/>
      <c r="E101" s="341"/>
      <c r="F101" s="407" t="s">
        <v>484</v>
      </c>
      <c r="G101" s="407">
        <v>31.536000000000001</v>
      </c>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c r="AK101" s="341"/>
      <c r="AL101" s="385"/>
      <c r="AM101" s="385"/>
      <c r="AN101" s="385"/>
      <c r="AO101" s="385"/>
      <c r="AP101" s="385"/>
      <c r="AQ101" s="385"/>
      <c r="AR101" s="385"/>
      <c r="AS101" s="385"/>
    </row>
    <row r="102" spans="1:45" s="400" customFormat="1" x14ac:dyDescent="0.25">
      <c r="A102" s="341"/>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341"/>
      <c r="AL102" s="385"/>
      <c r="AM102" s="385"/>
      <c r="AN102" s="385"/>
      <c r="AO102" s="385"/>
      <c r="AP102" s="385"/>
      <c r="AQ102" s="385"/>
      <c r="AR102" s="385"/>
      <c r="AS102" s="385"/>
    </row>
    <row r="103" spans="1:45" s="400" customFormat="1" x14ac:dyDescent="0.2">
      <c r="A103" s="341"/>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341"/>
      <c r="AL103" s="405"/>
      <c r="AM103" s="385"/>
      <c r="AN103" s="385"/>
      <c r="AO103" s="385"/>
      <c r="AP103" s="385"/>
      <c r="AQ103" s="385"/>
      <c r="AR103" s="385"/>
      <c r="AS103" s="341"/>
    </row>
    <row r="104" spans="1:45" s="400" customFormat="1" x14ac:dyDescent="0.2">
      <c r="A104" s="341"/>
      <c r="B104" s="341"/>
      <c r="C104" s="341"/>
      <c r="D104" s="341"/>
      <c r="E104" s="341"/>
      <c r="F104" s="341"/>
      <c r="G104" s="341"/>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c r="AK104" s="341"/>
      <c r="AL104" s="405"/>
      <c r="AM104" s="385"/>
      <c r="AN104" s="385"/>
      <c r="AO104" s="385"/>
      <c r="AP104" s="385"/>
      <c r="AQ104" s="385"/>
      <c r="AR104" s="385"/>
      <c r="AS104" s="385"/>
    </row>
    <row r="105" spans="1:45" s="400" customFormat="1" x14ac:dyDescent="0.2">
      <c r="A105" s="341"/>
      <c r="B105" s="341"/>
      <c r="C105" s="341"/>
      <c r="D105" s="341"/>
      <c r="E105" s="341"/>
      <c r="F105" s="341"/>
      <c r="G105" s="341"/>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c r="AK105" s="341"/>
      <c r="AL105" s="405"/>
      <c r="AM105" s="385"/>
      <c r="AN105" s="385"/>
      <c r="AO105" s="385"/>
      <c r="AP105" s="385"/>
      <c r="AQ105" s="385"/>
      <c r="AR105" s="385"/>
      <c r="AS105" s="385"/>
    </row>
    <row r="106" spans="1:45" x14ac:dyDescent="0.2">
      <c r="A106" s="341"/>
      <c r="AL106" s="405"/>
    </row>
    <row r="107" spans="1:45" customFormat="1" ht="15.75" x14ac:dyDescent="0.25">
      <c r="A107" s="341"/>
      <c r="B107" s="385"/>
      <c r="C107" s="385"/>
      <c r="D107" s="385"/>
      <c r="E107" s="385"/>
      <c r="F107" s="385"/>
      <c r="G107" s="385"/>
      <c r="H107" s="385"/>
      <c r="I107" s="385"/>
      <c r="J107" s="385"/>
      <c r="K107" s="385"/>
      <c r="L107" s="385"/>
      <c r="M107" s="385"/>
      <c r="N107" s="385"/>
      <c r="O107" s="385"/>
      <c r="P107" s="385"/>
      <c r="Q107" s="385"/>
      <c r="R107" s="385"/>
      <c r="S107" s="385"/>
      <c r="T107" s="385"/>
      <c r="U107" s="385"/>
      <c r="V107" s="385"/>
      <c r="W107" s="385"/>
      <c r="X107" s="385"/>
      <c r="Y107" s="385"/>
      <c r="Z107" s="385"/>
      <c r="AA107" s="385"/>
      <c r="AB107" s="385"/>
      <c r="AC107" s="385"/>
      <c r="AD107" s="385"/>
      <c r="AE107" s="385"/>
      <c r="AF107" s="385"/>
      <c r="AG107" s="385"/>
      <c r="AH107" s="385"/>
      <c r="AI107" s="385"/>
      <c r="AJ107" s="385"/>
      <c r="AK107" s="385"/>
      <c r="AL107" s="405"/>
      <c r="AM107" s="385"/>
      <c r="AN107" s="385"/>
      <c r="AO107" s="385"/>
      <c r="AP107" s="385"/>
      <c r="AQ107" s="385"/>
      <c r="AR107" s="385"/>
      <c r="AS107" s="385"/>
    </row>
    <row r="108" spans="1:45" x14ac:dyDescent="0.2">
      <c r="A108" s="341"/>
      <c r="B108" s="341"/>
      <c r="C108" s="341"/>
      <c r="D108" s="341"/>
      <c r="E108" s="341"/>
      <c r="F108" s="341"/>
      <c r="G108" s="341"/>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c r="AK108" s="341"/>
      <c r="AL108" s="405"/>
      <c r="AO108" s="46"/>
      <c r="AP108" s="46"/>
      <c r="AQ108" s="46"/>
      <c r="AR108" s="46"/>
    </row>
    <row r="109" spans="1:45" x14ac:dyDescent="0.25">
      <c r="A109" s="341"/>
      <c r="I109" s="334" t="s">
        <v>314</v>
      </c>
      <c r="J109" s="334" t="s">
        <v>315</v>
      </c>
      <c r="K109" s="334" t="s">
        <v>317</v>
      </c>
      <c r="L109" s="334" t="s">
        <v>316</v>
      </c>
      <c r="M109" s="334" t="s">
        <v>318</v>
      </c>
      <c r="N109" s="334" t="s">
        <v>319</v>
      </c>
      <c r="O109" s="334" t="s">
        <v>320</v>
      </c>
      <c r="P109" s="334" t="s">
        <v>321</v>
      </c>
      <c r="Q109" s="334" t="s">
        <v>1</v>
      </c>
      <c r="R109" s="334" t="s">
        <v>2</v>
      </c>
      <c r="S109" s="334" t="s">
        <v>416</v>
      </c>
      <c r="T109" s="334" t="s">
        <v>3</v>
      </c>
      <c r="U109" s="334" t="s">
        <v>322</v>
      </c>
      <c r="V109" s="334" t="s">
        <v>323</v>
      </c>
      <c r="W109" s="334" t="s">
        <v>324</v>
      </c>
      <c r="X109" s="334" t="s">
        <v>417</v>
      </c>
      <c r="Y109" s="334" t="s">
        <v>325</v>
      </c>
      <c r="Z109" s="334" t="s">
        <v>4</v>
      </c>
      <c r="AA109" s="334" t="s">
        <v>5</v>
      </c>
      <c r="AB109" s="334" t="s">
        <v>6</v>
      </c>
      <c r="AC109" s="334" t="s">
        <v>7</v>
      </c>
      <c r="AD109" s="334" t="s">
        <v>418</v>
      </c>
      <c r="AE109" s="334" t="s">
        <v>8</v>
      </c>
      <c r="AF109" s="334" t="s">
        <v>9</v>
      </c>
      <c r="AG109" s="334" t="s">
        <v>419</v>
      </c>
      <c r="AH109" s="334" t="s">
        <v>10</v>
      </c>
      <c r="AI109" s="334" t="s">
        <v>420</v>
      </c>
      <c r="AJ109" s="334" t="s">
        <v>11</v>
      </c>
      <c r="AL109" s="221"/>
      <c r="AR109" s="46"/>
    </row>
    <row r="110" spans="1:45" ht="27" thickBot="1" x14ac:dyDescent="0.25">
      <c r="B110" s="408" t="s">
        <v>485</v>
      </c>
      <c r="C110" s="408" t="s">
        <v>200</v>
      </c>
      <c r="D110" s="379"/>
      <c r="E110" s="409"/>
      <c r="F110" s="48"/>
      <c r="G110" s="48"/>
      <c r="H110" s="379"/>
      <c r="I110" s="378" t="s">
        <v>327</v>
      </c>
      <c r="J110" s="378" t="s">
        <v>328</v>
      </c>
      <c r="K110" s="378" t="s">
        <v>330</v>
      </c>
      <c r="L110" s="378" t="s">
        <v>329</v>
      </c>
      <c r="M110" s="378" t="s">
        <v>331</v>
      </c>
      <c r="N110" s="378" t="s">
        <v>332</v>
      </c>
      <c r="O110" s="378" t="s">
        <v>333</v>
      </c>
      <c r="P110" s="378" t="s">
        <v>334</v>
      </c>
      <c r="Q110" s="378" t="s">
        <v>87</v>
      </c>
      <c r="R110" s="378" t="s">
        <v>88</v>
      </c>
      <c r="S110" s="378" t="s">
        <v>425</v>
      </c>
      <c r="T110" s="378" t="s">
        <v>463</v>
      </c>
      <c r="U110" s="378" t="s">
        <v>335</v>
      </c>
      <c r="V110" s="378" t="s">
        <v>336</v>
      </c>
      <c r="W110" s="378" t="s">
        <v>337</v>
      </c>
      <c r="X110" s="378" t="s">
        <v>427</v>
      </c>
      <c r="Y110" s="378" t="s">
        <v>338</v>
      </c>
      <c r="Z110" s="378" t="s">
        <v>464</v>
      </c>
      <c r="AA110" s="378" t="s">
        <v>89</v>
      </c>
      <c r="AB110" s="378" t="s">
        <v>90</v>
      </c>
      <c r="AC110" s="378" t="s">
        <v>91</v>
      </c>
      <c r="AD110" s="378" t="s">
        <v>429</v>
      </c>
      <c r="AE110" s="378" t="s">
        <v>465</v>
      </c>
      <c r="AF110" s="378" t="s">
        <v>92</v>
      </c>
      <c r="AG110" s="378" t="s">
        <v>431</v>
      </c>
      <c r="AH110" s="378" t="s">
        <v>466</v>
      </c>
      <c r="AI110" s="378" t="s">
        <v>587</v>
      </c>
      <c r="AJ110" s="378" t="s">
        <v>339</v>
      </c>
      <c r="AL110" s="221"/>
      <c r="AO110" s="341"/>
      <c r="AP110" s="341"/>
      <c r="AQ110" s="341"/>
      <c r="AR110" s="341"/>
    </row>
    <row r="111" spans="1:45" x14ac:dyDescent="0.25">
      <c r="A111" s="341" t="s">
        <v>377</v>
      </c>
      <c r="B111" s="46" t="s">
        <v>122</v>
      </c>
      <c r="C111" s="46" t="s">
        <v>468</v>
      </c>
      <c r="D111" s="46" t="s">
        <v>22</v>
      </c>
      <c r="E111" s="46" t="s">
        <v>111</v>
      </c>
      <c r="F111" s="46" t="s">
        <v>194</v>
      </c>
      <c r="G111" s="46"/>
      <c r="H111" s="46"/>
      <c r="I111" s="383">
        <f>I60/$G$101/(I$198/$G$100)</f>
        <v>0</v>
      </c>
      <c r="J111" s="46">
        <f t="shared" ref="J111:AJ113" si="34">J60/$G$101/(J$198/$G$100)</f>
        <v>1.7330455801084952</v>
      </c>
      <c r="K111" s="46">
        <f t="shared" si="34"/>
        <v>0</v>
      </c>
      <c r="L111" s="46">
        <f t="shared" si="34"/>
        <v>0</v>
      </c>
      <c r="M111" s="46">
        <f t="shared" si="34"/>
        <v>10.870129819125033</v>
      </c>
      <c r="N111" s="46">
        <f t="shared" si="34"/>
        <v>9.9381733450352172E-2</v>
      </c>
      <c r="O111" s="46">
        <f t="shared" si="34"/>
        <v>7.1605929749820399E-2</v>
      </c>
      <c r="P111" s="46">
        <f t="shared" si="34"/>
        <v>0</v>
      </c>
      <c r="Q111" s="46">
        <f t="shared" si="34"/>
        <v>0</v>
      </c>
      <c r="R111" s="46">
        <f t="shared" si="34"/>
        <v>0</v>
      </c>
      <c r="S111" s="46">
        <f t="shared" si="34"/>
        <v>0</v>
      </c>
      <c r="T111" s="46">
        <f t="shared" si="34"/>
        <v>0</v>
      </c>
      <c r="U111" s="46">
        <f t="shared" si="34"/>
        <v>0.12780818262375118</v>
      </c>
      <c r="V111" s="46">
        <f t="shared" si="34"/>
        <v>1.1067688430099103</v>
      </c>
      <c r="W111" s="46">
        <f t="shared" si="34"/>
        <v>2.2590190767201848</v>
      </c>
      <c r="X111" s="46">
        <f t="shared" si="34"/>
        <v>18.519254065533985</v>
      </c>
      <c r="Y111" s="46">
        <f t="shared" si="34"/>
        <v>17.589736664560977</v>
      </c>
      <c r="Z111" s="46">
        <f t="shared" si="34"/>
        <v>0</v>
      </c>
      <c r="AA111" s="46">
        <f t="shared" si="34"/>
        <v>0</v>
      </c>
      <c r="AB111" s="46">
        <f t="shared" si="34"/>
        <v>4.1601996437067532</v>
      </c>
      <c r="AC111" s="46">
        <f t="shared" si="34"/>
        <v>0.6743970702422778</v>
      </c>
      <c r="AD111" s="46">
        <f t="shared" si="34"/>
        <v>19.549304102814681</v>
      </c>
      <c r="AE111" s="46">
        <f t="shared" si="34"/>
        <v>0</v>
      </c>
      <c r="AF111" s="46">
        <f t="shared" si="34"/>
        <v>5.045067347366972</v>
      </c>
      <c r="AG111" s="46">
        <f t="shared" si="34"/>
        <v>0</v>
      </c>
      <c r="AH111" s="46">
        <f t="shared" si="34"/>
        <v>0</v>
      </c>
      <c r="AI111" s="46">
        <f t="shared" si="34"/>
        <v>0.25693927221088469</v>
      </c>
      <c r="AJ111" s="46">
        <f t="shared" si="34"/>
        <v>13.338505236781108</v>
      </c>
      <c r="AL111" s="221"/>
      <c r="AO111" s="46"/>
      <c r="AP111" s="46"/>
      <c r="AQ111" s="46"/>
      <c r="AR111" s="341"/>
    </row>
    <row r="112" spans="1:45" x14ac:dyDescent="0.25">
      <c r="A112" s="341" t="s">
        <v>377</v>
      </c>
      <c r="B112" s="46" t="s">
        <v>122</v>
      </c>
      <c r="C112" s="46" t="s">
        <v>468</v>
      </c>
      <c r="D112" s="46" t="s">
        <v>115</v>
      </c>
      <c r="E112" s="46" t="s">
        <v>368</v>
      </c>
      <c r="F112" s="46" t="s">
        <v>194</v>
      </c>
      <c r="G112" s="46"/>
      <c r="H112" s="46"/>
      <c r="I112" s="46">
        <f>I61/$G$101/(I$198/$G$100)</f>
        <v>290.63712029583803</v>
      </c>
      <c r="J112" s="46">
        <f t="shared" si="34"/>
        <v>13.678306844448697</v>
      </c>
      <c r="K112" s="46">
        <f t="shared" si="34"/>
        <v>221.99257173592284</v>
      </c>
      <c r="L112" s="46">
        <f t="shared" si="34"/>
        <v>117.5952984544063</v>
      </c>
      <c r="M112" s="46">
        <f t="shared" si="34"/>
        <v>6.3488335301505723</v>
      </c>
      <c r="N112" s="46">
        <f t="shared" si="34"/>
        <v>31.879054528194651</v>
      </c>
      <c r="O112" s="46">
        <f t="shared" si="34"/>
        <v>463.70848436969004</v>
      </c>
      <c r="P112" s="46">
        <f t="shared" si="34"/>
        <v>776.17323171615544</v>
      </c>
      <c r="Q112" s="46">
        <f t="shared" si="34"/>
        <v>0</v>
      </c>
      <c r="R112" s="46">
        <f t="shared" si="34"/>
        <v>17.999107763668139</v>
      </c>
      <c r="S112" s="46">
        <f t="shared" si="34"/>
        <v>28.685067245533322</v>
      </c>
      <c r="T112" s="46">
        <f t="shared" si="34"/>
        <v>169.73089266358087</v>
      </c>
      <c r="U112" s="46">
        <f t="shared" si="34"/>
        <v>70.204864206688598</v>
      </c>
      <c r="V112" s="46">
        <f t="shared" si="34"/>
        <v>14.385031972688623</v>
      </c>
      <c r="W112" s="46">
        <f t="shared" si="34"/>
        <v>188.22968306810699</v>
      </c>
      <c r="X112" s="46">
        <f t="shared" si="34"/>
        <v>208.15388561566087</v>
      </c>
      <c r="Y112" s="46">
        <f t="shared" si="34"/>
        <v>157.82128920151521</v>
      </c>
      <c r="Z112" s="46">
        <f t="shared" si="34"/>
        <v>594.1982458064349</v>
      </c>
      <c r="AA112" s="46">
        <f t="shared" si="34"/>
        <v>2127.1087247101505</v>
      </c>
      <c r="AB112" s="46">
        <f t="shared" si="34"/>
        <v>0.11919325677096393</v>
      </c>
      <c r="AC112" s="46">
        <f t="shared" si="34"/>
        <v>0</v>
      </c>
      <c r="AD112" s="46">
        <f t="shared" si="34"/>
        <v>22.265924079177079</v>
      </c>
      <c r="AE112" s="46">
        <f t="shared" si="34"/>
        <v>46.506290133575732</v>
      </c>
      <c r="AF112" s="46">
        <f t="shared" si="34"/>
        <v>114.13673722400017</v>
      </c>
      <c r="AG112" s="46">
        <f t="shared" si="34"/>
        <v>448.46109993486215</v>
      </c>
      <c r="AH112" s="46">
        <f t="shared" si="34"/>
        <v>8.0087086423699549</v>
      </c>
      <c r="AI112" s="46">
        <f t="shared" si="34"/>
        <v>0.95840218837333691</v>
      </c>
      <c r="AJ112" s="46">
        <f t="shared" si="34"/>
        <v>132.47359616722895</v>
      </c>
    </row>
    <row r="113" spans="1:45" x14ac:dyDescent="0.25">
      <c r="A113" s="341" t="s">
        <v>377</v>
      </c>
      <c r="B113" s="46" t="s">
        <v>122</v>
      </c>
      <c r="C113" s="46" t="s">
        <v>468</v>
      </c>
      <c r="D113" s="46" t="s">
        <v>19</v>
      </c>
      <c r="E113" s="46" t="s">
        <v>105</v>
      </c>
      <c r="F113" s="46" t="s">
        <v>194</v>
      </c>
      <c r="G113" s="46"/>
      <c r="H113" s="46"/>
      <c r="I113" s="46">
        <f>I62/$G$101/(I$198/$G$100)</f>
        <v>0.78819258161365202</v>
      </c>
      <c r="J113" s="46">
        <f t="shared" si="34"/>
        <v>4.0888783061121527</v>
      </c>
      <c r="K113" s="46">
        <f t="shared" si="34"/>
        <v>0.81427259460872348</v>
      </c>
      <c r="L113" s="46">
        <f t="shared" si="34"/>
        <v>2.3027315029926125</v>
      </c>
      <c r="M113" s="46">
        <f t="shared" si="34"/>
        <v>43.852364715351321</v>
      </c>
      <c r="N113" s="46">
        <f t="shared" si="34"/>
        <v>14.395364840592926</v>
      </c>
      <c r="O113" s="46">
        <f t="shared" si="34"/>
        <v>33.974414566030298</v>
      </c>
      <c r="P113" s="46">
        <f t="shared" si="34"/>
        <v>31.005136844678638</v>
      </c>
      <c r="Q113" s="46">
        <f t="shared" si="34"/>
        <v>49.643237784776922</v>
      </c>
      <c r="R113" s="46">
        <f t="shared" si="34"/>
        <v>68.684972775851421</v>
      </c>
      <c r="S113" s="46">
        <f t="shared" si="34"/>
        <v>1.8111814392066727</v>
      </c>
      <c r="T113" s="46">
        <f t="shared" si="34"/>
        <v>215.17666237394999</v>
      </c>
      <c r="U113" s="46">
        <f t="shared" si="34"/>
        <v>17.630145974335829</v>
      </c>
      <c r="V113" s="46">
        <f t="shared" si="34"/>
        <v>39.867644943648763</v>
      </c>
      <c r="W113" s="46">
        <f t="shared" si="34"/>
        <v>26.461829264079341</v>
      </c>
      <c r="X113" s="46">
        <f t="shared" si="34"/>
        <v>117.88081177340565</v>
      </c>
      <c r="Y113" s="46">
        <f t="shared" si="34"/>
        <v>84.417379253408882</v>
      </c>
      <c r="Z113" s="46">
        <f t="shared" si="34"/>
        <v>66.102539899443315</v>
      </c>
      <c r="AA113" s="46">
        <f t="shared" si="34"/>
        <v>100.58656005980708</v>
      </c>
      <c r="AB113" s="46">
        <f t="shared" si="34"/>
        <v>114.99405912819306</v>
      </c>
      <c r="AC113" s="46">
        <f t="shared" si="34"/>
        <v>11.831169038227667</v>
      </c>
      <c r="AD113" s="46">
        <f t="shared" si="34"/>
        <v>26.204686853622274</v>
      </c>
      <c r="AE113" s="46">
        <f t="shared" si="34"/>
        <v>159.43601534635798</v>
      </c>
      <c r="AF113" s="46">
        <f t="shared" si="34"/>
        <v>35.435107577390099</v>
      </c>
      <c r="AG113" s="46">
        <f t="shared" si="34"/>
        <v>0.59384547905325347</v>
      </c>
      <c r="AH113" s="46">
        <f t="shared" si="34"/>
        <v>18.699692280196292</v>
      </c>
      <c r="AI113" s="46">
        <f t="shared" si="34"/>
        <v>9.1168616937901348</v>
      </c>
      <c r="AJ113" s="46">
        <f t="shared" si="34"/>
        <v>440.12334699800817</v>
      </c>
      <c r="AL113" s="406"/>
    </row>
    <row r="114" spans="1:45" x14ac:dyDescent="0.25">
      <c r="A114" s="341" t="s">
        <v>377</v>
      </c>
      <c r="B114" s="46" t="s">
        <v>122</v>
      </c>
      <c r="C114" s="46" t="s">
        <v>468</v>
      </c>
      <c r="D114" s="46" t="s">
        <v>341</v>
      </c>
      <c r="E114" s="46" t="s">
        <v>105</v>
      </c>
      <c r="F114" s="46" t="s">
        <v>194</v>
      </c>
      <c r="G114" s="46"/>
      <c r="H114" s="46"/>
      <c r="I114" s="46">
        <f t="shared" ref="I114:AJ118" si="35">I63/$G$101/(I$198/$G$100)</f>
        <v>0.235803158871981</v>
      </c>
      <c r="J114" s="46">
        <f t="shared" si="35"/>
        <v>1.2232675659677388</v>
      </c>
      <c r="K114" s="46">
        <f t="shared" si="35"/>
        <v>0.24360550260258287</v>
      </c>
      <c r="L114" s="46">
        <f t="shared" si="35"/>
        <v>0.68890696906589322</v>
      </c>
      <c r="M114" s="46">
        <f t="shared" si="35"/>
        <v>11.713650732046705</v>
      </c>
      <c r="N114" s="46">
        <f t="shared" si="35"/>
        <v>3.1915380141534526</v>
      </c>
      <c r="O114" s="46">
        <f t="shared" si="35"/>
        <v>7.5323298017661342</v>
      </c>
      <c r="P114" s="46">
        <f t="shared" si="35"/>
        <v>8.2819557452676946</v>
      </c>
      <c r="Q114" s="46">
        <f t="shared" si="35"/>
        <v>14.851741261403072</v>
      </c>
      <c r="R114" s="46">
        <f t="shared" si="35"/>
        <v>18.346827744840223</v>
      </c>
      <c r="S114" s="46">
        <f t="shared" si="35"/>
        <v>0.54185019577433313</v>
      </c>
      <c r="T114" s="46">
        <f t="shared" si="35"/>
        <v>47.705945999270568</v>
      </c>
      <c r="U114" s="46">
        <f t="shared" si="35"/>
        <v>5.2744014712895151</v>
      </c>
      <c r="V114" s="46">
        <f t="shared" si="35"/>
        <v>11.927182307720557</v>
      </c>
      <c r="W114" s="46">
        <f t="shared" si="35"/>
        <v>7.9165715023939258</v>
      </c>
      <c r="X114" s="46">
        <f t="shared" si="35"/>
        <v>26.134877169156624</v>
      </c>
      <c r="Y114" s="46">
        <f t="shared" si="35"/>
        <v>18.715835126507738</v>
      </c>
      <c r="Z114" s="46">
        <f t="shared" si="35"/>
        <v>14.655326298244704</v>
      </c>
      <c r="AA114" s="46">
        <f t="shared" si="35"/>
        <v>26.868239387468108</v>
      </c>
      <c r="AB114" s="46">
        <f t="shared" si="35"/>
        <v>30.71670715208748</v>
      </c>
      <c r="AC114" s="46">
        <f t="shared" si="35"/>
        <v>3.5395246002580998</v>
      </c>
      <c r="AD114" s="46">
        <f t="shared" si="35"/>
        <v>7.8396423430993876</v>
      </c>
      <c r="AE114" s="46">
        <f t="shared" si="35"/>
        <v>47.698388609119171</v>
      </c>
      <c r="AF114" s="46">
        <f t="shared" si="35"/>
        <v>10.601102442007974</v>
      </c>
      <c r="AG114" s="46">
        <f t="shared" si="35"/>
        <v>0.17766043871653786</v>
      </c>
      <c r="AH114" s="46">
        <f t="shared" si="35"/>
        <v>5.5943770754311144</v>
      </c>
      <c r="AI114" s="46">
        <f t="shared" si="35"/>
        <v>2.0212624680037075</v>
      </c>
      <c r="AJ114" s="46">
        <f t="shared" si="35"/>
        <v>97.577964047122919</v>
      </c>
    </row>
    <row r="115" spans="1:45" x14ac:dyDescent="0.2">
      <c r="A115" s="341" t="s">
        <v>377</v>
      </c>
      <c r="B115" s="46" t="s">
        <v>122</v>
      </c>
      <c r="C115" s="46" t="s">
        <v>468</v>
      </c>
      <c r="D115" s="46" t="s">
        <v>473</v>
      </c>
      <c r="E115" s="46" t="s">
        <v>482</v>
      </c>
      <c r="F115" s="46" t="s">
        <v>194</v>
      </c>
      <c r="G115" s="46"/>
      <c r="H115" s="46"/>
      <c r="I115" s="46">
        <f t="shared" si="35"/>
        <v>0</v>
      </c>
      <c r="J115" s="46">
        <f t="shared" si="35"/>
        <v>245.83381703025785</v>
      </c>
      <c r="K115" s="46">
        <f t="shared" si="35"/>
        <v>0</v>
      </c>
      <c r="L115" s="46">
        <f t="shared" si="35"/>
        <v>0.1109439465722914</v>
      </c>
      <c r="M115" s="46">
        <f t="shared" si="35"/>
        <v>80.490117369298034</v>
      </c>
      <c r="N115" s="46">
        <f t="shared" si="35"/>
        <v>212.88855825225741</v>
      </c>
      <c r="O115" s="46">
        <f t="shared" si="35"/>
        <v>1.5933218695914166</v>
      </c>
      <c r="P115" s="46">
        <f t="shared" si="35"/>
        <v>227.26609629979501</v>
      </c>
      <c r="Q115" s="46">
        <f t="shared" si="35"/>
        <v>4.24095894541703</v>
      </c>
      <c r="R115" s="46">
        <f t="shared" si="35"/>
        <v>117.33402587971077</v>
      </c>
      <c r="S115" s="46">
        <f t="shared" si="35"/>
        <v>8.4718763385230975</v>
      </c>
      <c r="T115" s="46">
        <f t="shared" si="35"/>
        <v>257.99883076092976</v>
      </c>
      <c r="U115" s="46">
        <f t="shared" si="35"/>
        <v>101.44998130414113</v>
      </c>
      <c r="V115" s="46">
        <f t="shared" si="35"/>
        <v>255.97513714867813</v>
      </c>
      <c r="W115" s="46">
        <f t="shared" si="35"/>
        <v>161.16508035673948</v>
      </c>
      <c r="X115" s="46">
        <f t="shared" si="35"/>
        <v>419.83735149292647</v>
      </c>
      <c r="Y115" s="46">
        <f t="shared" si="35"/>
        <v>583.32465727588874</v>
      </c>
      <c r="Z115" s="46">
        <f t="shared" si="35"/>
        <v>0.66464606078021027</v>
      </c>
      <c r="AA115" s="46">
        <f t="shared" si="35"/>
        <v>29.618183931045102</v>
      </c>
      <c r="AB115" s="46">
        <f t="shared" si="35"/>
        <v>158.45279811011235</v>
      </c>
      <c r="AC115" s="46">
        <f t="shared" si="35"/>
        <v>223.24580295015929</v>
      </c>
      <c r="AD115" s="46">
        <f t="shared" si="35"/>
        <v>167.70880686578661</v>
      </c>
      <c r="AE115" s="46">
        <f t="shared" si="35"/>
        <v>1023.3487129899273</v>
      </c>
      <c r="AF115" s="46">
        <f t="shared" si="35"/>
        <v>13.936332407154023</v>
      </c>
      <c r="AG115" s="46">
        <f t="shared" si="35"/>
        <v>0</v>
      </c>
      <c r="AH115" s="46">
        <f t="shared" si="35"/>
        <v>494.82377630582806</v>
      </c>
      <c r="AI115" s="46">
        <f t="shared" si="35"/>
        <v>74.040978712654493</v>
      </c>
      <c r="AJ115" s="46">
        <f t="shared" si="35"/>
        <v>1425.5987164243086</v>
      </c>
      <c r="AK115" s="405"/>
    </row>
    <row r="116" spans="1:45" x14ac:dyDescent="0.2">
      <c r="A116" s="341" t="s">
        <v>377</v>
      </c>
      <c r="B116" s="46" t="s">
        <v>122</v>
      </c>
      <c r="C116" s="46" t="s">
        <v>468</v>
      </c>
      <c r="D116" s="46" t="s">
        <v>21</v>
      </c>
      <c r="E116" s="46" t="s">
        <v>107</v>
      </c>
      <c r="F116" s="46" t="s">
        <v>194</v>
      </c>
      <c r="G116" s="46"/>
      <c r="H116" s="46"/>
      <c r="I116" s="46">
        <f t="shared" si="35"/>
        <v>0</v>
      </c>
      <c r="J116" s="46">
        <f t="shared" si="35"/>
        <v>0</v>
      </c>
      <c r="K116" s="46">
        <f t="shared" si="35"/>
        <v>0</v>
      </c>
      <c r="L116" s="46">
        <f t="shared" si="35"/>
        <v>0</v>
      </c>
      <c r="M116" s="46">
        <f t="shared" si="35"/>
        <v>9.4045314858419105E-2</v>
      </c>
      <c r="N116" s="46">
        <f t="shared" si="35"/>
        <v>0.10465134315581193</v>
      </c>
      <c r="O116" s="46">
        <f t="shared" si="35"/>
        <v>0</v>
      </c>
      <c r="P116" s="46">
        <f t="shared" si="35"/>
        <v>0</v>
      </c>
      <c r="Q116" s="46">
        <f t="shared" si="35"/>
        <v>0</v>
      </c>
      <c r="R116" s="46">
        <f t="shared" si="35"/>
        <v>0</v>
      </c>
      <c r="S116" s="46">
        <f t="shared" si="35"/>
        <v>0</v>
      </c>
      <c r="T116" s="46">
        <f t="shared" si="35"/>
        <v>0</v>
      </c>
      <c r="U116" s="46">
        <f t="shared" si="35"/>
        <v>0</v>
      </c>
      <c r="V116" s="46">
        <f t="shared" si="35"/>
        <v>0.11114597995557264</v>
      </c>
      <c r="W116" s="46">
        <f t="shared" si="35"/>
        <v>0.27567384837573994</v>
      </c>
      <c r="X116" s="46">
        <f t="shared" si="35"/>
        <v>1.4186440054149319E-2</v>
      </c>
      <c r="Y116" s="46">
        <f t="shared" si="35"/>
        <v>0.35844432533566145</v>
      </c>
      <c r="Z116" s="46">
        <f t="shared" si="35"/>
        <v>0</v>
      </c>
      <c r="AA116" s="46">
        <f t="shared" si="35"/>
        <v>0</v>
      </c>
      <c r="AB116" s="46">
        <f t="shared" si="35"/>
        <v>1.064913412612515</v>
      </c>
      <c r="AC116" s="46">
        <f t="shared" si="35"/>
        <v>0</v>
      </c>
      <c r="AD116" s="46">
        <f t="shared" si="35"/>
        <v>17.413894304206689</v>
      </c>
      <c r="AE116" s="46">
        <f t="shared" si="35"/>
        <v>0</v>
      </c>
      <c r="AF116" s="46">
        <f t="shared" si="35"/>
        <v>0</v>
      </c>
      <c r="AG116" s="46">
        <f t="shared" si="35"/>
        <v>0</v>
      </c>
      <c r="AH116" s="46">
        <f t="shared" si="35"/>
        <v>0</v>
      </c>
      <c r="AI116" s="46">
        <f t="shared" si="35"/>
        <v>0.32981551891511551</v>
      </c>
      <c r="AJ116" s="46">
        <f t="shared" si="35"/>
        <v>3.6367323745325377</v>
      </c>
      <c r="AK116" s="405"/>
    </row>
    <row r="117" spans="1:45" ht="15" customHeight="1" x14ac:dyDescent="0.2">
      <c r="A117" s="341" t="s">
        <v>377</v>
      </c>
      <c r="B117" s="46" t="s">
        <v>122</v>
      </c>
      <c r="C117" s="46" t="s">
        <v>468</v>
      </c>
      <c r="D117" s="46" t="s">
        <v>20</v>
      </c>
      <c r="E117" s="46" t="s">
        <v>108</v>
      </c>
      <c r="F117" s="46" t="s">
        <v>194</v>
      </c>
      <c r="G117" s="46"/>
      <c r="H117" s="46"/>
      <c r="I117" s="46">
        <f t="shared" si="35"/>
        <v>0</v>
      </c>
      <c r="J117" s="46">
        <f t="shared" si="35"/>
        <v>0</v>
      </c>
      <c r="K117" s="46">
        <f t="shared" si="35"/>
        <v>0</v>
      </c>
      <c r="L117" s="46">
        <f t="shared" si="35"/>
        <v>0</v>
      </c>
      <c r="M117" s="46">
        <f t="shared" si="35"/>
        <v>0</v>
      </c>
      <c r="N117" s="46">
        <f t="shared" si="35"/>
        <v>49.348044682076441</v>
      </c>
      <c r="O117" s="46">
        <f t="shared" si="35"/>
        <v>0</v>
      </c>
      <c r="P117" s="46">
        <f t="shared" si="35"/>
        <v>0</v>
      </c>
      <c r="Q117" s="46">
        <f t="shared" si="35"/>
        <v>0</v>
      </c>
      <c r="R117" s="46">
        <f t="shared" si="35"/>
        <v>0</v>
      </c>
      <c r="S117" s="46">
        <f t="shared" si="35"/>
        <v>0</v>
      </c>
      <c r="T117" s="46">
        <f t="shared" si="35"/>
        <v>335.06138602112003</v>
      </c>
      <c r="U117" s="46">
        <f t="shared" si="35"/>
        <v>56.241389442813194</v>
      </c>
      <c r="V117" s="46">
        <f t="shared" si="35"/>
        <v>8.9604105484339929</v>
      </c>
      <c r="W117" s="46">
        <f t="shared" si="35"/>
        <v>96.026880865910087</v>
      </c>
      <c r="X117" s="46">
        <f t="shared" si="35"/>
        <v>30.095565317601352</v>
      </c>
      <c r="Y117" s="46">
        <f t="shared" si="35"/>
        <v>153.53117288193306</v>
      </c>
      <c r="Z117" s="46">
        <f t="shared" si="35"/>
        <v>0</v>
      </c>
      <c r="AA117" s="46">
        <f t="shared" si="35"/>
        <v>0</v>
      </c>
      <c r="AB117" s="46">
        <f t="shared" si="35"/>
        <v>0.46490139658843888</v>
      </c>
      <c r="AC117" s="46">
        <f t="shared" si="35"/>
        <v>0</v>
      </c>
      <c r="AD117" s="46">
        <f t="shared" si="35"/>
        <v>0.92869505972685651</v>
      </c>
      <c r="AE117" s="46">
        <f t="shared" si="35"/>
        <v>0</v>
      </c>
      <c r="AF117" s="46">
        <f t="shared" si="35"/>
        <v>0</v>
      </c>
      <c r="AG117" s="46">
        <f t="shared" si="35"/>
        <v>0</v>
      </c>
      <c r="AH117" s="46">
        <f t="shared" si="35"/>
        <v>393.76395487550906</v>
      </c>
      <c r="AI117" s="46">
        <f t="shared" si="35"/>
        <v>18.186472114339175</v>
      </c>
      <c r="AJ117" s="46">
        <f t="shared" si="35"/>
        <v>0</v>
      </c>
      <c r="AK117" s="405"/>
    </row>
    <row r="118" spans="1:45" x14ac:dyDescent="0.2">
      <c r="A118" s="341" t="s">
        <v>377</v>
      </c>
      <c r="B118" s="46" t="s">
        <v>122</v>
      </c>
      <c r="C118" s="46" t="s">
        <v>468</v>
      </c>
      <c r="D118" s="46" t="s">
        <v>0</v>
      </c>
      <c r="E118" s="46" t="s">
        <v>109</v>
      </c>
      <c r="F118" s="46" t="s">
        <v>194</v>
      </c>
      <c r="G118" s="46"/>
      <c r="H118" s="46"/>
      <c r="I118" s="46">
        <f>I67/$G$101/(I$198/$G$100)</f>
        <v>4.0677679795643185</v>
      </c>
      <c r="J118" s="46">
        <f t="shared" si="35"/>
        <v>48.869760721167445</v>
      </c>
      <c r="K118" s="46">
        <f t="shared" si="35"/>
        <v>6.0166093395200475</v>
      </c>
      <c r="L118" s="46">
        <f t="shared" si="35"/>
        <v>3.6547885775752982</v>
      </c>
      <c r="M118" s="46">
        <f t="shared" si="35"/>
        <v>8.4965912109722943</v>
      </c>
      <c r="N118" s="46">
        <f t="shared" si="35"/>
        <v>0.81182644727743469</v>
      </c>
      <c r="O118" s="46">
        <f t="shared" si="35"/>
        <v>1.322564418440517</v>
      </c>
      <c r="P118" s="46">
        <f t="shared" si="35"/>
        <v>0.57057594827754443</v>
      </c>
      <c r="Q118" s="46">
        <f t="shared" si="35"/>
        <v>19.406181014837962</v>
      </c>
      <c r="R118" s="46">
        <f t="shared" si="35"/>
        <v>3.0627162743266756</v>
      </c>
      <c r="S118" s="46">
        <f t="shared" si="35"/>
        <v>16.876895025490008</v>
      </c>
      <c r="T118" s="46">
        <f t="shared" si="35"/>
        <v>157.9424011848819</v>
      </c>
      <c r="U118" s="46">
        <f t="shared" si="35"/>
        <v>1.1152769051238154</v>
      </c>
      <c r="V118" s="46">
        <f t="shared" si="35"/>
        <v>2.8659548813400941</v>
      </c>
      <c r="W118" s="46">
        <f t="shared" si="35"/>
        <v>6.5908989383623577</v>
      </c>
      <c r="X118" s="46">
        <f t="shared" si="35"/>
        <v>51.727877301392475</v>
      </c>
      <c r="Y118" s="46">
        <f t="shared" si="35"/>
        <v>17.968420266322493</v>
      </c>
      <c r="Z118" s="46">
        <f t="shared" si="35"/>
        <v>4.8280584810126514</v>
      </c>
      <c r="AA118" s="46">
        <f t="shared" si="35"/>
        <v>12.874255518178121</v>
      </c>
      <c r="AB118" s="46">
        <f t="shared" si="35"/>
        <v>96.209278269316727</v>
      </c>
      <c r="AC118" s="46">
        <f t="shared" si="35"/>
        <v>68.635206390202953</v>
      </c>
      <c r="AD118" s="46">
        <f t="shared" si="35"/>
        <v>9.6580612165946427</v>
      </c>
      <c r="AE118" s="46">
        <f t="shared" si="35"/>
        <v>72.214038569118486</v>
      </c>
      <c r="AF118" s="46">
        <f t="shared" si="35"/>
        <v>123.00553149621098</v>
      </c>
      <c r="AG118" s="46">
        <f t="shared" si="35"/>
        <v>2.1371534144498483</v>
      </c>
      <c r="AH118" s="46">
        <f t="shared" si="35"/>
        <v>2.1950453328229704</v>
      </c>
      <c r="AI118" s="46">
        <f t="shared" si="35"/>
        <v>6.9433284910253263</v>
      </c>
      <c r="AJ118" s="46">
        <f t="shared" si="35"/>
        <v>57.133473625984458</v>
      </c>
      <c r="AK118" s="405"/>
    </row>
    <row r="119" spans="1:45" x14ac:dyDescent="0.2">
      <c r="A119" s="341" t="s">
        <v>377</v>
      </c>
      <c r="B119" s="46" t="s">
        <v>122</v>
      </c>
      <c r="C119" s="46" t="s">
        <v>468</v>
      </c>
      <c r="D119" s="46" t="s">
        <v>18</v>
      </c>
      <c r="E119" s="46" t="s">
        <v>104</v>
      </c>
      <c r="F119" s="46" t="s">
        <v>194</v>
      </c>
      <c r="G119" s="46"/>
      <c r="H119" s="46"/>
      <c r="I119" s="46">
        <f t="shared" ref="I119:AJ120" si="36">I68/$G$101/(I$198/$G$100)</f>
        <v>9.4379432251380832E-2</v>
      </c>
      <c r="J119" s="46">
        <f t="shared" si="36"/>
        <v>5.4903621686293459E-2</v>
      </c>
      <c r="K119" s="46">
        <f t="shared" si="36"/>
        <v>0</v>
      </c>
      <c r="L119" s="46">
        <f t="shared" si="36"/>
        <v>91.476010665531149</v>
      </c>
      <c r="M119" s="46">
        <f t="shared" si="36"/>
        <v>0.10628778759445096</v>
      </c>
      <c r="N119" s="46">
        <f t="shared" si="36"/>
        <v>63.364923462757758</v>
      </c>
      <c r="O119" s="46">
        <f t="shared" si="36"/>
        <v>22.114724196841852</v>
      </c>
      <c r="P119" s="46">
        <f t="shared" si="36"/>
        <v>4.1988620381887422E-2</v>
      </c>
      <c r="Q119" s="46">
        <f t="shared" si="36"/>
        <v>0</v>
      </c>
      <c r="R119" s="46">
        <f t="shared" si="36"/>
        <v>0</v>
      </c>
      <c r="S119" s="46">
        <f t="shared" si="36"/>
        <v>0</v>
      </c>
      <c r="T119" s="46">
        <f t="shared" si="36"/>
        <v>275.93230467102757</v>
      </c>
      <c r="U119" s="46">
        <f t="shared" si="36"/>
        <v>6.3939510284234977</v>
      </c>
      <c r="V119" s="46">
        <f t="shared" si="36"/>
        <v>3.477442662096379</v>
      </c>
      <c r="W119" s="46">
        <f t="shared" si="36"/>
        <v>60.070758816272132</v>
      </c>
      <c r="X119" s="46">
        <f t="shared" si="36"/>
        <v>1.0176392703928931</v>
      </c>
      <c r="Y119" s="46">
        <f t="shared" si="36"/>
        <v>8.5783366447192115</v>
      </c>
      <c r="Z119" s="46">
        <f t="shared" si="36"/>
        <v>22.325097847358119</v>
      </c>
      <c r="AA119" s="46">
        <f t="shared" si="36"/>
        <v>3.8731245923026756</v>
      </c>
      <c r="AB119" s="46">
        <f t="shared" si="36"/>
        <v>0</v>
      </c>
      <c r="AC119" s="46">
        <f t="shared" si="36"/>
        <v>2.1531190988422888</v>
      </c>
      <c r="AD119" s="46">
        <f t="shared" si="36"/>
        <v>11.884172263353127</v>
      </c>
      <c r="AE119" s="46">
        <f t="shared" si="36"/>
        <v>0.22192731839911756</v>
      </c>
      <c r="AF119" s="46">
        <f t="shared" si="36"/>
        <v>0</v>
      </c>
      <c r="AG119" s="46">
        <f t="shared" si="36"/>
        <v>0</v>
      </c>
      <c r="AH119" s="46">
        <f t="shared" si="36"/>
        <v>11.144572027461171</v>
      </c>
      <c r="AI119" s="46">
        <f t="shared" si="36"/>
        <v>2.0382971438073416</v>
      </c>
      <c r="AJ119" s="46">
        <f t="shared" si="36"/>
        <v>0</v>
      </c>
      <c r="AK119" s="405"/>
    </row>
    <row r="120" spans="1:45" x14ac:dyDescent="0.2">
      <c r="A120" s="341" t="s">
        <v>377</v>
      </c>
      <c r="B120" s="48" t="s">
        <v>122</v>
      </c>
      <c r="C120" s="48" t="s">
        <v>468</v>
      </c>
      <c r="D120" s="48" t="s">
        <v>474</v>
      </c>
      <c r="E120" s="48" t="s">
        <v>475</v>
      </c>
      <c r="F120" s="48" t="s">
        <v>194</v>
      </c>
      <c r="G120" s="48"/>
      <c r="H120" s="48"/>
      <c r="I120" s="48">
        <f>I69/$G$101/(I$198/$G$100)</f>
        <v>1.3023672944807267</v>
      </c>
      <c r="J120" s="48">
        <f t="shared" si="36"/>
        <v>0.60755363037391474</v>
      </c>
      <c r="K120" s="48">
        <f t="shared" si="36"/>
        <v>1.8598145922216283</v>
      </c>
      <c r="L120" s="48">
        <f t="shared" si="36"/>
        <v>3.3697489736502027</v>
      </c>
      <c r="M120" s="48">
        <f t="shared" si="36"/>
        <v>5.6800217136168778E-2</v>
      </c>
      <c r="N120" s="48">
        <f t="shared" si="36"/>
        <v>0.76651634713126848</v>
      </c>
      <c r="O120" s="48">
        <f t="shared" si="36"/>
        <v>0.29877431467221943</v>
      </c>
      <c r="P120" s="48">
        <f t="shared" si="36"/>
        <v>0.23401121155566773</v>
      </c>
      <c r="Q120" s="48">
        <f t="shared" si="36"/>
        <v>6.3626119818921724E-3</v>
      </c>
      <c r="R120" s="48">
        <f t="shared" si="36"/>
        <v>10.93425918158005</v>
      </c>
      <c r="S120" s="48">
        <f t="shared" si="36"/>
        <v>1.6893185464703799</v>
      </c>
      <c r="T120" s="48">
        <f t="shared" si="36"/>
        <v>246.98382909379521</v>
      </c>
      <c r="U120" s="48">
        <f t="shared" si="36"/>
        <v>5.4608662021128421E-2</v>
      </c>
      <c r="V120" s="48">
        <f t="shared" si="36"/>
        <v>43.446128225443225</v>
      </c>
      <c r="W120" s="48">
        <f t="shared" si="36"/>
        <v>1.7825308416589221</v>
      </c>
      <c r="X120" s="48">
        <f t="shared" si="36"/>
        <v>111.88075487993068</v>
      </c>
      <c r="Y120" s="48">
        <f t="shared" si="36"/>
        <v>266.49696564258176</v>
      </c>
      <c r="Z120" s="48">
        <f t="shared" si="36"/>
        <v>8.9290502529718783</v>
      </c>
      <c r="AA120" s="48">
        <f t="shared" si="36"/>
        <v>1.1462465406623878</v>
      </c>
      <c r="AB120" s="48">
        <f t="shared" si="36"/>
        <v>146.26500900955529</v>
      </c>
      <c r="AC120" s="48">
        <f t="shared" si="36"/>
        <v>3.776455823547781</v>
      </c>
      <c r="AD120" s="48">
        <f t="shared" si="36"/>
        <v>6.0364118444602797</v>
      </c>
      <c r="AE120" s="48">
        <f t="shared" si="36"/>
        <v>47.547484274434154</v>
      </c>
      <c r="AF120" s="48">
        <f t="shared" si="36"/>
        <v>0</v>
      </c>
      <c r="AG120" s="48">
        <f t="shared" si="36"/>
        <v>3.037618148261481</v>
      </c>
      <c r="AH120" s="48">
        <f t="shared" si="36"/>
        <v>0.44356693981060025</v>
      </c>
      <c r="AI120" s="48">
        <f t="shared" si="36"/>
        <v>23.002853952318951</v>
      </c>
      <c r="AJ120" s="48">
        <f t="shared" si="36"/>
        <v>136.38632784917112</v>
      </c>
      <c r="AK120" s="405"/>
    </row>
    <row r="121" spans="1:45" x14ac:dyDescent="0.2">
      <c r="A121" s="341" t="s">
        <v>377</v>
      </c>
      <c r="B121" s="46" t="s">
        <v>122</v>
      </c>
      <c r="C121" s="46" t="s">
        <v>469</v>
      </c>
      <c r="D121" s="46" t="s">
        <v>22</v>
      </c>
      <c r="E121" s="51" t="s">
        <v>111</v>
      </c>
      <c r="F121" s="46" t="s">
        <v>194</v>
      </c>
      <c r="G121" s="46"/>
      <c r="H121" s="46"/>
      <c r="I121" s="46">
        <f>I70/$G$101/(I$200/$G$100)</f>
        <v>0</v>
      </c>
      <c r="J121" s="46">
        <f t="shared" ref="J121:AJ130" si="37">J70/$G$101/(J$200/$G$100)</f>
        <v>0</v>
      </c>
      <c r="K121" s="46">
        <f t="shared" si="37"/>
        <v>0</v>
      </c>
      <c r="L121" s="46">
        <f t="shared" si="37"/>
        <v>0</v>
      </c>
      <c r="M121" s="46">
        <f t="shared" si="37"/>
        <v>8.1785791765383378E-3</v>
      </c>
      <c r="N121" s="46">
        <f t="shared" si="37"/>
        <v>0</v>
      </c>
      <c r="O121" s="46">
        <f t="shared" si="37"/>
        <v>1.4162587248599035E-3</v>
      </c>
      <c r="P121" s="46">
        <f t="shared" si="37"/>
        <v>0</v>
      </c>
      <c r="Q121" s="46">
        <f t="shared" si="37"/>
        <v>0</v>
      </c>
      <c r="R121" s="46">
        <f t="shared" si="37"/>
        <v>0</v>
      </c>
      <c r="S121" s="46">
        <f t="shared" si="37"/>
        <v>0</v>
      </c>
      <c r="T121" s="46">
        <f t="shared" si="37"/>
        <v>0</v>
      </c>
      <c r="U121" s="46">
        <f t="shared" si="37"/>
        <v>2.4966733444489237E-4</v>
      </c>
      <c r="V121" s="46">
        <f t="shared" si="37"/>
        <v>0.18177851068393605</v>
      </c>
      <c r="W121" s="46">
        <f t="shared" si="37"/>
        <v>8.9152076274941205E-3</v>
      </c>
      <c r="X121" s="46">
        <f t="shared" si="37"/>
        <v>1.1806148449754144</v>
      </c>
      <c r="Y121" s="46">
        <f t="shared" si="37"/>
        <v>0.25064293448700364</v>
      </c>
      <c r="Z121" s="46">
        <f t="shared" si="37"/>
        <v>0</v>
      </c>
      <c r="AA121" s="46">
        <f t="shared" si="37"/>
        <v>0</v>
      </c>
      <c r="AB121" s="46">
        <f t="shared" si="37"/>
        <v>0.13329916565526284</v>
      </c>
      <c r="AC121" s="46">
        <f t="shared" si="37"/>
        <v>9.0123665918165671E-3</v>
      </c>
      <c r="AD121" s="46">
        <f t="shared" si="37"/>
        <v>0.65887269417602146</v>
      </c>
      <c r="AE121" s="46">
        <f t="shared" si="37"/>
        <v>0</v>
      </c>
      <c r="AF121" s="46">
        <f t="shared" si="37"/>
        <v>0.10751353498021569</v>
      </c>
      <c r="AG121" s="46">
        <f t="shared" si="37"/>
        <v>0</v>
      </c>
      <c r="AH121" s="46">
        <f t="shared" si="37"/>
        <v>0</v>
      </c>
      <c r="AI121" s="46">
        <f t="shared" si="37"/>
        <v>7.9328363332040311E-2</v>
      </c>
      <c r="AJ121" s="46">
        <f t="shared" si="37"/>
        <v>4.4390590717212612</v>
      </c>
      <c r="AK121" s="405"/>
    </row>
    <row r="122" spans="1:45" x14ac:dyDescent="0.2">
      <c r="A122" s="341" t="s">
        <v>377</v>
      </c>
      <c r="B122" s="46" t="s">
        <v>122</v>
      </c>
      <c r="C122" s="46" t="s">
        <v>469</v>
      </c>
      <c r="D122" s="46" t="s">
        <v>115</v>
      </c>
      <c r="E122" s="46" t="s">
        <v>368</v>
      </c>
      <c r="F122" s="46" t="s">
        <v>194</v>
      </c>
      <c r="G122" s="46"/>
      <c r="H122" s="46"/>
      <c r="I122" s="46">
        <f t="shared" ref="I122:X130" si="38">I71/$G$101/(I$200/$G$100)</f>
        <v>2.1307516706528924</v>
      </c>
      <c r="J122" s="46">
        <f t="shared" si="38"/>
        <v>0</v>
      </c>
      <c r="K122" s="46">
        <f t="shared" si="38"/>
        <v>7.5549404734708228</v>
      </c>
      <c r="L122" s="46">
        <f t="shared" si="38"/>
        <v>0</v>
      </c>
      <c r="M122" s="46">
        <f t="shared" si="38"/>
        <v>4.7768001458123313E-3</v>
      </c>
      <c r="N122" s="46">
        <f t="shared" si="38"/>
        <v>0</v>
      </c>
      <c r="O122" s="46">
        <f t="shared" si="38"/>
        <v>9.1714637192010375</v>
      </c>
      <c r="P122" s="46">
        <f t="shared" si="38"/>
        <v>0</v>
      </c>
      <c r="Q122" s="46">
        <f t="shared" si="38"/>
        <v>0</v>
      </c>
      <c r="R122" s="46">
        <f t="shared" si="38"/>
        <v>2.0195949855929323</v>
      </c>
      <c r="S122" s="46">
        <f t="shared" si="38"/>
        <v>0</v>
      </c>
      <c r="T122" s="46">
        <f t="shared" si="38"/>
        <v>16.288475085547898</v>
      </c>
      <c r="U122" s="46">
        <f t="shared" si="38"/>
        <v>0.13714193373008648</v>
      </c>
      <c r="V122" s="46">
        <f t="shared" si="38"/>
        <v>2.362633990513161</v>
      </c>
      <c r="W122" s="46">
        <f t="shared" si="38"/>
        <v>0.74284751443798991</v>
      </c>
      <c r="X122" s="46">
        <f t="shared" si="38"/>
        <v>13.269949563169831</v>
      </c>
      <c r="Y122" s="46">
        <f t="shared" si="37"/>
        <v>2.2488563532441721</v>
      </c>
      <c r="Z122" s="46">
        <f t="shared" si="37"/>
        <v>0</v>
      </c>
      <c r="AA122" s="46">
        <f t="shared" si="37"/>
        <v>0</v>
      </c>
      <c r="AB122" s="46">
        <f t="shared" si="37"/>
        <v>3.8191344262378671E-3</v>
      </c>
      <c r="AC122" s="46">
        <f t="shared" si="37"/>
        <v>0</v>
      </c>
      <c r="AD122" s="46">
        <f t="shared" si="37"/>
        <v>0.75043128436750506</v>
      </c>
      <c r="AE122" s="46">
        <f t="shared" si="37"/>
        <v>2.1929044506453527E-2</v>
      </c>
      <c r="AF122" s="46">
        <f t="shared" si="37"/>
        <v>2.43232512970607</v>
      </c>
      <c r="AG122" s="46">
        <f t="shared" si="37"/>
        <v>15.448258431509235</v>
      </c>
      <c r="AH122" s="46">
        <f t="shared" si="37"/>
        <v>0.79707902781209616</v>
      </c>
      <c r="AI122" s="46">
        <f t="shared" si="37"/>
        <v>0.2959005696688583</v>
      </c>
      <c r="AJ122" s="46">
        <f t="shared" si="37"/>
        <v>44.087257784185468</v>
      </c>
      <c r="AK122" s="405"/>
      <c r="AO122" s="405"/>
      <c r="AP122" s="341"/>
      <c r="AQ122" s="341"/>
      <c r="AR122" s="341"/>
      <c r="AS122" s="341"/>
    </row>
    <row r="123" spans="1:45" x14ac:dyDescent="0.25">
      <c r="A123" s="341" t="s">
        <v>377</v>
      </c>
      <c r="B123" s="46" t="s">
        <v>122</v>
      </c>
      <c r="C123" s="46" t="s">
        <v>469</v>
      </c>
      <c r="D123" s="46" t="s">
        <v>19</v>
      </c>
      <c r="E123" s="46" t="s">
        <v>105</v>
      </c>
      <c r="F123" s="46" t="s">
        <v>194</v>
      </c>
      <c r="G123" s="46"/>
      <c r="H123" s="46"/>
      <c r="I123" s="46">
        <f t="shared" si="38"/>
        <v>5.7784864450901108E-3</v>
      </c>
      <c r="J123" s="46">
        <f t="shared" si="37"/>
        <v>0</v>
      </c>
      <c r="K123" s="46">
        <f t="shared" si="37"/>
        <v>2.7711652391529382E-2</v>
      </c>
      <c r="L123" s="46">
        <f t="shared" si="37"/>
        <v>0</v>
      </c>
      <c r="M123" s="46">
        <f t="shared" si="37"/>
        <v>3.2994089571213747E-2</v>
      </c>
      <c r="N123" s="46">
        <f t="shared" si="37"/>
        <v>0</v>
      </c>
      <c r="O123" s="46">
        <f t="shared" si="37"/>
        <v>0.67196335861093315</v>
      </c>
      <c r="P123" s="46">
        <f t="shared" si="37"/>
        <v>0</v>
      </c>
      <c r="Q123" s="46">
        <f t="shared" si="37"/>
        <v>0.21286758669173611</v>
      </c>
      <c r="R123" s="46">
        <f t="shared" si="37"/>
        <v>7.7068168280929763</v>
      </c>
      <c r="S123" s="46">
        <f t="shared" si="37"/>
        <v>0</v>
      </c>
      <c r="T123" s="46">
        <f t="shared" si="37"/>
        <v>20.649745306038096</v>
      </c>
      <c r="U123" s="46">
        <f t="shared" si="37"/>
        <v>3.4439669361740421E-2</v>
      </c>
      <c r="V123" s="46">
        <f t="shared" si="37"/>
        <v>6.5479627187766205</v>
      </c>
      <c r="W123" s="46">
        <f t="shared" si="37"/>
        <v>0.1044314784782982</v>
      </c>
      <c r="X123" s="46">
        <f t="shared" si="37"/>
        <v>7.5149806695749506</v>
      </c>
      <c r="Y123" s="46">
        <f t="shared" si="37"/>
        <v>1.2028957602535384</v>
      </c>
      <c r="Z123" s="46">
        <f t="shared" si="37"/>
        <v>0</v>
      </c>
      <c r="AA123" s="46">
        <f t="shared" si="37"/>
        <v>0</v>
      </c>
      <c r="AB123" s="46">
        <f t="shared" si="37"/>
        <v>3.6845857049884847</v>
      </c>
      <c r="AC123" s="46">
        <f t="shared" si="37"/>
        <v>0.15810690361384791</v>
      </c>
      <c r="AD123" s="46">
        <f t="shared" si="37"/>
        <v>0.88317990944747993</v>
      </c>
      <c r="AE123" s="46">
        <f t="shared" si="37"/>
        <v>7.5178636404225924E-2</v>
      </c>
      <c r="AF123" s="46">
        <f t="shared" si="37"/>
        <v>0.75514426582189398</v>
      </c>
      <c r="AG123" s="46">
        <f t="shared" si="37"/>
        <v>2.0456352691750855E-2</v>
      </c>
      <c r="AH123" s="46">
        <f t="shared" si="37"/>
        <v>1.8611155941207367</v>
      </c>
      <c r="AI123" s="46">
        <f t="shared" si="37"/>
        <v>2.8147729643265742</v>
      </c>
      <c r="AJ123" s="46">
        <f t="shared" si="37"/>
        <v>146.47319931924497</v>
      </c>
    </row>
    <row r="124" spans="1:45" x14ac:dyDescent="0.25">
      <c r="A124" s="341" t="s">
        <v>377</v>
      </c>
      <c r="B124" s="46" t="s">
        <v>122</v>
      </c>
      <c r="C124" s="46" t="s">
        <v>469</v>
      </c>
      <c r="D124" s="46" t="s">
        <v>341</v>
      </c>
      <c r="E124" s="46" t="s">
        <v>105</v>
      </c>
      <c r="F124" s="46" t="s">
        <v>194</v>
      </c>
      <c r="G124" s="46"/>
      <c r="H124" s="46"/>
      <c r="I124" s="46">
        <f t="shared" si="38"/>
        <v>1.7287467416422227E-3</v>
      </c>
      <c r="J124" s="46">
        <f t="shared" si="37"/>
        <v>0</v>
      </c>
      <c r="K124" s="46">
        <f t="shared" si="37"/>
        <v>8.290480428154964E-3</v>
      </c>
      <c r="L124" s="46">
        <f t="shared" si="37"/>
        <v>0</v>
      </c>
      <c r="M124" s="46">
        <f t="shared" si="37"/>
        <v>8.8132360470806661E-3</v>
      </c>
      <c r="N124" s="46">
        <f t="shared" si="37"/>
        <v>0</v>
      </c>
      <c r="O124" s="46">
        <f t="shared" si="37"/>
        <v>0.14897827369248451</v>
      </c>
      <c r="P124" s="46">
        <f t="shared" si="37"/>
        <v>0</v>
      </c>
      <c r="Q124" s="46">
        <f t="shared" si="37"/>
        <v>6.3683483623512005E-2</v>
      </c>
      <c r="R124" s="46">
        <f t="shared" si="37"/>
        <v>2.0586110045860022</v>
      </c>
      <c r="S124" s="46">
        <f t="shared" si="37"/>
        <v>0</v>
      </c>
      <c r="T124" s="46">
        <f t="shared" si="37"/>
        <v>4.5781713667281307</v>
      </c>
      <c r="U124" s="46">
        <f t="shared" si="37"/>
        <v>1.0303297716122926E-2</v>
      </c>
      <c r="V124" s="46">
        <f t="shared" si="37"/>
        <v>1.9589505525444397</v>
      </c>
      <c r="W124" s="46">
        <f t="shared" si="37"/>
        <v>3.1242710329040597E-2</v>
      </c>
      <c r="X124" s="46">
        <f t="shared" si="37"/>
        <v>1.6661159163499841</v>
      </c>
      <c r="Y124" s="46">
        <f t="shared" si="37"/>
        <v>0.26668914532040849</v>
      </c>
      <c r="Z124" s="46">
        <f t="shared" si="37"/>
        <v>0</v>
      </c>
      <c r="AA124" s="46">
        <f t="shared" si="37"/>
        <v>0</v>
      </c>
      <c r="AB124" s="46">
        <f t="shared" si="37"/>
        <v>0.98421032299355715</v>
      </c>
      <c r="AC124" s="46">
        <f t="shared" si="37"/>
        <v>4.7300758953206852E-2</v>
      </c>
      <c r="AD124" s="46">
        <f t="shared" si="37"/>
        <v>0.26422046763447843</v>
      </c>
      <c r="AE124" s="46">
        <f t="shared" si="37"/>
        <v>2.2491152996532503E-2</v>
      </c>
      <c r="AF124" s="46">
        <f t="shared" si="37"/>
        <v>0.22591611166945461</v>
      </c>
      <c r="AG124" s="46">
        <f t="shared" si="37"/>
        <v>6.1199162441224562E-3</v>
      </c>
      <c r="AH124" s="46">
        <f t="shared" si="37"/>
        <v>0.55678897055984677</v>
      </c>
      <c r="AI124" s="46">
        <f t="shared" si="37"/>
        <v>0.62405190950961997</v>
      </c>
      <c r="AJ124" s="46">
        <f t="shared" si="37"/>
        <v>32.473979566244282</v>
      </c>
    </row>
    <row r="125" spans="1:45" x14ac:dyDescent="0.25">
      <c r="A125" s="341" t="s">
        <v>377</v>
      </c>
      <c r="B125" s="46" t="s">
        <v>122</v>
      </c>
      <c r="C125" s="46" t="s">
        <v>469</v>
      </c>
      <c r="D125" s="46" t="s">
        <v>473</v>
      </c>
      <c r="E125" s="46" t="s">
        <v>482</v>
      </c>
      <c r="F125" s="46" t="s">
        <v>194</v>
      </c>
      <c r="G125" s="46"/>
      <c r="H125" s="46"/>
      <c r="I125" s="46">
        <f t="shared" si="38"/>
        <v>0</v>
      </c>
      <c r="J125" s="46">
        <f t="shared" si="37"/>
        <v>0</v>
      </c>
      <c r="K125" s="46">
        <f t="shared" si="37"/>
        <v>0</v>
      </c>
      <c r="L125" s="46">
        <f t="shared" si="37"/>
        <v>0</v>
      </c>
      <c r="M125" s="46">
        <f t="shared" si="37"/>
        <v>6.0559975712109179E-2</v>
      </c>
      <c r="N125" s="46">
        <f t="shared" si="37"/>
        <v>0</v>
      </c>
      <c r="O125" s="46">
        <f t="shared" si="37"/>
        <v>3.1513535362266636E-2</v>
      </c>
      <c r="P125" s="46">
        <f t="shared" si="37"/>
        <v>0</v>
      </c>
      <c r="Q125" s="46">
        <f t="shared" si="37"/>
        <v>1.8185008396984597E-2</v>
      </c>
      <c r="R125" s="46">
        <f t="shared" si="37"/>
        <v>13.165497613410714</v>
      </c>
      <c r="S125" s="46">
        <f t="shared" si="37"/>
        <v>0</v>
      </c>
      <c r="T125" s="46">
        <f t="shared" si="37"/>
        <v>24.759237761621673</v>
      </c>
      <c r="U125" s="46">
        <f t="shared" si="37"/>
        <v>0.19817781531447509</v>
      </c>
      <c r="V125" s="46">
        <f t="shared" si="37"/>
        <v>42.042003167039219</v>
      </c>
      <c r="W125" s="46">
        <f t="shared" si="37"/>
        <v>0.63603719352745702</v>
      </c>
      <c r="X125" s="46">
        <f t="shared" si="37"/>
        <v>26.764912231005535</v>
      </c>
      <c r="Y125" s="46">
        <f t="shared" si="37"/>
        <v>8.3120177775500448</v>
      </c>
      <c r="Z125" s="46">
        <f t="shared" si="37"/>
        <v>0</v>
      </c>
      <c r="AA125" s="46">
        <f t="shared" si="37"/>
        <v>0</v>
      </c>
      <c r="AB125" s="46">
        <f t="shared" si="37"/>
        <v>5.0770702352640757</v>
      </c>
      <c r="AC125" s="46">
        <f t="shared" si="37"/>
        <v>2.9833655943203961</v>
      </c>
      <c r="AD125" s="46">
        <f t="shared" si="37"/>
        <v>5.6523113475326934</v>
      </c>
      <c r="AE125" s="46">
        <f t="shared" si="37"/>
        <v>0.48253815577037285</v>
      </c>
      <c r="AF125" s="46">
        <f t="shared" si="37"/>
        <v>0.29699194452467631</v>
      </c>
      <c r="AG125" s="46">
        <f t="shared" si="37"/>
        <v>0</v>
      </c>
      <c r="AH125" s="46">
        <f t="shared" si="37"/>
        <v>49.248096312246922</v>
      </c>
      <c r="AI125" s="46">
        <f t="shared" si="37"/>
        <v>22.859680461601677</v>
      </c>
      <c r="AJ125" s="46">
        <f t="shared" si="37"/>
        <v>474.43973686999749</v>
      </c>
    </row>
    <row r="126" spans="1:45" x14ac:dyDescent="0.25">
      <c r="A126" s="341" t="s">
        <v>377</v>
      </c>
      <c r="B126" s="46" t="s">
        <v>122</v>
      </c>
      <c r="C126" s="46" t="s">
        <v>469</v>
      </c>
      <c r="D126" s="46" t="s">
        <v>21</v>
      </c>
      <c r="E126" s="46" t="s">
        <v>107</v>
      </c>
      <c r="F126" s="46" t="s">
        <v>194</v>
      </c>
      <c r="G126" s="46"/>
      <c r="H126" s="46"/>
      <c r="I126" s="46">
        <f t="shared" si="38"/>
        <v>0</v>
      </c>
      <c r="J126" s="46">
        <f t="shared" si="37"/>
        <v>0</v>
      </c>
      <c r="K126" s="46">
        <f t="shared" si="37"/>
        <v>0</v>
      </c>
      <c r="L126" s="46">
        <f t="shared" si="37"/>
        <v>0</v>
      </c>
      <c r="M126" s="46">
        <f t="shared" si="37"/>
        <v>7.075877349677961E-5</v>
      </c>
      <c r="N126" s="46">
        <f t="shared" si="37"/>
        <v>0</v>
      </c>
      <c r="O126" s="46">
        <f t="shared" si="37"/>
        <v>0</v>
      </c>
      <c r="P126" s="46">
        <f t="shared" si="37"/>
        <v>0</v>
      </c>
      <c r="Q126" s="46">
        <f t="shared" si="37"/>
        <v>0</v>
      </c>
      <c r="R126" s="46">
        <f t="shared" si="37"/>
        <v>0</v>
      </c>
      <c r="S126" s="46">
        <f t="shared" si="37"/>
        <v>0</v>
      </c>
      <c r="T126" s="46">
        <f t="shared" si="37"/>
        <v>0</v>
      </c>
      <c r="U126" s="46">
        <f t="shared" si="37"/>
        <v>0</v>
      </c>
      <c r="V126" s="46">
        <f t="shared" si="37"/>
        <v>1.8254896523726666E-2</v>
      </c>
      <c r="W126" s="46">
        <f t="shared" si="37"/>
        <v>1.0879454808802743E-3</v>
      </c>
      <c r="X126" s="46">
        <f t="shared" si="37"/>
        <v>9.0439505101090416E-4</v>
      </c>
      <c r="Y126" s="46">
        <f t="shared" si="37"/>
        <v>5.1076112886529555E-3</v>
      </c>
      <c r="Z126" s="46">
        <f t="shared" si="37"/>
        <v>0</v>
      </c>
      <c r="AA126" s="46">
        <f t="shared" si="37"/>
        <v>0</v>
      </c>
      <c r="AB126" s="46">
        <f t="shared" si="37"/>
        <v>3.4121456072686719E-2</v>
      </c>
      <c r="AC126" s="46">
        <f t="shared" si="37"/>
        <v>0</v>
      </c>
      <c r="AD126" s="46">
        <f t="shared" si="37"/>
        <v>0.58690270487209806</v>
      </c>
      <c r="AE126" s="46">
        <f t="shared" si="37"/>
        <v>0</v>
      </c>
      <c r="AF126" s="46">
        <f t="shared" si="37"/>
        <v>0</v>
      </c>
      <c r="AG126" s="46">
        <f t="shared" si="37"/>
        <v>0</v>
      </c>
      <c r="AH126" s="46">
        <f t="shared" si="37"/>
        <v>0</v>
      </c>
      <c r="AI126" s="46">
        <f t="shared" si="37"/>
        <v>0.10182844020656227</v>
      </c>
      <c r="AJ126" s="46">
        <f t="shared" si="37"/>
        <v>1.2103057690508436</v>
      </c>
    </row>
    <row r="127" spans="1:45" x14ac:dyDescent="0.25">
      <c r="A127" s="341" t="s">
        <v>377</v>
      </c>
      <c r="B127" s="46" t="s">
        <v>122</v>
      </c>
      <c r="C127" s="46" t="s">
        <v>469</v>
      </c>
      <c r="D127" s="46" t="s">
        <v>20</v>
      </c>
      <c r="E127" s="46" t="s">
        <v>108</v>
      </c>
      <c r="F127" s="46" t="s">
        <v>194</v>
      </c>
      <c r="G127" s="46"/>
      <c r="H127" s="46"/>
      <c r="I127" s="46">
        <f t="shared" si="38"/>
        <v>0</v>
      </c>
      <c r="J127" s="46">
        <f t="shared" si="37"/>
        <v>0</v>
      </c>
      <c r="K127" s="46">
        <f t="shared" si="37"/>
        <v>0</v>
      </c>
      <c r="L127" s="46">
        <f t="shared" si="37"/>
        <v>0</v>
      </c>
      <c r="M127" s="46">
        <f t="shared" si="37"/>
        <v>0</v>
      </c>
      <c r="N127" s="46">
        <f t="shared" si="37"/>
        <v>0</v>
      </c>
      <c r="O127" s="46">
        <f t="shared" si="37"/>
        <v>0</v>
      </c>
      <c r="P127" s="46">
        <f t="shared" si="37"/>
        <v>0</v>
      </c>
      <c r="Q127" s="46">
        <f t="shared" si="37"/>
        <v>0</v>
      </c>
      <c r="R127" s="46">
        <f t="shared" si="37"/>
        <v>0</v>
      </c>
      <c r="S127" s="46">
        <f t="shared" si="37"/>
        <v>0</v>
      </c>
      <c r="T127" s="46">
        <f t="shared" si="37"/>
        <v>32.1546593710056</v>
      </c>
      <c r="U127" s="46">
        <f t="shared" si="37"/>
        <v>0.10986493587034901</v>
      </c>
      <c r="V127" s="46">
        <f t="shared" si="37"/>
        <v>1.4716804641711227</v>
      </c>
      <c r="W127" s="46">
        <f t="shared" si="37"/>
        <v>0.3789696109973455</v>
      </c>
      <c r="X127" s="46">
        <f t="shared" si="37"/>
        <v>1.9186124374207012</v>
      </c>
      <c r="Y127" s="46">
        <f t="shared" si="37"/>
        <v>2.1877248329641001</v>
      </c>
      <c r="Z127" s="46">
        <f t="shared" si="37"/>
        <v>0</v>
      </c>
      <c r="AA127" s="46">
        <f t="shared" si="37"/>
        <v>0</v>
      </c>
      <c r="AB127" s="46">
        <f t="shared" si="37"/>
        <v>1.4896152488967815E-2</v>
      </c>
      <c r="AC127" s="46">
        <f t="shared" si="37"/>
        <v>0</v>
      </c>
      <c r="AD127" s="46">
        <f t="shared" si="37"/>
        <v>3.1299928266095976E-2</v>
      </c>
      <c r="AE127" s="46">
        <f t="shared" si="37"/>
        <v>0</v>
      </c>
      <c r="AF127" s="46">
        <f t="shared" si="37"/>
        <v>0</v>
      </c>
      <c r="AG127" s="46">
        <f t="shared" si="37"/>
        <v>0</v>
      </c>
      <c r="AH127" s="46">
        <f t="shared" si="37"/>
        <v>39.189962371603841</v>
      </c>
      <c r="AI127" s="46">
        <f t="shared" si="37"/>
        <v>5.6149573990783654</v>
      </c>
      <c r="AJ127" s="46">
        <f t="shared" si="37"/>
        <v>0</v>
      </c>
    </row>
    <row r="128" spans="1:45" x14ac:dyDescent="0.25">
      <c r="A128" s="341" t="s">
        <v>377</v>
      </c>
      <c r="B128" s="46" t="s">
        <v>122</v>
      </c>
      <c r="C128" s="46" t="s">
        <v>469</v>
      </c>
      <c r="D128" s="46" t="s">
        <v>0</v>
      </c>
      <c r="E128" s="46" t="s">
        <v>109</v>
      </c>
      <c r="F128" s="46" t="s">
        <v>194</v>
      </c>
      <c r="G128" s="46"/>
      <c r="H128" s="46"/>
      <c r="I128" s="46">
        <f t="shared" si="38"/>
        <v>2.9822079882509619E-2</v>
      </c>
      <c r="J128" s="46">
        <f t="shared" si="37"/>
        <v>0</v>
      </c>
      <c r="K128" s="46">
        <f t="shared" si="37"/>
        <v>0.20475966856348191</v>
      </c>
      <c r="L128" s="46">
        <f t="shared" si="37"/>
        <v>0</v>
      </c>
      <c r="M128" s="46">
        <f t="shared" si="37"/>
        <v>6.392751982350728E-3</v>
      </c>
      <c r="N128" s="46">
        <f t="shared" si="37"/>
        <v>0</v>
      </c>
      <c r="O128" s="46">
        <f t="shared" si="37"/>
        <v>2.6158355925967647E-2</v>
      </c>
      <c r="P128" s="46">
        <f t="shared" si="37"/>
        <v>0</v>
      </c>
      <c r="Q128" s="46">
        <f t="shared" si="37"/>
        <v>8.3212681200224931E-2</v>
      </c>
      <c r="R128" s="46">
        <f t="shared" si="37"/>
        <v>0.34365294719828132</v>
      </c>
      <c r="S128" s="46">
        <f t="shared" si="37"/>
        <v>0</v>
      </c>
      <c r="T128" s="46">
        <f t="shared" si="37"/>
        <v>15.157175139299605</v>
      </c>
      <c r="U128" s="46">
        <f t="shared" si="37"/>
        <v>2.1786415106920141E-3</v>
      </c>
      <c r="V128" s="46">
        <f t="shared" si="37"/>
        <v>0.47071166965683531</v>
      </c>
      <c r="W128" s="46">
        <f t="shared" si="37"/>
        <v>2.6010950103458667E-2</v>
      </c>
      <c r="X128" s="46">
        <f t="shared" si="37"/>
        <v>3.2976868088196301</v>
      </c>
      <c r="Y128" s="46">
        <f t="shared" si="37"/>
        <v>0.25603894302298474</v>
      </c>
      <c r="Z128" s="46">
        <f t="shared" si="37"/>
        <v>0</v>
      </c>
      <c r="AA128" s="46">
        <f t="shared" si="37"/>
        <v>0</v>
      </c>
      <c r="AB128" s="46">
        <f t="shared" si="37"/>
        <v>3.0826925676499868</v>
      </c>
      <c r="AC128" s="46">
        <f t="shared" si="37"/>
        <v>0.91721282370233481</v>
      </c>
      <c r="AD128" s="46">
        <f t="shared" si="37"/>
        <v>0.32550687128440753</v>
      </c>
      <c r="AE128" s="46">
        <f t="shared" si="37"/>
        <v>3.405098237731629E-2</v>
      </c>
      <c r="AF128" s="46">
        <f t="shared" si="37"/>
        <v>2.6213246727379977</v>
      </c>
      <c r="AG128" s="46">
        <f t="shared" si="37"/>
        <v>7.3619090393791178E-2</v>
      </c>
      <c r="AH128" s="46">
        <f t="shared" si="37"/>
        <v>0.21846525801096703</v>
      </c>
      <c r="AI128" s="46">
        <f t="shared" si="37"/>
        <v>2.1437084355780724</v>
      </c>
      <c r="AJ128" s="46">
        <f t="shared" si="37"/>
        <v>19.014039421674951</v>
      </c>
    </row>
    <row r="129" spans="1:45" x14ac:dyDescent="0.25">
      <c r="A129" s="341" t="s">
        <v>377</v>
      </c>
      <c r="B129" s="46" t="s">
        <v>122</v>
      </c>
      <c r="C129" s="46" t="s">
        <v>469</v>
      </c>
      <c r="D129" s="46" t="s">
        <v>18</v>
      </c>
      <c r="E129" s="46" t="s">
        <v>104</v>
      </c>
      <c r="F129" s="46" t="s">
        <v>194</v>
      </c>
      <c r="G129" s="46"/>
      <c r="H129" s="46"/>
      <c r="I129" s="46">
        <f t="shared" si="38"/>
        <v>6.9192514961683013E-4</v>
      </c>
      <c r="J129" s="46">
        <f t="shared" si="37"/>
        <v>0</v>
      </c>
      <c r="K129" s="46">
        <f t="shared" si="37"/>
        <v>0</v>
      </c>
      <c r="L129" s="46">
        <f>L78/$G$101/(L$200/$G$100)</f>
        <v>0</v>
      </c>
      <c r="M129" s="46">
        <f t="shared" si="37"/>
        <v>7.9969890038562551E-5</v>
      </c>
      <c r="N129" s="46">
        <f t="shared" si="37"/>
        <v>0</v>
      </c>
      <c r="O129" s="46">
        <f t="shared" si="37"/>
        <v>0.43739633297235669</v>
      </c>
      <c r="P129" s="46">
        <f t="shared" si="37"/>
        <v>0</v>
      </c>
      <c r="Q129" s="46">
        <f t="shared" si="37"/>
        <v>0</v>
      </c>
      <c r="R129" s="46">
        <f t="shared" si="37"/>
        <v>0</v>
      </c>
      <c r="S129" s="46">
        <f t="shared" si="37"/>
        <v>0</v>
      </c>
      <c r="T129" s="46">
        <f t="shared" si="37"/>
        <v>26.480249996918982</v>
      </c>
      <c r="U129" s="46">
        <f t="shared" si="37"/>
        <v>1.2490285653596051E-2</v>
      </c>
      <c r="V129" s="46">
        <f t="shared" si="37"/>
        <v>0.57114396750234608</v>
      </c>
      <c r="W129" s="46">
        <f t="shared" si="37"/>
        <v>0.23706895293939811</v>
      </c>
      <c r="X129" s="46">
        <f t="shared" si="37"/>
        <v>6.4875184778191944E-2</v>
      </c>
      <c r="Y129" s="46">
        <f t="shared" si="37"/>
        <v>0.12223602380482114</v>
      </c>
      <c r="Z129" s="46">
        <f t="shared" si="37"/>
        <v>0</v>
      </c>
      <c r="AA129" s="46">
        <f t="shared" si="37"/>
        <v>0</v>
      </c>
      <c r="AB129" s="46">
        <f t="shared" si="37"/>
        <v>0</v>
      </c>
      <c r="AC129" s="46">
        <f t="shared" si="37"/>
        <v>2.877340292661312E-2</v>
      </c>
      <c r="AD129" s="46">
        <f t="shared" si="37"/>
        <v>0.40053377634450155</v>
      </c>
      <c r="AE129" s="46">
        <f t="shared" si="37"/>
        <v>1.0464507120206941E-4</v>
      </c>
      <c r="AF129" s="46">
        <f t="shared" si="37"/>
        <v>0</v>
      </c>
      <c r="AG129" s="46">
        <f t="shared" si="37"/>
        <v>0</v>
      </c>
      <c r="AH129" s="46">
        <f t="shared" si="37"/>
        <v>1.1091806474310599</v>
      </c>
      <c r="AI129" s="46">
        <f t="shared" si="37"/>
        <v>0.62931125713587532</v>
      </c>
      <c r="AJ129" s="46">
        <f t="shared" si="37"/>
        <v>0</v>
      </c>
    </row>
    <row r="130" spans="1:45" x14ac:dyDescent="0.25">
      <c r="A130" s="341" t="s">
        <v>377</v>
      </c>
      <c r="B130" s="48" t="s">
        <v>122</v>
      </c>
      <c r="C130" s="48" t="s">
        <v>469</v>
      </c>
      <c r="D130" s="48" t="s">
        <v>474</v>
      </c>
      <c r="E130" s="48" t="s">
        <v>475</v>
      </c>
      <c r="F130" s="48" t="s">
        <v>194</v>
      </c>
      <c r="G130" s="48"/>
      <c r="H130" s="48"/>
      <c r="I130" s="46">
        <f t="shared" si="38"/>
        <v>9.5480621528792487E-3</v>
      </c>
      <c r="J130" s="46">
        <f t="shared" si="37"/>
        <v>0</v>
      </c>
      <c r="K130" s="46">
        <f t="shared" si="37"/>
        <v>6.3293958108838408E-2</v>
      </c>
      <c r="L130" s="46">
        <f t="shared" si="37"/>
        <v>0</v>
      </c>
      <c r="M130" s="46">
        <f t="shared" si="37"/>
        <v>4.2735926876920196E-5</v>
      </c>
      <c r="N130" s="46">
        <f t="shared" si="37"/>
        <v>0</v>
      </c>
      <c r="O130" s="46">
        <f t="shared" si="37"/>
        <v>5.9093113014097604E-3</v>
      </c>
      <c r="P130" s="46">
        <f t="shared" si="37"/>
        <v>0</v>
      </c>
      <c r="Q130" s="46">
        <f t="shared" si="37"/>
        <v>2.7282544775043999E-5</v>
      </c>
      <c r="R130" s="46">
        <f t="shared" si="37"/>
        <v>1.2268816490374839</v>
      </c>
      <c r="S130" s="46">
        <f t="shared" si="37"/>
        <v>0</v>
      </c>
      <c r="T130" s="46">
        <f t="shared" si="37"/>
        <v>23.702166904296931</v>
      </c>
      <c r="U130" s="46">
        <f t="shared" si="37"/>
        <v>1.0667547886627564E-4</v>
      </c>
      <c r="V130" s="46">
        <f t="shared" si="37"/>
        <v>7.1357018529059424</v>
      </c>
      <c r="W130" s="46">
        <f t="shared" si="37"/>
        <v>7.0347491615137406E-3</v>
      </c>
      <c r="X130" s="46">
        <f t="shared" si="37"/>
        <v>7.1324730256889577</v>
      </c>
      <c r="Y130" s="46">
        <f t="shared" si="37"/>
        <v>3.7974179360579017</v>
      </c>
      <c r="Z130" s="46">
        <f t="shared" si="37"/>
        <v>0</v>
      </c>
      <c r="AA130" s="46">
        <f t="shared" si="37"/>
        <v>0</v>
      </c>
      <c r="AB130" s="46">
        <f t="shared" si="37"/>
        <v>4.6865548135476791</v>
      </c>
      <c r="AC130" s="46">
        <f t="shared" si="37"/>
        <v>5.0467010907070183E-2</v>
      </c>
      <c r="AD130" s="46">
        <f t="shared" si="37"/>
        <v>0.20344595972308532</v>
      </c>
      <c r="AE130" s="46">
        <f t="shared" si="37"/>
        <v>2.2419997291314001E-2</v>
      </c>
      <c r="AF130" s="46">
        <f t="shared" si="37"/>
        <v>0</v>
      </c>
      <c r="AG130" s="46">
        <f t="shared" si="37"/>
        <v>0.1046376378629089</v>
      </c>
      <c r="AH130" s="46">
        <f t="shared" si="37"/>
        <v>4.4146680937214688E-2</v>
      </c>
      <c r="AI130" s="46">
        <f t="shared" si="37"/>
        <v>7.1019846063303103</v>
      </c>
      <c r="AJ130" s="46">
        <f t="shared" si="37"/>
        <v>45.389416216454308</v>
      </c>
    </row>
    <row r="131" spans="1:45" x14ac:dyDescent="0.25">
      <c r="A131" s="341" t="s">
        <v>377</v>
      </c>
      <c r="B131" s="46" t="s">
        <v>124</v>
      </c>
      <c r="C131" s="46" t="s">
        <v>470</v>
      </c>
      <c r="D131" s="46" t="s">
        <v>476</v>
      </c>
      <c r="E131" s="46" t="s">
        <v>482</v>
      </c>
      <c r="F131" s="46" t="s">
        <v>194</v>
      </c>
      <c r="G131" s="46"/>
      <c r="H131" s="46"/>
      <c r="I131" s="51">
        <f t="shared" ref="I131:AJ132" si="39">I80/$G$101/(I$202/$G$100)</f>
        <v>0</v>
      </c>
      <c r="J131" s="51">
        <f t="shared" si="39"/>
        <v>0</v>
      </c>
      <c r="K131" s="51">
        <f t="shared" si="39"/>
        <v>0</v>
      </c>
      <c r="L131" s="51">
        <f t="shared" si="39"/>
        <v>0</v>
      </c>
      <c r="M131" s="51">
        <f t="shared" si="39"/>
        <v>0</v>
      </c>
      <c r="N131" s="51">
        <f t="shared" si="39"/>
        <v>0</v>
      </c>
      <c r="O131" s="51">
        <f t="shared" si="39"/>
        <v>0</v>
      </c>
      <c r="P131" s="51">
        <f t="shared" si="39"/>
        <v>0</v>
      </c>
      <c r="Q131" s="51">
        <f t="shared" si="39"/>
        <v>0</v>
      </c>
      <c r="R131" s="51">
        <f t="shared" si="39"/>
        <v>0</v>
      </c>
      <c r="S131" s="51">
        <f t="shared" si="39"/>
        <v>0</v>
      </c>
      <c r="T131" s="51">
        <f t="shared" si="39"/>
        <v>0</v>
      </c>
      <c r="U131" s="51">
        <f t="shared" si="39"/>
        <v>0</v>
      </c>
      <c r="V131" s="51">
        <f t="shared" si="39"/>
        <v>0</v>
      </c>
      <c r="W131" s="51">
        <f t="shared" si="39"/>
        <v>0</v>
      </c>
      <c r="X131" s="51">
        <f t="shared" si="39"/>
        <v>0</v>
      </c>
      <c r="Y131" s="51">
        <f t="shared" si="39"/>
        <v>0</v>
      </c>
      <c r="Z131" s="51">
        <f t="shared" si="39"/>
        <v>0</v>
      </c>
      <c r="AA131" s="51">
        <f t="shared" si="39"/>
        <v>0</v>
      </c>
      <c r="AB131" s="51">
        <f t="shared" si="39"/>
        <v>0</v>
      </c>
      <c r="AC131" s="51">
        <f t="shared" si="39"/>
        <v>0</v>
      </c>
      <c r="AD131" s="51">
        <f t="shared" si="39"/>
        <v>0</v>
      </c>
      <c r="AE131" s="51">
        <f t="shared" si="39"/>
        <v>0</v>
      </c>
      <c r="AF131" s="51">
        <f t="shared" si="39"/>
        <v>0</v>
      </c>
      <c r="AG131" s="51">
        <f t="shared" si="39"/>
        <v>0</v>
      </c>
      <c r="AH131" s="51">
        <f t="shared" si="39"/>
        <v>0</v>
      </c>
      <c r="AI131" s="51">
        <f t="shared" si="39"/>
        <v>0</v>
      </c>
      <c r="AJ131" s="51">
        <f t="shared" si="39"/>
        <v>0</v>
      </c>
    </row>
    <row r="132" spans="1:45" x14ac:dyDescent="0.25">
      <c r="A132" s="341" t="s">
        <v>377</v>
      </c>
      <c r="B132" s="48" t="s">
        <v>124</v>
      </c>
      <c r="C132" s="48" t="s">
        <v>470</v>
      </c>
      <c r="D132" s="48" t="s">
        <v>19</v>
      </c>
      <c r="E132" s="48" t="s">
        <v>105</v>
      </c>
      <c r="F132" s="48" t="s">
        <v>194</v>
      </c>
      <c r="G132" s="48"/>
      <c r="H132" s="48"/>
      <c r="I132" s="46">
        <f t="shared" si="39"/>
        <v>0.47201637263831925</v>
      </c>
      <c r="J132" s="46">
        <f t="shared" si="39"/>
        <v>0.64093578955101849</v>
      </c>
      <c r="K132" s="46">
        <f t="shared" si="39"/>
        <v>6.8298401712323834E-2</v>
      </c>
      <c r="L132" s="46">
        <f t="shared" si="39"/>
        <v>0.2881253796412977</v>
      </c>
      <c r="M132" s="46">
        <f t="shared" si="39"/>
        <v>11.357115339310207</v>
      </c>
      <c r="N132" s="46">
        <f t="shared" si="39"/>
        <v>1.7228895295908839</v>
      </c>
      <c r="O132" s="46">
        <f t="shared" si="39"/>
        <v>2.6519338909614114</v>
      </c>
      <c r="P132" s="46">
        <f t="shared" si="39"/>
        <v>1.1354990775429288</v>
      </c>
      <c r="Q132" s="46">
        <f t="shared" si="39"/>
        <v>78.430382118934787</v>
      </c>
      <c r="R132" s="46">
        <f t="shared" si="39"/>
        <v>28.317247254750889</v>
      </c>
      <c r="S132" s="46">
        <f t="shared" si="39"/>
        <v>0.21542053476528494</v>
      </c>
      <c r="T132" s="46">
        <f t="shared" si="39"/>
        <v>5615.8365327314905</v>
      </c>
      <c r="U132" s="46">
        <f t="shared" si="39"/>
        <v>3.7844406484673141</v>
      </c>
      <c r="V132" s="46">
        <f t="shared" si="39"/>
        <v>0.28844161460345263</v>
      </c>
      <c r="W132" s="46">
        <f t="shared" si="39"/>
        <v>42.086425959359758</v>
      </c>
      <c r="X132" s="46">
        <f t="shared" si="39"/>
        <v>45.264182965695902</v>
      </c>
      <c r="Y132" s="46">
        <f t="shared" si="39"/>
        <v>3.1630803053689962</v>
      </c>
      <c r="Z132" s="46">
        <f t="shared" si="39"/>
        <v>9.1549372131673827</v>
      </c>
      <c r="AA132" s="46">
        <f t="shared" si="39"/>
        <v>8.561094917451161</v>
      </c>
      <c r="AB132" s="46">
        <f t="shared" si="39"/>
        <v>11.830028645603454</v>
      </c>
      <c r="AC132" s="46">
        <f t="shared" si="39"/>
        <v>77.94648672958256</v>
      </c>
      <c r="AD132" s="46">
        <f t="shared" si="39"/>
        <v>0</v>
      </c>
      <c r="AE132" s="46">
        <f t="shared" si="39"/>
        <v>0</v>
      </c>
      <c r="AF132" s="46">
        <f t="shared" si="39"/>
        <v>30.826837578674205</v>
      </c>
      <c r="AG132" s="46">
        <f t="shared" si="39"/>
        <v>4.7742109737290921E-2</v>
      </c>
      <c r="AH132" s="46">
        <f t="shared" si="39"/>
        <v>191.41146441305824</v>
      </c>
      <c r="AI132" s="46">
        <f t="shared" si="39"/>
        <v>9.7412935190110321</v>
      </c>
      <c r="AJ132" s="46">
        <f t="shared" si="39"/>
        <v>125.30087607754766</v>
      </c>
    </row>
    <row r="133" spans="1:45" x14ac:dyDescent="0.25">
      <c r="A133" s="341" t="s">
        <v>377</v>
      </c>
      <c r="B133" s="46" t="s">
        <v>124</v>
      </c>
      <c r="C133" s="46" t="s">
        <v>471</v>
      </c>
      <c r="D133" s="46" t="s">
        <v>476</v>
      </c>
      <c r="E133" s="46" t="s">
        <v>482</v>
      </c>
      <c r="F133" s="46" t="s">
        <v>194</v>
      </c>
      <c r="G133" s="46"/>
      <c r="H133" s="46"/>
      <c r="I133" s="51">
        <f>I82/$G$101/(I$203/$G$100)</f>
        <v>0</v>
      </c>
      <c r="J133" s="51">
        <f t="shared" ref="J133:AJ134" si="40">J82/$G$101/(J$203/$G$100)</f>
        <v>0</v>
      </c>
      <c r="K133" s="51">
        <f t="shared" si="40"/>
        <v>0</v>
      </c>
      <c r="L133" s="51">
        <f t="shared" si="40"/>
        <v>0</v>
      </c>
      <c r="M133" s="64">
        <f t="shared" si="40"/>
        <v>0</v>
      </c>
      <c r="N133" s="51">
        <f t="shared" si="40"/>
        <v>0</v>
      </c>
      <c r="O133" s="51">
        <f t="shared" si="40"/>
        <v>0</v>
      </c>
      <c r="P133" s="51">
        <f t="shared" si="40"/>
        <v>0</v>
      </c>
      <c r="Q133" s="51">
        <f t="shared" si="40"/>
        <v>0</v>
      </c>
      <c r="R133" s="51">
        <f t="shared" si="40"/>
        <v>0</v>
      </c>
      <c r="S133" s="51">
        <f t="shared" si="40"/>
        <v>0</v>
      </c>
      <c r="T133" s="51">
        <f t="shared" si="40"/>
        <v>0</v>
      </c>
      <c r="U133" s="51">
        <f t="shared" si="40"/>
        <v>0</v>
      </c>
      <c r="V133" s="51">
        <f t="shared" si="40"/>
        <v>0</v>
      </c>
      <c r="W133" s="51">
        <f t="shared" si="40"/>
        <v>0</v>
      </c>
      <c r="X133" s="51">
        <f t="shared" si="40"/>
        <v>0</v>
      </c>
      <c r="Y133" s="51">
        <f t="shared" si="40"/>
        <v>0</v>
      </c>
      <c r="Z133" s="51">
        <f t="shared" si="40"/>
        <v>0</v>
      </c>
      <c r="AA133" s="51">
        <f t="shared" si="40"/>
        <v>0</v>
      </c>
      <c r="AB133" s="51">
        <f t="shared" si="40"/>
        <v>0</v>
      </c>
      <c r="AC133" s="51">
        <f t="shared" si="40"/>
        <v>0</v>
      </c>
      <c r="AD133" s="51">
        <f t="shared" si="40"/>
        <v>0</v>
      </c>
      <c r="AE133" s="51">
        <f t="shared" si="40"/>
        <v>0</v>
      </c>
      <c r="AF133" s="51">
        <f t="shared" si="40"/>
        <v>0</v>
      </c>
      <c r="AG133" s="51">
        <f t="shared" si="40"/>
        <v>0</v>
      </c>
      <c r="AH133" s="51">
        <f t="shared" si="40"/>
        <v>0</v>
      </c>
      <c r="AI133" s="51">
        <f t="shared" si="40"/>
        <v>0</v>
      </c>
      <c r="AJ133" s="51">
        <f t="shared" si="40"/>
        <v>0</v>
      </c>
    </row>
    <row r="134" spans="1:45" x14ac:dyDescent="0.25">
      <c r="A134" s="341" t="s">
        <v>377</v>
      </c>
      <c r="B134" s="48" t="s">
        <v>124</v>
      </c>
      <c r="C134" s="48" t="s">
        <v>471</v>
      </c>
      <c r="D134" s="48" t="s">
        <v>19</v>
      </c>
      <c r="E134" s="48" t="s">
        <v>105</v>
      </c>
      <c r="F134" s="48" t="s">
        <v>194</v>
      </c>
      <c r="G134" s="48"/>
      <c r="H134" s="48"/>
      <c r="I134" s="48">
        <f>I83/$G$101/(I$203/$G$100)</f>
        <v>2.3362149632497876E-2</v>
      </c>
      <c r="J134" s="48">
        <f t="shared" si="40"/>
        <v>8.8579362881372206E-2</v>
      </c>
      <c r="K134" s="48">
        <f t="shared" si="40"/>
        <v>6.243424848990241E-3</v>
      </c>
      <c r="L134" s="48">
        <f t="shared" si="40"/>
        <v>3.7925973814447338E-2</v>
      </c>
      <c r="M134" s="48">
        <f>M83/$G$101/(M$203/$G$100)</f>
        <v>4.4802767303919655</v>
      </c>
      <c r="N134" s="48">
        <f t="shared" si="40"/>
        <v>0.14892292222852346</v>
      </c>
      <c r="O134" s="48">
        <f t="shared" si="40"/>
        <v>0.10156705664744524</v>
      </c>
      <c r="P134" s="48">
        <f t="shared" si="40"/>
        <v>5.4695017395125049E-2</v>
      </c>
      <c r="Q134" s="48">
        <f t="shared" si="40"/>
        <v>14.545131592926351</v>
      </c>
      <c r="R134" s="48">
        <f t="shared" si="40"/>
        <v>83.355081786347796</v>
      </c>
      <c r="S134" s="48">
        <f t="shared" si="40"/>
        <v>0.14670527207190312</v>
      </c>
      <c r="T134" s="48">
        <f t="shared" si="40"/>
        <v>1906.946897885671</v>
      </c>
      <c r="U134" s="48">
        <f t="shared" si="40"/>
        <v>2.0415239085679535</v>
      </c>
      <c r="V134" s="48">
        <f t="shared" si="40"/>
        <v>0.69546111397777732</v>
      </c>
      <c r="W134" s="48">
        <f t="shared" si="40"/>
        <v>13.739640765602664</v>
      </c>
      <c r="X134" s="48">
        <f t="shared" si="40"/>
        <v>22.906040754044483</v>
      </c>
      <c r="Y134" s="48">
        <f t="shared" si="40"/>
        <v>2.1162610025737676</v>
      </c>
      <c r="Z134" s="48">
        <f t="shared" si="40"/>
        <v>0.47326843724515705</v>
      </c>
      <c r="AA134" s="48">
        <f t="shared" si="40"/>
        <v>0.3558832245052953</v>
      </c>
      <c r="AB134" s="48">
        <f t="shared" si="40"/>
        <v>8.935078897808614</v>
      </c>
      <c r="AC134" s="48">
        <f t="shared" si="40"/>
        <v>13.099922708971103</v>
      </c>
      <c r="AD134" s="48">
        <f t="shared" si="40"/>
        <v>0</v>
      </c>
      <c r="AE134" s="48">
        <f t="shared" si="40"/>
        <v>0</v>
      </c>
      <c r="AF134" s="48">
        <f t="shared" si="40"/>
        <v>8.7674435841618958</v>
      </c>
      <c r="AG134" s="48">
        <f t="shared" si="40"/>
        <v>6.6427326886504779E-3</v>
      </c>
      <c r="AH134" s="48">
        <f t="shared" si="40"/>
        <v>121.43005591065084</v>
      </c>
      <c r="AI134" s="48">
        <f t="shared" si="40"/>
        <v>7.1767022389916999</v>
      </c>
      <c r="AJ134" s="48">
        <f t="shared" si="40"/>
        <v>250.33427424782525</v>
      </c>
    </row>
    <row r="135" spans="1:45" x14ac:dyDescent="0.2">
      <c r="A135" s="341" t="s">
        <v>377</v>
      </c>
      <c r="B135" s="46" t="s">
        <v>119</v>
      </c>
      <c r="C135" s="46" t="s">
        <v>118</v>
      </c>
      <c r="D135" s="46" t="s">
        <v>115</v>
      </c>
      <c r="E135" s="46" t="s">
        <v>368</v>
      </c>
      <c r="F135" s="46" t="s">
        <v>194</v>
      </c>
      <c r="G135" s="46"/>
      <c r="H135" s="46"/>
      <c r="I135" s="46">
        <f>I85/$G$101/(I$204/$G$100)</f>
        <v>478.80527410018539</v>
      </c>
      <c r="J135" s="46">
        <f t="shared" ref="J135:AJ135" si="41">J85/$G$101/(J$204/$G$100)</f>
        <v>22.234207761045948</v>
      </c>
      <c r="K135" s="46">
        <f t="shared" si="41"/>
        <v>347.81414962143981</v>
      </c>
      <c r="L135" s="46">
        <f t="shared" si="41"/>
        <v>176.88695785154118</v>
      </c>
      <c r="M135" s="46">
        <f t="shared" si="41"/>
        <v>3.6462066997198718E-3</v>
      </c>
      <c r="N135" s="46">
        <f t="shared" si="41"/>
        <v>1.2011254712536601</v>
      </c>
      <c r="O135" s="46">
        <f t="shared" si="41"/>
        <v>10.65869818735796</v>
      </c>
      <c r="P135" s="46">
        <f t="shared" si="41"/>
        <v>21.59654469459953</v>
      </c>
      <c r="Q135" s="46">
        <f t="shared" si="41"/>
        <v>67.055421615862656</v>
      </c>
      <c r="R135" s="46">
        <f t="shared" si="41"/>
        <v>0</v>
      </c>
      <c r="S135" s="46">
        <f t="shared" si="41"/>
        <v>0.14500108429458217</v>
      </c>
      <c r="T135" s="46">
        <f t="shared" si="41"/>
        <v>9.7105197877453726</v>
      </c>
      <c r="U135" s="46">
        <f t="shared" si="41"/>
        <v>0.90102855962981698</v>
      </c>
      <c r="V135" s="46">
        <f t="shared" si="41"/>
        <v>8.2866138128643661E-3</v>
      </c>
      <c r="W135" s="46">
        <f t="shared" si="41"/>
        <v>2.2929675303521551</v>
      </c>
      <c r="X135" s="46">
        <f t="shared" si="41"/>
        <v>4.1732230168468751</v>
      </c>
      <c r="Y135" s="46">
        <f t="shared" si="41"/>
        <v>2.3208411851983666E-2</v>
      </c>
      <c r="Z135" s="46">
        <f t="shared" si="41"/>
        <v>16.063672983045009</v>
      </c>
      <c r="AA135" s="46">
        <f t="shared" si="41"/>
        <v>57.504678269037939</v>
      </c>
      <c r="AB135" s="46">
        <f t="shared" si="41"/>
        <v>1.3518437302868783E-2</v>
      </c>
      <c r="AC135" s="46">
        <f t="shared" si="41"/>
        <v>144.87273242009135</v>
      </c>
      <c r="AD135" s="46">
        <f t="shared" si="41"/>
        <v>0</v>
      </c>
      <c r="AE135" s="46">
        <f t="shared" si="41"/>
        <v>0</v>
      </c>
      <c r="AF135" s="46">
        <f t="shared" si="41"/>
        <v>0</v>
      </c>
      <c r="AG135" s="46">
        <f t="shared" si="41"/>
        <v>702.92305688087606</v>
      </c>
      <c r="AH135" s="46">
        <f t="shared" si="41"/>
        <v>0.60409354729664511</v>
      </c>
      <c r="AI135" s="46">
        <f t="shared" si="41"/>
        <v>0.21538851271188894</v>
      </c>
      <c r="AJ135" s="46">
        <f t="shared" si="41"/>
        <v>0</v>
      </c>
      <c r="AK135" s="405"/>
      <c r="AO135" s="341"/>
      <c r="AP135" s="341"/>
      <c r="AQ135" s="341"/>
      <c r="AS135" s="341"/>
    </row>
    <row r="136" spans="1:45" x14ac:dyDescent="0.2">
      <c r="A136" s="341" t="s">
        <v>377</v>
      </c>
      <c r="B136" s="46" t="s">
        <v>119</v>
      </c>
      <c r="C136" s="46" t="s">
        <v>118</v>
      </c>
      <c r="D136" s="46" t="s">
        <v>18</v>
      </c>
      <c r="E136" s="46" t="s">
        <v>104</v>
      </c>
      <c r="F136" s="46" t="s">
        <v>194</v>
      </c>
      <c r="G136" s="46"/>
      <c r="H136" s="46"/>
      <c r="I136" s="46">
        <f>I89/$G$101/(I$204/$G$100)</f>
        <v>8.6120376685768687E-3</v>
      </c>
      <c r="J136" s="46">
        <f t="shared" ref="J136:AJ136" si="42">J89/$G$101/(J$204/$G$100)</f>
        <v>4.9432323837571264E-3</v>
      </c>
      <c r="K136" s="46">
        <f t="shared" si="42"/>
        <v>0</v>
      </c>
      <c r="L136" s="46">
        <f t="shared" si="42"/>
        <v>7.6213830036695409</v>
      </c>
      <c r="M136" s="46">
        <f t="shared" si="42"/>
        <v>1.0774701836470613E-2</v>
      </c>
      <c r="N136" s="46">
        <f t="shared" si="42"/>
        <v>12.745148206131766</v>
      </c>
      <c r="O136" s="46">
        <f t="shared" si="42"/>
        <v>2.7136490541422051</v>
      </c>
      <c r="P136" s="46">
        <f t="shared" si="42"/>
        <v>6.2369210697977824E-3</v>
      </c>
      <c r="Q136" s="46">
        <f t="shared" si="42"/>
        <v>0</v>
      </c>
      <c r="R136" s="46">
        <f t="shared" si="42"/>
        <v>0</v>
      </c>
      <c r="S136" s="46">
        <f t="shared" si="42"/>
        <v>0</v>
      </c>
      <c r="T136" s="46">
        <f t="shared" si="42"/>
        <v>84.274689628180028</v>
      </c>
      <c r="U136" s="46">
        <f t="shared" si="42"/>
        <v>1.0494714064734365</v>
      </c>
      <c r="V136" s="46">
        <f t="shared" si="42"/>
        <v>0.73279558188899585</v>
      </c>
      <c r="W136" s="46">
        <f t="shared" si="42"/>
        <v>9.3584271395211971</v>
      </c>
      <c r="X136" s="46">
        <f t="shared" si="42"/>
        <v>0.14466678523089219</v>
      </c>
      <c r="Y136" s="46">
        <f t="shared" si="42"/>
        <v>1.1627409422668713</v>
      </c>
      <c r="Z136" s="46">
        <f t="shared" si="42"/>
        <v>3.221958121330724</v>
      </c>
      <c r="AA136" s="46">
        <f t="shared" si="42"/>
        <v>0.55896934116112207</v>
      </c>
      <c r="AB136" s="46">
        <f t="shared" si="42"/>
        <v>0</v>
      </c>
      <c r="AC136" s="46">
        <f t="shared" si="42"/>
        <v>0.18170240910607249</v>
      </c>
      <c r="AD136" s="46">
        <f t="shared" si="42"/>
        <v>0</v>
      </c>
      <c r="AE136" s="46">
        <f t="shared" si="42"/>
        <v>0</v>
      </c>
      <c r="AF136" s="46">
        <f t="shared" si="42"/>
        <v>0</v>
      </c>
      <c r="AG136" s="46">
        <f t="shared" si="42"/>
        <v>0</v>
      </c>
      <c r="AH136" s="46">
        <f t="shared" si="42"/>
        <v>4.4876412263535546</v>
      </c>
      <c r="AI136" s="46">
        <f t="shared" si="42"/>
        <v>0.71141522020436398</v>
      </c>
      <c r="AJ136" s="46">
        <f t="shared" si="42"/>
        <v>0</v>
      </c>
      <c r="AK136" s="405"/>
    </row>
    <row r="137" spans="1:45" ht="15.75" x14ac:dyDescent="0.25">
      <c r="A137" s="341" t="s">
        <v>377</v>
      </c>
      <c r="B137" s="46" t="s">
        <v>119</v>
      </c>
      <c r="C137" s="46" t="s">
        <v>118</v>
      </c>
      <c r="D137" s="46" t="s">
        <v>19</v>
      </c>
      <c r="E137" s="46" t="s">
        <v>105</v>
      </c>
      <c r="F137" s="46" t="s">
        <v>194</v>
      </c>
      <c r="G137" s="46"/>
      <c r="H137" s="46"/>
      <c r="I137" s="46">
        <f>I86/$G$101/(I$204/$G$100)</f>
        <v>1.8442844495363997</v>
      </c>
      <c r="J137" s="46">
        <f t="shared" ref="J137:AJ137" si="43">J86/$G$101/(J$204/$G$100)</f>
        <v>9.4402005423023585</v>
      </c>
      <c r="K137" s="46">
        <f t="shared" si="43"/>
        <v>1.8120339875453302</v>
      </c>
      <c r="L137" s="46">
        <f t="shared" si="43"/>
        <v>4.9196802179481605</v>
      </c>
      <c r="M137" s="46">
        <f t="shared" si="43"/>
        <v>6.387092045432663</v>
      </c>
      <c r="N137" s="46">
        <f t="shared" si="43"/>
        <v>7.8161985152412949</v>
      </c>
      <c r="O137" s="46">
        <f t="shared" si="43"/>
        <v>11.253848520500965</v>
      </c>
      <c r="P137" s="46">
        <f t="shared" si="43"/>
        <v>12.432235395225851</v>
      </c>
      <c r="Q137" s="46">
        <f t="shared" si="43"/>
        <v>5.7543513754350153</v>
      </c>
      <c r="R137" s="46">
        <f t="shared" si="43"/>
        <v>17.190667298542735</v>
      </c>
      <c r="S137" s="46">
        <f t="shared" si="43"/>
        <v>1.0550818295594648</v>
      </c>
      <c r="T137" s="46">
        <f t="shared" si="43"/>
        <v>325.42604272024761</v>
      </c>
      <c r="U137" s="46">
        <f t="shared" si="43"/>
        <v>7.8790636003809498</v>
      </c>
      <c r="V137" s="46">
        <f t="shared" si="43"/>
        <v>12.51170330045257</v>
      </c>
      <c r="W137" s="46">
        <f t="shared" si="43"/>
        <v>11.224758388044901</v>
      </c>
      <c r="X137" s="46">
        <f t="shared" si="43"/>
        <v>36.125821268424453</v>
      </c>
      <c r="Y137" s="46">
        <f t="shared" si="43"/>
        <v>54.994189425853072</v>
      </c>
      <c r="Z137" s="46">
        <f t="shared" si="43"/>
        <v>25.752630498524738</v>
      </c>
      <c r="AA137" s="46">
        <f t="shared" si="43"/>
        <v>39.187125309835373</v>
      </c>
      <c r="AB137" s="46">
        <f t="shared" si="43"/>
        <v>15.955853609345025</v>
      </c>
      <c r="AC137" s="46">
        <f t="shared" si="43"/>
        <v>0</v>
      </c>
      <c r="AD137" s="46">
        <f t="shared" si="43"/>
        <v>10.280720669477297</v>
      </c>
      <c r="AE137" s="46">
        <f t="shared" si="43"/>
        <v>35.637632652039379</v>
      </c>
      <c r="AF137" s="46">
        <f t="shared" si="43"/>
        <v>0.91347536314125244</v>
      </c>
      <c r="AG137" s="46">
        <f t="shared" si="43"/>
        <v>1.3220387456167775</v>
      </c>
      <c r="AH137" s="46">
        <f t="shared" si="43"/>
        <v>20.32666468535432</v>
      </c>
      <c r="AI137" s="46">
        <f t="shared" si="43"/>
        <v>2.6044907928305276</v>
      </c>
      <c r="AJ137" s="46">
        <f t="shared" si="43"/>
        <v>20.349374389888375</v>
      </c>
      <c r="AK137"/>
    </row>
    <row r="138" spans="1:45" ht="15.75" x14ac:dyDescent="0.25">
      <c r="A138" s="341" t="s">
        <v>377</v>
      </c>
      <c r="B138" s="46" t="s">
        <v>119</v>
      </c>
      <c r="C138" s="46" t="s">
        <v>118</v>
      </c>
      <c r="D138" s="46" t="s">
        <v>476</v>
      </c>
      <c r="E138" s="46" t="s">
        <v>482</v>
      </c>
      <c r="F138" s="46" t="s">
        <v>194</v>
      </c>
      <c r="G138" s="46"/>
      <c r="H138" s="46"/>
      <c r="I138" s="46">
        <f>I87/$G$101/(I$204/$G$100)</f>
        <v>0</v>
      </c>
      <c r="J138" s="46">
        <f t="shared" ref="J138:AJ138" si="44">J87/$G$101/(J$204/$G$100)</f>
        <v>15.516783690056968</v>
      </c>
      <c r="K138" s="46">
        <f t="shared" si="44"/>
        <v>0</v>
      </c>
      <c r="L138" s="46">
        <f t="shared" si="44"/>
        <v>6.4800779344476823E-3</v>
      </c>
      <c r="M138" s="46">
        <f t="shared" si="44"/>
        <v>1.7932759197018402</v>
      </c>
      <c r="N138" s="46">
        <f t="shared" si="44"/>
        <v>25.796337712428357</v>
      </c>
      <c r="O138" s="46">
        <f t="shared" si="44"/>
        <v>0.11774995251303579</v>
      </c>
      <c r="P138" s="46">
        <f t="shared" si="44"/>
        <v>20.042457872027821</v>
      </c>
      <c r="Q138" s="46">
        <f t="shared" si="44"/>
        <v>1.6625144717047506</v>
      </c>
      <c r="R138" s="46">
        <f t="shared" si="44"/>
        <v>1.2728068476313361</v>
      </c>
      <c r="S138" s="46">
        <f t="shared" si="44"/>
        <v>0.26264985651068856</v>
      </c>
      <c r="T138" s="46">
        <f t="shared" si="44"/>
        <v>181.87138184993398</v>
      </c>
      <c r="U138" s="46">
        <f t="shared" si="44"/>
        <v>11.673560102612976</v>
      </c>
      <c r="V138" s="46">
        <f t="shared" si="44"/>
        <v>3.9302046707819969</v>
      </c>
      <c r="W138" s="46">
        <f t="shared" si="44"/>
        <v>15.222834250255008</v>
      </c>
      <c r="X138" s="46">
        <f t="shared" si="44"/>
        <v>41.841389070684706</v>
      </c>
      <c r="Y138" s="46">
        <f t="shared" si="44"/>
        <v>5.3603754828908858</v>
      </c>
      <c r="Z138" s="46">
        <f t="shared" si="44"/>
        <v>4.0136965193126546E-2</v>
      </c>
      <c r="AA138" s="46">
        <f t="shared" si="44"/>
        <v>2.5751035862705867</v>
      </c>
      <c r="AB138" s="46">
        <f t="shared" si="44"/>
        <v>11.300047626795044</v>
      </c>
      <c r="AC138" s="46">
        <f t="shared" si="44"/>
        <v>7.6026586584859652</v>
      </c>
      <c r="AD138" s="46">
        <f t="shared" si="44"/>
        <v>7.1154810799632617</v>
      </c>
      <c r="AE138" s="46">
        <f t="shared" si="44"/>
        <v>24.737162189843779</v>
      </c>
      <c r="AF138" s="46">
        <f t="shared" si="44"/>
        <v>0.10546658763262222</v>
      </c>
      <c r="AG138" s="46">
        <f t="shared" si="44"/>
        <v>0</v>
      </c>
      <c r="AH138" s="46">
        <f t="shared" si="44"/>
        <v>120.03697728363316</v>
      </c>
      <c r="AI138" s="46">
        <f t="shared" si="44"/>
        <v>19.289881669275228</v>
      </c>
      <c r="AJ138" s="46">
        <f t="shared" si="44"/>
        <v>19.34983498634125</v>
      </c>
      <c r="AK138"/>
    </row>
    <row r="139" spans="1:45" ht="15.75" x14ac:dyDescent="0.25">
      <c r="A139" s="341" t="s">
        <v>377</v>
      </c>
      <c r="B139" s="46" t="s">
        <v>119</v>
      </c>
      <c r="C139" s="46" t="s">
        <v>118</v>
      </c>
      <c r="D139" s="46" t="s">
        <v>0</v>
      </c>
      <c r="E139" s="46" t="s">
        <v>109</v>
      </c>
      <c r="F139" s="46" t="s">
        <v>194</v>
      </c>
      <c r="G139" s="46"/>
      <c r="H139" s="46"/>
      <c r="I139" s="46">
        <f>I88/$G$101/(I$204/$G$100)</f>
        <v>7.6376836759393223</v>
      </c>
      <c r="J139" s="46">
        <f t="shared" ref="J139:AJ139" si="45">J88/$G$101/(J$204/$G$100)</f>
        <v>90.53722530497636</v>
      </c>
      <c r="K139" s="46">
        <f t="shared" si="45"/>
        <v>10.743808711784146</v>
      </c>
      <c r="L139" s="46">
        <f t="shared" si="45"/>
        <v>6.2656446922376468</v>
      </c>
      <c r="M139" s="46">
        <f t="shared" si="45"/>
        <v>1.2251419474186926</v>
      </c>
      <c r="N139" s="46">
        <f t="shared" si="45"/>
        <v>25.977815869602914</v>
      </c>
      <c r="O139" s="46">
        <f t="shared" si="45"/>
        <v>25.818585885208947</v>
      </c>
      <c r="P139" s="46">
        <f t="shared" si="45"/>
        <v>13.483280416160914</v>
      </c>
      <c r="Q139" s="46">
        <f t="shared" si="45"/>
        <v>60.247806709736011</v>
      </c>
      <c r="R139" s="46">
        <f t="shared" si="45"/>
        <v>0</v>
      </c>
      <c r="S139" s="46">
        <f t="shared" si="45"/>
        <v>1.2290047489862359</v>
      </c>
      <c r="T139" s="46">
        <f t="shared" si="45"/>
        <v>244.33013757454472</v>
      </c>
      <c r="U139" s="46">
        <f t="shared" si="45"/>
        <v>2.7114394007742884</v>
      </c>
      <c r="V139" s="46">
        <f t="shared" si="45"/>
        <v>0</v>
      </c>
      <c r="W139" s="46">
        <f t="shared" si="45"/>
        <v>8.576293507631469</v>
      </c>
      <c r="X139" s="46">
        <f t="shared" si="45"/>
        <v>4.2048149852957017</v>
      </c>
      <c r="Y139" s="46">
        <f t="shared" si="45"/>
        <v>8.8747375740412665E-3</v>
      </c>
      <c r="Z139" s="46">
        <f t="shared" si="45"/>
        <v>110.85173772151899</v>
      </c>
      <c r="AA139" s="46">
        <f t="shared" si="45"/>
        <v>295.59161341425357</v>
      </c>
      <c r="AB139" s="46">
        <f t="shared" si="45"/>
        <v>5.4606233292502884</v>
      </c>
      <c r="AC139" s="46">
        <f t="shared" si="45"/>
        <v>51.642550473498076</v>
      </c>
      <c r="AD139" s="46">
        <f t="shared" si="45"/>
        <v>10.013904725547585</v>
      </c>
      <c r="AE139" s="46">
        <f t="shared" si="45"/>
        <v>42.659225344265046</v>
      </c>
      <c r="AF139" s="46">
        <f t="shared" si="45"/>
        <v>1.1350912112595997</v>
      </c>
      <c r="AG139" s="46">
        <f t="shared" si="45"/>
        <v>3.8178280160605222</v>
      </c>
      <c r="AH139" s="46">
        <f t="shared" si="45"/>
        <v>140.61825068146354</v>
      </c>
      <c r="AI139" s="46">
        <f t="shared" si="45"/>
        <v>1.6203846121817869</v>
      </c>
      <c r="AJ139" s="46">
        <f t="shared" si="45"/>
        <v>0.94560622032153163</v>
      </c>
      <c r="AK139"/>
    </row>
    <row r="140" spans="1:45" ht="15.75" x14ac:dyDescent="0.25">
      <c r="A140" s="341" t="s">
        <v>377</v>
      </c>
      <c r="B140" s="46" t="s">
        <v>119</v>
      </c>
      <c r="C140" s="46" t="s">
        <v>118</v>
      </c>
      <c r="D140" s="46" t="s">
        <v>474</v>
      </c>
      <c r="E140" s="46" t="s">
        <v>475</v>
      </c>
      <c r="F140" s="46" t="s">
        <v>194</v>
      </c>
      <c r="G140" s="46"/>
      <c r="H140" s="46"/>
      <c r="I140" s="46">
        <f>I90/$G$101/(I$204/$G$100)</f>
        <v>2.4453384448436744</v>
      </c>
      <c r="J140" s="46">
        <f t="shared" ref="J140:AJ140" si="46">J90/$G$101/(J$204/$G$100)</f>
        <v>1.1255676129020633</v>
      </c>
      <c r="K140" s="46">
        <f t="shared" si="46"/>
        <v>3.3210552805823297</v>
      </c>
      <c r="L140" s="46">
        <f t="shared" si="46"/>
        <v>5.7769825320325694</v>
      </c>
      <c r="M140" s="46">
        <f t="shared" si="46"/>
        <v>8.1901467197981366E-3</v>
      </c>
      <c r="N140" s="46">
        <f t="shared" si="46"/>
        <v>24.527927851569277</v>
      </c>
      <c r="O140" s="46">
        <f t="shared" si="46"/>
        <v>5.832555447661985</v>
      </c>
      <c r="P140" s="46">
        <f t="shared" si="46"/>
        <v>5.5299190150858335</v>
      </c>
      <c r="Q140" s="46">
        <f t="shared" si="46"/>
        <v>1.9753160941918139E-2</v>
      </c>
      <c r="R140" s="46">
        <f t="shared" si="46"/>
        <v>0</v>
      </c>
      <c r="S140" s="46">
        <f t="shared" si="46"/>
        <v>0.12301910470064929</v>
      </c>
      <c r="T140" s="46">
        <f t="shared" si="46"/>
        <v>360.9683481213969</v>
      </c>
      <c r="U140" s="46">
        <f t="shared" si="46"/>
        <v>0.13276351114902354</v>
      </c>
      <c r="V140" s="46">
        <f t="shared" si="46"/>
        <v>0</v>
      </c>
      <c r="W140" s="46">
        <f t="shared" si="46"/>
        <v>2.3194874974476183</v>
      </c>
      <c r="X140" s="46">
        <f t="shared" si="46"/>
        <v>9.094474763468865</v>
      </c>
      <c r="Y140" s="46">
        <f t="shared" si="46"/>
        <v>0.13152588152192463</v>
      </c>
      <c r="Z140" s="46">
        <f t="shared" si="46"/>
        <v>205.01009684064505</v>
      </c>
      <c r="AA140" s="46">
        <f t="shared" si="46"/>
        <v>26.317705427431939</v>
      </c>
      <c r="AB140" s="46">
        <f t="shared" si="46"/>
        <v>8.3016745870892148</v>
      </c>
      <c r="AC140" s="46">
        <f t="shared" si="46"/>
        <v>2.9962068459743398</v>
      </c>
      <c r="AD140" s="46">
        <f t="shared" si="46"/>
        <v>6.2588185909123624</v>
      </c>
      <c r="AE140" s="46">
        <f t="shared" si="46"/>
        <v>28.087874413429933</v>
      </c>
      <c r="AF140" s="46">
        <f t="shared" si="46"/>
        <v>0</v>
      </c>
      <c r="AG140" s="46">
        <f t="shared" si="46"/>
        <v>5.4264254452280021</v>
      </c>
      <c r="AH140" s="46">
        <f t="shared" si="46"/>
        <v>28.415635068493145</v>
      </c>
      <c r="AI140" s="46">
        <f t="shared" si="46"/>
        <v>5.3682424256292718</v>
      </c>
      <c r="AJ140" s="46">
        <f t="shared" si="46"/>
        <v>2.209581389490034</v>
      </c>
      <c r="AK140"/>
    </row>
    <row r="141" spans="1:45" ht="15.75" x14ac:dyDescent="0.25">
      <c r="A141" s="341" t="s">
        <v>377</v>
      </c>
      <c r="B141" s="46" t="s">
        <v>119</v>
      </c>
      <c r="C141" s="46" t="s">
        <v>118</v>
      </c>
      <c r="D141" s="46" t="s">
        <v>22</v>
      </c>
      <c r="E141" s="46" t="s">
        <v>111</v>
      </c>
      <c r="F141" s="46" t="s">
        <v>194</v>
      </c>
      <c r="G141" s="46"/>
      <c r="H141" s="46"/>
      <c r="I141" s="46">
        <f>I84/$G$101/(I$204/$G$100)</f>
        <v>0</v>
      </c>
      <c r="J141" s="46">
        <f t="shared" ref="J141:AJ141" si="47">J84/$G$101/(J$204/$G$100)</f>
        <v>0</v>
      </c>
      <c r="K141" s="46">
        <f t="shared" si="47"/>
        <v>0</v>
      </c>
      <c r="L141" s="46">
        <f t="shared" si="47"/>
        <v>0</v>
      </c>
      <c r="M141" s="46">
        <f t="shared" si="47"/>
        <v>0</v>
      </c>
      <c r="N141" s="46">
        <f t="shared" si="47"/>
        <v>0</v>
      </c>
      <c r="O141" s="46">
        <f t="shared" si="47"/>
        <v>0</v>
      </c>
      <c r="P141" s="46">
        <f t="shared" si="47"/>
        <v>0</v>
      </c>
      <c r="Q141" s="46">
        <f t="shared" si="47"/>
        <v>0</v>
      </c>
      <c r="R141" s="46">
        <f t="shared" si="47"/>
        <v>0</v>
      </c>
      <c r="S141" s="46">
        <f t="shared" si="47"/>
        <v>0</v>
      </c>
      <c r="T141" s="46">
        <f t="shared" si="47"/>
        <v>0</v>
      </c>
      <c r="U141" s="46">
        <f t="shared" si="47"/>
        <v>0</v>
      </c>
      <c r="V141" s="46">
        <f t="shared" si="47"/>
        <v>0</v>
      </c>
      <c r="W141" s="46">
        <f t="shared" si="47"/>
        <v>0</v>
      </c>
      <c r="X141" s="46">
        <f t="shared" si="47"/>
        <v>0</v>
      </c>
      <c r="Y141" s="46">
        <f t="shared" si="47"/>
        <v>0</v>
      </c>
      <c r="Z141" s="46">
        <f t="shared" si="47"/>
        <v>0</v>
      </c>
      <c r="AA141" s="46">
        <f t="shared" si="47"/>
        <v>0</v>
      </c>
      <c r="AB141" s="46">
        <f t="shared" si="47"/>
        <v>0</v>
      </c>
      <c r="AC141" s="46">
        <f t="shared" si="47"/>
        <v>0</v>
      </c>
      <c r="AD141" s="46">
        <f t="shared" si="47"/>
        <v>0</v>
      </c>
      <c r="AE141" s="46">
        <f t="shared" si="47"/>
        <v>0</v>
      </c>
      <c r="AF141" s="46">
        <f t="shared" si="47"/>
        <v>0</v>
      </c>
      <c r="AG141" s="46">
        <f t="shared" si="47"/>
        <v>0</v>
      </c>
      <c r="AH141" s="46">
        <f t="shared" si="47"/>
        <v>0</v>
      </c>
      <c r="AI141" s="46">
        <f t="shared" si="47"/>
        <v>0</v>
      </c>
      <c r="AJ141" s="46">
        <f t="shared" si="47"/>
        <v>0</v>
      </c>
      <c r="AK141"/>
    </row>
    <row r="142" spans="1:45" ht="15.75" x14ac:dyDescent="0.25">
      <c r="A142" s="341" t="s">
        <v>377</v>
      </c>
      <c r="B142" s="61" t="s">
        <v>94</v>
      </c>
      <c r="C142" s="61" t="s">
        <v>125</v>
      </c>
      <c r="D142" s="61" t="s">
        <v>19</v>
      </c>
      <c r="E142" s="61" t="s">
        <v>105</v>
      </c>
      <c r="F142" s="381" t="s">
        <v>376</v>
      </c>
      <c r="G142" s="381"/>
      <c r="H142" s="61"/>
      <c r="I142" s="61">
        <f>I91</f>
        <v>462.04978003849328</v>
      </c>
      <c r="J142" s="61">
        <f t="shared" ref="J142:AJ142" si="48">J91</f>
        <v>2365.0595683255428</v>
      </c>
      <c r="K142" s="61">
        <f t="shared" si="48"/>
        <v>453.9700508660984</v>
      </c>
      <c r="L142" s="61">
        <f t="shared" si="48"/>
        <v>1232.5306777563928</v>
      </c>
      <c r="M142" s="61">
        <f t="shared" si="48"/>
        <v>676.48643803139419</v>
      </c>
      <c r="N142" s="61">
        <f t="shared" si="48"/>
        <v>556.7600000000001</v>
      </c>
      <c r="O142" s="61">
        <f t="shared" si="48"/>
        <v>961.95500000000004</v>
      </c>
      <c r="P142" s="61">
        <f t="shared" si="48"/>
        <v>885.56750000000011</v>
      </c>
      <c r="Q142" s="61">
        <f t="shared" si="48"/>
        <v>800.96802861466506</v>
      </c>
      <c r="R142" s="61">
        <f t="shared" si="48"/>
        <v>1293.9243443518305</v>
      </c>
      <c r="S142" s="61">
        <f t="shared" si="48"/>
        <v>199.1052874013314</v>
      </c>
      <c r="T142" s="61">
        <f t="shared" si="48"/>
        <v>7635.0949501635923</v>
      </c>
      <c r="U142" s="61">
        <f t="shared" si="48"/>
        <v>127.57481651701559</v>
      </c>
      <c r="V142" s="61">
        <f t="shared" si="48"/>
        <v>1383.9164004065369</v>
      </c>
      <c r="W142" s="61">
        <f t="shared" si="48"/>
        <v>181.74704056627027</v>
      </c>
      <c r="X142" s="61">
        <f t="shared" si="48"/>
        <v>2235.9452584167957</v>
      </c>
      <c r="Y142" s="61">
        <f t="shared" si="48"/>
        <v>1349.65446587205</v>
      </c>
      <c r="Z142" s="61">
        <f t="shared" si="48"/>
        <v>1834.4</v>
      </c>
      <c r="AA142" s="61">
        <f t="shared" si="48"/>
        <v>2791.36</v>
      </c>
      <c r="AB142" s="61">
        <f>AB91</f>
        <v>2268.56</v>
      </c>
      <c r="AC142" s="61">
        <f t="shared" si="48"/>
        <v>3790.1585561841093</v>
      </c>
      <c r="AD142" s="61">
        <f t="shared" si="48"/>
        <v>822.95630438918886</v>
      </c>
      <c r="AE142" s="61">
        <f t="shared" si="48"/>
        <v>2852.7391617180224</v>
      </c>
      <c r="AF142" s="61">
        <f t="shared" si="48"/>
        <v>338.62615734482227</v>
      </c>
      <c r="AG142" s="61">
        <f t="shared" si="48"/>
        <v>331.21122491064068</v>
      </c>
      <c r="AH142" s="61">
        <f t="shared" si="48"/>
        <v>1447.8999999999999</v>
      </c>
      <c r="AI142" s="61">
        <f t="shared" si="48"/>
        <v>277.0473970248114</v>
      </c>
      <c r="AJ142" s="61">
        <f t="shared" si="48"/>
        <v>7543.5318039918429</v>
      </c>
      <c r="AK142"/>
    </row>
    <row r="143" spans="1:45" ht="15.75" x14ac:dyDescent="0.25">
      <c r="A143" s="341" t="s">
        <v>377</v>
      </c>
      <c r="B143" s="89" t="s">
        <v>148</v>
      </c>
      <c r="C143" s="89" t="s">
        <v>173</v>
      </c>
      <c r="D143" s="89" t="s">
        <v>19</v>
      </c>
      <c r="E143" s="89" t="s">
        <v>105</v>
      </c>
      <c r="F143" s="48" t="s">
        <v>194</v>
      </c>
      <c r="G143" s="48"/>
      <c r="H143" s="89"/>
      <c r="I143" s="89">
        <f t="shared" ref="I143:AJ143" si="49">I92/$G$101/(I$205/$G$100)</f>
        <v>3.4289818060378243</v>
      </c>
      <c r="J143" s="89">
        <f t="shared" si="49"/>
        <v>17.551672093228433</v>
      </c>
      <c r="K143" s="89">
        <f t="shared" si="49"/>
        <v>3.3690202055203504</v>
      </c>
      <c r="L143" s="89">
        <f t="shared" si="49"/>
        <v>9.1469046236923752</v>
      </c>
      <c r="M143" s="89">
        <f t="shared" si="49"/>
        <v>7.0608714549515454</v>
      </c>
      <c r="N143" s="89">
        <f t="shared" si="49"/>
        <v>9.1607231495013597</v>
      </c>
      <c r="O143" s="89">
        <f t="shared" si="49"/>
        <v>15.827651837916841</v>
      </c>
      <c r="P143" s="89">
        <f t="shared" si="49"/>
        <v>14.570800161103609</v>
      </c>
      <c r="Q143" s="89">
        <f t="shared" si="49"/>
        <v>17.913815638353316</v>
      </c>
      <c r="R143" s="89">
        <f t="shared" si="49"/>
        <v>9.1887487011409039</v>
      </c>
      <c r="S143" s="89">
        <f t="shared" si="49"/>
        <v>2.0728253182721774</v>
      </c>
      <c r="T143" s="89">
        <f t="shared" si="49"/>
        <v>94.614169663531612</v>
      </c>
      <c r="U143" s="89">
        <f t="shared" si="49"/>
        <v>11.01892741022688</v>
      </c>
      <c r="V143" s="89">
        <f t="shared" si="49"/>
        <v>12.750576442951846</v>
      </c>
      <c r="W143" s="89">
        <f t="shared" si="49"/>
        <v>15.697905759920749</v>
      </c>
      <c r="X143" s="89">
        <f t="shared" si="49"/>
        <v>40.998641565235005</v>
      </c>
      <c r="Y143" s="89">
        <f t="shared" si="49"/>
        <v>35.257522277999932</v>
      </c>
      <c r="Z143" s="89">
        <f t="shared" si="49"/>
        <v>30.182539236736282</v>
      </c>
      <c r="AA143" s="89">
        <f t="shared" si="49"/>
        <v>45.928005191809959</v>
      </c>
      <c r="AB143" s="89">
        <f t="shared" si="49"/>
        <v>32.315859895372512</v>
      </c>
      <c r="AC143" s="89">
        <f t="shared" si="49"/>
        <v>18.722088971451242</v>
      </c>
      <c r="AD143" s="89">
        <f t="shared" si="49"/>
        <v>12.26645964518749</v>
      </c>
      <c r="AE143" s="89">
        <f t="shared" si="49"/>
        <v>42.521103026766987</v>
      </c>
      <c r="AF143" s="89">
        <f t="shared" si="49"/>
        <v>7.2693982324567861</v>
      </c>
      <c r="AG143" s="89">
        <f t="shared" si="49"/>
        <v>2.4579976297780561</v>
      </c>
      <c r="AH143" s="89">
        <f t="shared" si="49"/>
        <v>23.823211164887955</v>
      </c>
      <c r="AI143" s="89">
        <f t="shared" si="49"/>
        <v>9.826129811223959</v>
      </c>
      <c r="AJ143" s="89">
        <f t="shared" si="49"/>
        <v>161.93945911443433</v>
      </c>
      <c r="AK143"/>
    </row>
    <row r="144" spans="1:45" ht="15.75" x14ac:dyDescent="0.25">
      <c r="A144" s="341" t="s">
        <v>377</v>
      </c>
      <c r="B144" s="61" t="s">
        <v>169</v>
      </c>
      <c r="C144" s="61" t="s">
        <v>120</v>
      </c>
      <c r="D144" s="61"/>
      <c r="E144" s="61"/>
      <c r="F144" s="61" t="s">
        <v>201</v>
      </c>
      <c r="G144" s="61"/>
      <c r="H144" s="61"/>
      <c r="I144" s="61">
        <f t="shared" ref="I144:AJ144" si="50">SUM(I93:I99)/$G$101/(I$198/$G$100)</f>
        <v>0.37969873339248417</v>
      </c>
      <c r="J144" s="61">
        <f t="shared" si="50"/>
        <v>6.6029879983889987</v>
      </c>
      <c r="K144" s="61">
        <f t="shared" si="50"/>
        <v>0.40265995196032428</v>
      </c>
      <c r="L144" s="61">
        <f t="shared" si="50"/>
        <v>1.1033267738227654</v>
      </c>
      <c r="M144" s="61">
        <f t="shared" si="50"/>
        <v>0</v>
      </c>
      <c r="N144" s="61">
        <f t="shared" si="50"/>
        <v>0</v>
      </c>
      <c r="O144" s="61">
        <f t="shared" si="50"/>
        <v>0</v>
      </c>
      <c r="P144" s="61">
        <f t="shared" si="50"/>
        <v>0</v>
      </c>
      <c r="Q144" s="61">
        <f t="shared" si="50"/>
        <v>0</v>
      </c>
      <c r="R144" s="61">
        <f t="shared" si="50"/>
        <v>0</v>
      </c>
      <c r="S144" s="61">
        <f t="shared" si="50"/>
        <v>9.5678994426908535</v>
      </c>
      <c r="T144" s="61">
        <f t="shared" si="50"/>
        <v>0</v>
      </c>
      <c r="U144" s="61">
        <f t="shared" si="50"/>
        <v>2.9913974377740207</v>
      </c>
      <c r="V144" s="61">
        <f t="shared" si="50"/>
        <v>52.533019158628669</v>
      </c>
      <c r="W144" s="61">
        <f t="shared" si="50"/>
        <v>1.5561738999773025</v>
      </c>
      <c r="X144" s="61">
        <f t="shared" si="50"/>
        <v>24.436613005279639</v>
      </c>
      <c r="Y144" s="61">
        <f t="shared" si="50"/>
        <v>62.111273157519186</v>
      </c>
      <c r="Z144" s="61">
        <f t="shared" si="50"/>
        <v>0</v>
      </c>
      <c r="AA144" s="61">
        <f t="shared" si="50"/>
        <v>0</v>
      </c>
      <c r="AB144" s="61">
        <f t="shared" si="50"/>
        <v>0</v>
      </c>
      <c r="AC144" s="61">
        <f t="shared" si="50"/>
        <v>0</v>
      </c>
      <c r="AD144" s="61">
        <f t="shared" si="50"/>
        <v>30.267935305849551</v>
      </c>
      <c r="AE144" s="61">
        <f t="shared" si="50"/>
        <v>187.53914018747903</v>
      </c>
      <c r="AF144" s="61">
        <f t="shared" si="50"/>
        <v>15.326245739774526</v>
      </c>
      <c r="AG144" s="61">
        <f t="shared" si="50"/>
        <v>0.29377597851840626</v>
      </c>
      <c r="AH144" s="61">
        <f t="shared" si="50"/>
        <v>0</v>
      </c>
      <c r="AI144" s="61">
        <f t="shared" si="50"/>
        <v>3.9263593195781161</v>
      </c>
      <c r="AJ144" s="61">
        <f t="shared" si="50"/>
        <v>176.19630728643028</v>
      </c>
      <c r="AK144"/>
    </row>
    <row r="145" spans="1:45" ht="15.75" x14ac:dyDescent="0.25">
      <c r="J145"/>
      <c r="K145"/>
      <c r="L145"/>
      <c r="M145"/>
      <c r="N145"/>
      <c r="O145"/>
      <c r="P145"/>
      <c r="Q145"/>
      <c r="R145"/>
      <c r="S145"/>
      <c r="T145"/>
      <c r="U145"/>
      <c r="V145"/>
      <c r="W145"/>
      <c r="X145"/>
      <c r="Y145"/>
      <c r="Z145"/>
      <c r="AA145"/>
      <c r="AB145"/>
      <c r="AC145"/>
      <c r="AD145"/>
      <c r="AE145"/>
      <c r="AF145"/>
      <c r="AG145"/>
      <c r="AH145"/>
      <c r="AI145"/>
      <c r="AJ145"/>
      <c r="AK145"/>
      <c r="AR145" s="400"/>
    </row>
    <row r="146" spans="1:45" ht="15.75" x14ac:dyDescent="0.25">
      <c r="J146"/>
      <c r="K146"/>
      <c r="L146"/>
      <c r="M146"/>
      <c r="N146"/>
      <c r="O146"/>
      <c r="P146"/>
      <c r="Q146"/>
      <c r="R146"/>
      <c r="S146"/>
      <c r="T146"/>
      <c r="U146"/>
      <c r="V146"/>
      <c r="W146"/>
      <c r="X146"/>
      <c r="Y146"/>
      <c r="Z146"/>
      <c r="AA146"/>
      <c r="AB146"/>
      <c r="AC146"/>
      <c r="AD146"/>
      <c r="AE146"/>
      <c r="AF146"/>
      <c r="AG146"/>
      <c r="AH146"/>
      <c r="AI146"/>
      <c r="AJ146"/>
      <c r="AK146"/>
      <c r="AR146" s="400"/>
    </row>
    <row r="147" spans="1:45" ht="15.75" x14ac:dyDescent="0.25">
      <c r="J147"/>
      <c r="K147"/>
      <c r="L147"/>
      <c r="M147"/>
      <c r="N147"/>
      <c r="O147"/>
      <c r="P147"/>
      <c r="Q147"/>
      <c r="R147"/>
      <c r="S147"/>
      <c r="T147"/>
      <c r="U147"/>
      <c r="V147"/>
      <c r="W147"/>
      <c r="X147"/>
      <c r="Y147"/>
      <c r="Z147"/>
      <c r="AA147"/>
      <c r="AB147"/>
      <c r="AC147"/>
      <c r="AD147"/>
      <c r="AE147"/>
      <c r="AF147"/>
      <c r="AG147"/>
      <c r="AH147"/>
      <c r="AI147"/>
      <c r="AJ147"/>
      <c r="AK147"/>
      <c r="AR147" s="400"/>
    </row>
    <row r="148" spans="1:45" ht="15.75" x14ac:dyDescent="0.25">
      <c r="J148"/>
      <c r="K148"/>
      <c r="L148"/>
      <c r="M148"/>
      <c r="N148"/>
      <c r="O148"/>
      <c r="P148"/>
      <c r="Q148"/>
      <c r="R148"/>
      <c r="S148"/>
      <c r="T148"/>
      <c r="U148"/>
      <c r="V148"/>
      <c r="W148"/>
      <c r="X148"/>
      <c r="Y148"/>
      <c r="Z148"/>
      <c r="AA148"/>
      <c r="AB148"/>
      <c r="AC148"/>
      <c r="AD148"/>
      <c r="AE148"/>
      <c r="AF148"/>
      <c r="AG148"/>
      <c r="AH148"/>
      <c r="AI148"/>
      <c r="AJ148"/>
      <c r="AK148"/>
      <c r="AR148" s="400"/>
    </row>
    <row r="149" spans="1:45" ht="15.75" x14ac:dyDescent="0.25">
      <c r="J149"/>
      <c r="K149"/>
      <c r="L149"/>
      <c r="M149"/>
      <c r="N149"/>
      <c r="O149"/>
      <c r="P149"/>
      <c r="Q149"/>
      <c r="R149"/>
      <c r="S149"/>
      <c r="T149"/>
      <c r="U149"/>
      <c r="V149"/>
      <c r="W149"/>
      <c r="X149"/>
      <c r="Y149"/>
      <c r="Z149"/>
      <c r="AA149"/>
      <c r="AB149"/>
      <c r="AC149"/>
      <c r="AD149"/>
      <c r="AE149"/>
      <c r="AF149"/>
      <c r="AG149"/>
      <c r="AH149"/>
      <c r="AI149"/>
      <c r="AJ149"/>
      <c r="AK149"/>
      <c r="AO149" s="400"/>
      <c r="AP149" s="400"/>
      <c r="AQ149" s="400"/>
      <c r="AR149" s="400"/>
      <c r="AS149" s="400"/>
    </row>
    <row r="150" spans="1:45" ht="15.75" x14ac:dyDescent="0.25">
      <c r="J150"/>
      <c r="K150"/>
      <c r="L150"/>
      <c r="M150"/>
      <c r="N150"/>
      <c r="O150"/>
      <c r="P150"/>
      <c r="Q150"/>
      <c r="R150"/>
      <c r="S150"/>
      <c r="T150"/>
      <c r="U150"/>
      <c r="V150"/>
      <c r="W150"/>
      <c r="X150"/>
      <c r="Y150"/>
      <c r="Z150"/>
      <c r="AA150"/>
      <c r="AB150"/>
      <c r="AC150"/>
      <c r="AD150"/>
      <c r="AE150"/>
      <c r="AF150"/>
      <c r="AG150"/>
      <c r="AH150"/>
      <c r="AI150"/>
      <c r="AJ150"/>
      <c r="AK150"/>
      <c r="AO150" s="400"/>
      <c r="AP150" s="400"/>
      <c r="AQ150" s="400"/>
      <c r="AS150" s="400"/>
    </row>
    <row r="151" spans="1:45" ht="15.75" x14ac:dyDescent="0.25">
      <c r="J151"/>
      <c r="K151"/>
      <c r="L151"/>
      <c r="M151"/>
      <c r="N151"/>
      <c r="O151"/>
      <c r="P151"/>
      <c r="Q151"/>
      <c r="R151"/>
      <c r="S151"/>
      <c r="T151"/>
      <c r="U151"/>
      <c r="V151"/>
      <c r="W151"/>
      <c r="X151"/>
      <c r="Y151"/>
      <c r="Z151"/>
      <c r="AA151"/>
      <c r="AB151"/>
      <c r="AC151"/>
      <c r="AD151"/>
      <c r="AE151"/>
      <c r="AF151"/>
      <c r="AG151"/>
      <c r="AH151"/>
      <c r="AI151"/>
      <c r="AJ151"/>
      <c r="AK151"/>
      <c r="AO151" s="400"/>
      <c r="AP151" s="400"/>
      <c r="AQ151" s="400"/>
      <c r="AR151"/>
      <c r="AS151" s="400"/>
    </row>
    <row r="152" spans="1:45" ht="15.75" x14ac:dyDescent="0.25">
      <c r="J152"/>
      <c r="K152"/>
      <c r="L152"/>
      <c r="M152"/>
      <c r="N152"/>
      <c r="O152"/>
      <c r="P152"/>
      <c r="Q152"/>
      <c r="R152"/>
      <c r="S152"/>
      <c r="T152"/>
      <c r="U152"/>
      <c r="V152"/>
      <c r="W152"/>
      <c r="X152"/>
      <c r="Y152"/>
      <c r="Z152"/>
      <c r="AA152"/>
      <c r="AB152"/>
      <c r="AC152"/>
      <c r="AD152"/>
      <c r="AE152"/>
      <c r="AF152"/>
      <c r="AG152"/>
      <c r="AH152"/>
      <c r="AI152"/>
      <c r="AJ152"/>
      <c r="AK152"/>
      <c r="AO152" s="400"/>
      <c r="AP152" s="400"/>
      <c r="AQ152" s="400"/>
      <c r="AS152" s="400"/>
    </row>
    <row r="153" spans="1:45" ht="15.75" x14ac:dyDescent="0.25">
      <c r="A153" s="341"/>
      <c r="B153" s="341"/>
      <c r="C153" s="341"/>
      <c r="D153" s="341"/>
      <c r="E153" s="341"/>
      <c r="F153" s="341"/>
      <c r="G153" s="341"/>
      <c r="H153" s="410"/>
      <c r="I153" s="410"/>
      <c r="J153"/>
      <c r="K153"/>
      <c r="L153"/>
      <c r="M153"/>
      <c r="N153"/>
      <c r="O153"/>
      <c r="P153"/>
      <c r="Q153"/>
      <c r="R153"/>
      <c r="S153"/>
      <c r="T153"/>
      <c r="U153"/>
      <c r="V153"/>
      <c r="W153"/>
      <c r="X153"/>
      <c r="Y153"/>
      <c r="Z153"/>
      <c r="AA153"/>
      <c r="AB153"/>
      <c r="AC153"/>
      <c r="AD153"/>
      <c r="AE153"/>
      <c r="AF153"/>
      <c r="AG153"/>
      <c r="AH153"/>
      <c r="AI153"/>
      <c r="AJ153"/>
      <c r="AK153"/>
      <c r="AO153" s="400"/>
      <c r="AP153" s="400"/>
      <c r="AQ153" s="400"/>
      <c r="AS153" s="400"/>
    </row>
    <row r="154" spans="1:45" ht="26.25" x14ac:dyDescent="0.25">
      <c r="A154" s="341"/>
      <c r="B154" s="4" t="s">
        <v>486</v>
      </c>
      <c r="C154" s="4" t="s">
        <v>283</v>
      </c>
      <c r="D154" s="46"/>
      <c r="E154" s="46"/>
      <c r="F154" s="46"/>
      <c r="G154" s="46"/>
      <c r="H154" s="46"/>
      <c r="I154" s="341"/>
      <c r="J154" s="341"/>
      <c r="K154" s="341"/>
      <c r="L154" s="411"/>
      <c r="M154" s="411"/>
      <c r="N154" s="411"/>
      <c r="O154" s="411"/>
      <c r="P154" s="411"/>
      <c r="Q154" s="411"/>
      <c r="R154" s="411"/>
      <c r="S154" s="411"/>
      <c r="T154" s="411"/>
      <c r="U154" s="411"/>
      <c r="V154" s="411"/>
      <c r="W154" s="411"/>
      <c r="X154" s="411"/>
      <c r="Y154" s="411"/>
      <c r="Z154" s="411"/>
      <c r="AA154" s="411"/>
      <c r="AB154" s="411"/>
      <c r="AC154" s="411"/>
      <c r="AD154" s="411"/>
      <c r="AE154" s="411"/>
      <c r="AF154" s="341"/>
      <c r="AG154" s="341"/>
    </row>
    <row r="155" spans="1:45" ht="15.75" x14ac:dyDescent="0.25">
      <c r="A155" s="46"/>
      <c r="B155" s="56" t="s">
        <v>95</v>
      </c>
      <c r="C155" s="56"/>
      <c r="D155" s="57" t="s">
        <v>96</v>
      </c>
      <c r="E155" s="57"/>
      <c r="F155" s="56" t="s">
        <v>46</v>
      </c>
      <c r="G155" s="56" t="s">
        <v>86</v>
      </c>
      <c r="H155" s="56" t="s">
        <v>283</v>
      </c>
      <c r="I155" s="412"/>
      <c r="J155" s="412"/>
      <c r="K155" s="412"/>
      <c r="L155" s="65"/>
      <c r="M155" s="65"/>
      <c r="N155" s="65"/>
      <c r="O155" s="65"/>
      <c r="P155" s="65"/>
      <c r="Q155" s="65"/>
      <c r="R155" s="65"/>
      <c r="S155" s="65"/>
      <c r="T155" s="65"/>
      <c r="U155" s="65"/>
      <c r="V155" s="65"/>
      <c r="W155" s="65"/>
      <c r="X155" s="65"/>
      <c r="Y155" s="65"/>
      <c r="Z155" s="65"/>
      <c r="AA155" s="65"/>
      <c r="AB155" s="65"/>
      <c r="AC155" s="65"/>
      <c r="AD155" s="65"/>
      <c r="AE155" s="65"/>
      <c r="AO155"/>
      <c r="AP155"/>
      <c r="AQ155"/>
      <c r="AS155"/>
    </row>
    <row r="156" spans="1:45" ht="16.5" thickBot="1" x14ac:dyDescent="0.25">
      <c r="A156" s="46"/>
      <c r="B156" s="58" t="s">
        <v>27</v>
      </c>
      <c r="C156" s="58" t="s">
        <v>32</v>
      </c>
      <c r="D156" s="58" t="s">
        <v>27</v>
      </c>
      <c r="E156" s="58" t="s">
        <v>32</v>
      </c>
      <c r="F156" s="58"/>
      <c r="G156" s="58"/>
      <c r="H156" s="58"/>
      <c r="I156" s="411"/>
      <c r="J156" s="411"/>
      <c r="K156" s="405"/>
      <c r="L156" s="405"/>
      <c r="M156" s="405"/>
      <c r="N156" s="405"/>
      <c r="O156" s="405"/>
      <c r="P156" s="405"/>
      <c r="Q156" s="405"/>
      <c r="R156" s="405"/>
      <c r="S156" s="405"/>
      <c r="T156" s="405"/>
      <c r="U156" s="405"/>
      <c r="V156" s="405"/>
      <c r="W156" s="405"/>
      <c r="X156" s="405"/>
      <c r="Y156" s="405"/>
      <c r="Z156" s="405"/>
      <c r="AA156" s="405"/>
      <c r="AB156" s="405"/>
      <c r="AC156" s="405"/>
      <c r="AD156" s="405"/>
      <c r="AE156" s="405"/>
      <c r="AF156" s="405"/>
      <c r="AG156" s="405"/>
      <c r="AH156" s="341"/>
      <c r="AI156" s="341"/>
      <c r="AJ156" s="341"/>
      <c r="AK156" s="341"/>
    </row>
    <row r="157" spans="1:45" x14ac:dyDescent="0.25">
      <c r="A157" s="341" t="s">
        <v>98</v>
      </c>
      <c r="B157" s="46" t="s">
        <v>122</v>
      </c>
      <c r="C157" s="46" t="s">
        <v>468</v>
      </c>
      <c r="D157" s="46" t="s">
        <v>115</v>
      </c>
      <c r="E157" s="46" t="s">
        <v>368</v>
      </c>
      <c r="F157" s="341" t="s">
        <v>181</v>
      </c>
      <c r="G157" s="341" t="s">
        <v>214</v>
      </c>
      <c r="H157" s="413">
        <v>15</v>
      </c>
      <c r="I157" s="342"/>
      <c r="J157" s="342"/>
      <c r="K157" s="342"/>
      <c r="L157" s="342"/>
      <c r="M157" s="342"/>
      <c r="N157" s="342"/>
      <c r="O157" s="342"/>
      <c r="P157" s="342"/>
      <c r="Q157" s="342"/>
      <c r="R157" s="342"/>
      <c r="S157" s="342"/>
      <c r="T157" s="342"/>
      <c r="U157" s="342"/>
      <c r="V157" s="342"/>
      <c r="W157" s="342"/>
      <c r="X157" s="342"/>
      <c r="Y157" s="342"/>
      <c r="Z157" s="342"/>
      <c r="AA157" s="342"/>
      <c r="AB157" s="342"/>
      <c r="AC157" s="342"/>
      <c r="AD157" s="342"/>
      <c r="AE157" s="342"/>
      <c r="AF157" s="342"/>
      <c r="AG157" s="342"/>
      <c r="AH157" s="342"/>
      <c r="AI157" s="342"/>
      <c r="AJ157" s="342"/>
      <c r="AK157" s="342"/>
    </row>
    <row r="158" spans="1:45" x14ac:dyDescent="0.25">
      <c r="A158" s="341" t="s">
        <v>98</v>
      </c>
      <c r="B158" s="46" t="s">
        <v>122</v>
      </c>
      <c r="C158" s="46" t="s">
        <v>468</v>
      </c>
      <c r="D158" s="46" t="s">
        <v>18</v>
      </c>
      <c r="E158" s="46" t="s">
        <v>104</v>
      </c>
      <c r="F158" s="341" t="s">
        <v>181</v>
      </c>
      <c r="G158" s="341" t="s">
        <v>214</v>
      </c>
      <c r="H158" s="413">
        <v>20</v>
      </c>
      <c r="I158" s="342"/>
      <c r="J158" s="342"/>
      <c r="K158" s="342"/>
      <c r="L158" s="342"/>
      <c r="M158" s="342"/>
      <c r="N158" s="342"/>
      <c r="O158" s="342"/>
      <c r="P158" s="342"/>
      <c r="Q158" s="342"/>
      <c r="R158" s="342"/>
      <c r="S158" s="342"/>
      <c r="T158" s="342"/>
      <c r="U158" s="342"/>
      <c r="V158" s="342"/>
      <c r="W158" s="342"/>
      <c r="X158" s="342"/>
      <c r="Y158" s="342"/>
      <c r="Z158" s="342"/>
      <c r="AA158" s="342"/>
      <c r="AB158" s="342"/>
      <c r="AC158" s="342"/>
      <c r="AD158" s="342"/>
      <c r="AE158" s="342"/>
      <c r="AF158" s="342"/>
      <c r="AG158" s="342"/>
      <c r="AH158" s="342"/>
      <c r="AI158" s="342"/>
      <c r="AJ158" s="342"/>
      <c r="AK158" s="342"/>
    </row>
    <row r="159" spans="1:45" x14ac:dyDescent="0.25">
      <c r="A159" s="341" t="s">
        <v>98</v>
      </c>
      <c r="B159" s="46" t="s">
        <v>122</v>
      </c>
      <c r="C159" s="46" t="s">
        <v>468</v>
      </c>
      <c r="D159" s="46" t="s">
        <v>19</v>
      </c>
      <c r="E159" s="46" t="s">
        <v>105</v>
      </c>
      <c r="F159" s="341" t="s">
        <v>181</v>
      </c>
      <c r="G159" s="341" t="s">
        <v>214</v>
      </c>
      <c r="H159" s="413">
        <v>15</v>
      </c>
      <c r="I159" s="342"/>
      <c r="J159" s="342"/>
      <c r="K159" s="342"/>
      <c r="L159" s="342"/>
      <c r="M159" s="342"/>
      <c r="N159" s="342"/>
      <c r="O159" s="342"/>
      <c r="P159" s="342"/>
      <c r="Q159" s="342"/>
      <c r="R159" s="342"/>
      <c r="S159" s="342"/>
      <c r="T159" s="342"/>
      <c r="U159" s="342"/>
      <c r="V159" s="342"/>
      <c r="W159" s="342"/>
      <c r="X159" s="342"/>
      <c r="Y159" s="342"/>
      <c r="Z159" s="342"/>
      <c r="AA159" s="342"/>
      <c r="AB159" s="342"/>
      <c r="AC159" s="342"/>
      <c r="AD159" s="342"/>
      <c r="AE159" s="342"/>
      <c r="AF159" s="342"/>
      <c r="AG159" s="342"/>
      <c r="AH159" s="342"/>
      <c r="AI159" s="342"/>
      <c r="AJ159" s="342"/>
      <c r="AK159" s="342"/>
    </row>
    <row r="160" spans="1:45" x14ac:dyDescent="0.25">
      <c r="A160" s="341" t="s">
        <v>98</v>
      </c>
      <c r="B160" s="46" t="s">
        <v>122</v>
      </c>
      <c r="C160" s="46" t="s">
        <v>468</v>
      </c>
      <c r="D160" s="46" t="s">
        <v>341</v>
      </c>
      <c r="E160" s="46" t="s">
        <v>105</v>
      </c>
      <c r="F160" s="341" t="s">
        <v>181</v>
      </c>
      <c r="G160" s="341" t="s">
        <v>214</v>
      </c>
      <c r="H160" s="413">
        <v>15</v>
      </c>
      <c r="I160" s="342"/>
      <c r="J160" s="342"/>
      <c r="K160" s="342"/>
      <c r="L160" s="342"/>
      <c r="M160" s="342"/>
      <c r="N160" s="342"/>
      <c r="O160" s="342"/>
      <c r="P160" s="342"/>
      <c r="Q160" s="342"/>
      <c r="R160" s="342"/>
      <c r="S160" s="342"/>
      <c r="T160" s="342"/>
      <c r="U160" s="342"/>
      <c r="V160" s="342"/>
      <c r="W160" s="342"/>
      <c r="X160" s="342"/>
      <c r="Y160" s="342"/>
      <c r="Z160" s="342"/>
      <c r="AA160" s="342"/>
      <c r="AB160" s="342"/>
      <c r="AC160" s="342"/>
      <c r="AD160" s="342"/>
      <c r="AE160" s="342"/>
      <c r="AF160" s="342"/>
      <c r="AG160" s="342"/>
      <c r="AH160" s="342"/>
      <c r="AI160" s="342"/>
      <c r="AJ160" s="342"/>
      <c r="AK160" s="342"/>
    </row>
    <row r="161" spans="1:37" x14ac:dyDescent="0.25">
      <c r="A161" s="341" t="s">
        <v>98</v>
      </c>
      <c r="B161" s="46" t="s">
        <v>122</v>
      </c>
      <c r="C161" s="46" t="s">
        <v>468</v>
      </c>
      <c r="D161" s="46" t="s">
        <v>476</v>
      </c>
      <c r="E161" s="46" t="s">
        <v>482</v>
      </c>
      <c r="F161" s="341" t="s">
        <v>181</v>
      </c>
      <c r="G161" s="341"/>
      <c r="H161" s="94">
        <v>15</v>
      </c>
      <c r="I161" s="342"/>
      <c r="J161" s="342"/>
      <c r="K161" s="342"/>
      <c r="L161" s="342"/>
      <c r="M161" s="342"/>
      <c r="N161" s="342"/>
      <c r="O161" s="342"/>
      <c r="P161" s="342"/>
      <c r="Q161" s="342"/>
      <c r="R161" s="342"/>
      <c r="S161" s="342"/>
      <c r="T161" s="342"/>
      <c r="U161" s="342"/>
      <c r="V161" s="342"/>
      <c r="W161" s="342"/>
      <c r="X161" s="342"/>
      <c r="Y161" s="342"/>
      <c r="Z161" s="342"/>
      <c r="AA161" s="342"/>
      <c r="AB161" s="342"/>
      <c r="AC161" s="342"/>
      <c r="AD161" s="342"/>
      <c r="AE161" s="342"/>
      <c r="AF161" s="342"/>
      <c r="AG161" s="342"/>
      <c r="AH161" s="342"/>
      <c r="AI161" s="342"/>
      <c r="AJ161" s="342"/>
      <c r="AK161" s="342"/>
    </row>
    <row r="162" spans="1:37" x14ac:dyDescent="0.25">
      <c r="A162" s="341" t="s">
        <v>98</v>
      </c>
      <c r="B162" s="46" t="s">
        <v>122</v>
      </c>
      <c r="C162" s="46" t="s">
        <v>468</v>
      </c>
      <c r="D162" s="46" t="s">
        <v>21</v>
      </c>
      <c r="E162" s="46" t="s">
        <v>107</v>
      </c>
      <c r="F162" s="341" t="s">
        <v>181</v>
      </c>
      <c r="G162" s="341" t="s">
        <v>214</v>
      </c>
      <c r="H162" s="413">
        <v>20</v>
      </c>
      <c r="I162" s="342"/>
      <c r="J162" s="342"/>
      <c r="K162" s="342"/>
      <c r="L162" s="342"/>
      <c r="M162" s="342"/>
      <c r="N162" s="342"/>
      <c r="O162" s="342"/>
      <c r="P162" s="342"/>
      <c r="Q162" s="342"/>
      <c r="R162" s="342"/>
      <c r="S162" s="342"/>
      <c r="T162" s="342"/>
      <c r="U162" s="342"/>
      <c r="V162" s="342"/>
      <c r="W162" s="342"/>
      <c r="X162" s="342"/>
      <c r="Y162" s="342"/>
      <c r="Z162" s="342"/>
      <c r="AA162" s="342"/>
      <c r="AB162" s="342"/>
      <c r="AC162" s="342"/>
      <c r="AD162" s="342"/>
      <c r="AE162" s="342"/>
      <c r="AF162" s="342"/>
      <c r="AG162" s="342"/>
      <c r="AH162" s="342"/>
      <c r="AI162" s="342"/>
      <c r="AJ162" s="342"/>
      <c r="AK162" s="342"/>
    </row>
    <row r="163" spans="1:37" x14ac:dyDescent="0.25">
      <c r="A163" s="341" t="s">
        <v>98</v>
      </c>
      <c r="B163" s="46" t="s">
        <v>122</v>
      </c>
      <c r="C163" s="46" t="s">
        <v>468</v>
      </c>
      <c r="D163" s="46" t="s">
        <v>20</v>
      </c>
      <c r="E163" s="46" t="s">
        <v>108</v>
      </c>
      <c r="F163" s="341" t="s">
        <v>181</v>
      </c>
      <c r="G163" s="341" t="s">
        <v>214</v>
      </c>
      <c r="H163" s="413">
        <v>15</v>
      </c>
      <c r="I163" s="342"/>
      <c r="J163" s="342"/>
      <c r="K163" s="342"/>
      <c r="L163" s="342"/>
      <c r="M163" s="342"/>
      <c r="N163" s="342"/>
      <c r="O163" s="342"/>
      <c r="P163" s="342"/>
      <c r="Q163" s="342"/>
      <c r="R163" s="342"/>
      <c r="S163" s="342"/>
      <c r="T163" s="342"/>
      <c r="U163" s="342"/>
      <c r="V163" s="342"/>
      <c r="W163" s="342"/>
      <c r="X163" s="342"/>
      <c r="Y163" s="342"/>
      <c r="Z163" s="342"/>
      <c r="AA163" s="342"/>
      <c r="AB163" s="342"/>
      <c r="AC163" s="342"/>
      <c r="AD163" s="342"/>
      <c r="AE163" s="342"/>
      <c r="AF163" s="342"/>
      <c r="AG163" s="342"/>
      <c r="AH163" s="342"/>
      <c r="AI163" s="342"/>
      <c r="AJ163" s="342"/>
      <c r="AK163" s="342"/>
    </row>
    <row r="164" spans="1:37" x14ac:dyDescent="0.25">
      <c r="A164" s="341" t="s">
        <v>98</v>
      </c>
      <c r="B164" s="46" t="s">
        <v>122</v>
      </c>
      <c r="C164" s="46" t="s">
        <v>468</v>
      </c>
      <c r="D164" s="46" t="s">
        <v>0</v>
      </c>
      <c r="E164" s="46" t="s">
        <v>109</v>
      </c>
      <c r="F164" s="341" t="s">
        <v>181</v>
      </c>
      <c r="G164" s="341" t="s">
        <v>214</v>
      </c>
      <c r="H164" s="413">
        <v>17</v>
      </c>
      <c r="I164" s="342"/>
      <c r="J164" s="342"/>
      <c r="K164" s="342"/>
      <c r="L164" s="342"/>
      <c r="M164" s="342"/>
      <c r="N164" s="342"/>
      <c r="O164" s="342"/>
      <c r="P164" s="342"/>
      <c r="Q164" s="342"/>
      <c r="R164" s="342"/>
      <c r="S164" s="342"/>
      <c r="T164" s="342"/>
      <c r="U164" s="342"/>
      <c r="V164" s="342"/>
      <c r="W164" s="342"/>
      <c r="X164" s="342"/>
      <c r="Y164" s="342"/>
      <c r="Z164" s="342"/>
      <c r="AA164" s="342"/>
      <c r="AB164" s="342"/>
      <c r="AC164" s="342"/>
      <c r="AD164" s="342"/>
      <c r="AE164" s="342"/>
      <c r="AF164" s="342"/>
      <c r="AG164" s="342"/>
      <c r="AH164" s="342"/>
      <c r="AI164" s="342"/>
      <c r="AJ164" s="342"/>
      <c r="AK164" s="342"/>
    </row>
    <row r="165" spans="1:37" x14ac:dyDescent="0.25">
      <c r="A165" s="341" t="s">
        <v>98</v>
      </c>
      <c r="B165" s="46" t="s">
        <v>122</v>
      </c>
      <c r="C165" s="46" t="s">
        <v>468</v>
      </c>
      <c r="D165" s="46" t="s">
        <v>474</v>
      </c>
      <c r="E165" s="46" t="s">
        <v>482</v>
      </c>
      <c r="F165" s="341" t="s">
        <v>181</v>
      </c>
      <c r="G165" s="341" t="s">
        <v>214</v>
      </c>
      <c r="H165" s="413">
        <v>15</v>
      </c>
      <c r="I165" s="342"/>
      <c r="J165" s="342"/>
      <c r="K165" s="342"/>
      <c r="L165" s="342"/>
      <c r="M165" s="342"/>
      <c r="N165" s="342"/>
      <c r="O165" s="342"/>
      <c r="P165" s="342"/>
      <c r="Q165" s="342"/>
      <c r="R165" s="342"/>
      <c r="S165" s="342"/>
      <c r="T165" s="342"/>
      <c r="U165" s="342"/>
      <c r="V165" s="342"/>
      <c r="W165" s="342"/>
      <c r="X165" s="342"/>
      <c r="Y165" s="342"/>
      <c r="Z165" s="342"/>
      <c r="AA165" s="342"/>
      <c r="AB165" s="342"/>
      <c r="AC165" s="342"/>
      <c r="AD165" s="342"/>
      <c r="AE165" s="342"/>
      <c r="AF165" s="342"/>
      <c r="AG165" s="342"/>
      <c r="AH165" s="342"/>
      <c r="AI165" s="342"/>
      <c r="AJ165" s="342"/>
      <c r="AK165" s="342"/>
    </row>
    <row r="166" spans="1:37" x14ac:dyDescent="0.25">
      <c r="A166" s="341" t="s">
        <v>98</v>
      </c>
      <c r="B166" s="46" t="s">
        <v>122</v>
      </c>
      <c r="C166" s="46" t="s">
        <v>468</v>
      </c>
      <c r="D166" s="46" t="s">
        <v>22</v>
      </c>
      <c r="E166" s="46" t="s">
        <v>111</v>
      </c>
      <c r="F166" s="341" t="s">
        <v>181</v>
      </c>
      <c r="G166" s="341" t="s">
        <v>214</v>
      </c>
      <c r="H166" s="413">
        <v>15</v>
      </c>
      <c r="I166" s="342"/>
      <c r="J166" s="342"/>
      <c r="K166" s="342"/>
      <c r="L166" s="342"/>
      <c r="M166" s="342"/>
      <c r="N166" s="342"/>
      <c r="O166" s="342"/>
      <c r="P166" s="342"/>
      <c r="Q166" s="342"/>
      <c r="R166" s="342"/>
      <c r="S166" s="342"/>
      <c r="T166" s="342"/>
      <c r="U166" s="342"/>
      <c r="V166" s="342"/>
      <c r="W166" s="342"/>
      <c r="X166" s="342"/>
      <c r="Y166" s="342"/>
      <c r="Z166" s="342"/>
      <c r="AA166" s="342"/>
      <c r="AB166" s="342"/>
      <c r="AC166" s="342"/>
      <c r="AD166" s="342"/>
      <c r="AE166" s="342"/>
      <c r="AF166" s="342"/>
      <c r="AG166" s="342"/>
      <c r="AH166" s="342"/>
      <c r="AI166" s="342"/>
      <c r="AJ166" s="342"/>
      <c r="AK166" s="342"/>
    </row>
    <row r="167" spans="1:37" x14ac:dyDescent="0.25">
      <c r="A167" s="341" t="s">
        <v>98</v>
      </c>
      <c r="B167" s="46" t="s">
        <v>122</v>
      </c>
      <c r="C167" s="46" t="s">
        <v>469</v>
      </c>
      <c r="D167" s="46" t="s">
        <v>115</v>
      </c>
      <c r="E167" s="46" t="s">
        <v>368</v>
      </c>
      <c r="F167" s="341" t="s">
        <v>181</v>
      </c>
      <c r="G167" s="341" t="s">
        <v>214</v>
      </c>
      <c r="H167" s="413">
        <v>15</v>
      </c>
      <c r="I167" s="342"/>
      <c r="J167" s="342"/>
      <c r="K167" s="342"/>
      <c r="L167" s="342"/>
      <c r="M167" s="342"/>
      <c r="N167" s="342"/>
      <c r="O167" s="342"/>
      <c r="P167" s="342"/>
      <c r="Q167" s="342"/>
      <c r="R167" s="342"/>
      <c r="S167" s="342"/>
      <c r="T167" s="342"/>
      <c r="U167" s="342"/>
      <c r="V167" s="342"/>
      <c r="W167" s="342"/>
      <c r="X167" s="342"/>
      <c r="Y167" s="342"/>
      <c r="Z167" s="342"/>
      <c r="AA167" s="342"/>
      <c r="AB167" s="342"/>
      <c r="AC167" s="342"/>
      <c r="AD167" s="342"/>
      <c r="AE167" s="342"/>
      <c r="AF167" s="342"/>
      <c r="AG167" s="342"/>
      <c r="AH167" s="342"/>
      <c r="AI167" s="342"/>
      <c r="AJ167" s="342"/>
      <c r="AK167" s="342"/>
    </row>
    <row r="168" spans="1:37" x14ac:dyDescent="0.25">
      <c r="A168" s="341" t="s">
        <v>98</v>
      </c>
      <c r="B168" s="46" t="s">
        <v>122</v>
      </c>
      <c r="C168" s="46" t="s">
        <v>469</v>
      </c>
      <c r="D168" s="46" t="s">
        <v>18</v>
      </c>
      <c r="E168" s="46" t="s">
        <v>104</v>
      </c>
      <c r="F168" s="341" t="s">
        <v>181</v>
      </c>
      <c r="G168" s="341" t="s">
        <v>214</v>
      </c>
      <c r="H168" s="413">
        <v>20</v>
      </c>
      <c r="I168" s="342"/>
      <c r="J168" s="342"/>
      <c r="K168" s="342"/>
      <c r="L168" s="342"/>
      <c r="M168" s="342"/>
      <c r="N168" s="342"/>
      <c r="O168" s="342"/>
      <c r="P168" s="342"/>
      <c r="Q168" s="342"/>
      <c r="R168" s="342"/>
      <c r="S168" s="342"/>
      <c r="T168" s="342"/>
      <c r="U168" s="342"/>
      <c r="V168" s="342"/>
      <c r="W168" s="342"/>
      <c r="X168" s="342"/>
      <c r="Y168" s="342"/>
      <c r="Z168" s="342"/>
      <c r="AA168" s="342"/>
      <c r="AB168" s="342"/>
      <c r="AC168" s="342"/>
      <c r="AD168" s="342"/>
      <c r="AE168" s="342"/>
      <c r="AF168" s="342"/>
      <c r="AG168" s="342"/>
      <c r="AH168" s="342"/>
      <c r="AI168" s="342"/>
      <c r="AJ168" s="342"/>
      <c r="AK168" s="342"/>
    </row>
    <row r="169" spans="1:37" x14ac:dyDescent="0.25">
      <c r="A169" s="341" t="s">
        <v>98</v>
      </c>
      <c r="B169" s="46" t="s">
        <v>122</v>
      </c>
      <c r="C169" s="46" t="s">
        <v>469</v>
      </c>
      <c r="D169" s="46" t="s">
        <v>19</v>
      </c>
      <c r="E169" s="46" t="s">
        <v>105</v>
      </c>
      <c r="F169" s="341" t="s">
        <v>181</v>
      </c>
      <c r="G169" s="341" t="s">
        <v>214</v>
      </c>
      <c r="H169" s="413">
        <v>15</v>
      </c>
      <c r="I169" s="342"/>
      <c r="J169" s="342"/>
      <c r="K169" s="342"/>
      <c r="L169" s="342"/>
      <c r="M169" s="342"/>
      <c r="N169" s="342"/>
      <c r="O169" s="342"/>
      <c r="P169" s="342"/>
      <c r="Q169" s="342"/>
      <c r="R169" s="342"/>
      <c r="S169" s="342"/>
      <c r="T169" s="342"/>
      <c r="U169" s="342"/>
      <c r="V169" s="342"/>
      <c r="W169" s="342"/>
      <c r="X169" s="342"/>
      <c r="Y169" s="342"/>
      <c r="Z169" s="342"/>
      <c r="AA169" s="342"/>
      <c r="AB169" s="342"/>
      <c r="AC169" s="342"/>
      <c r="AD169" s="342"/>
      <c r="AE169" s="342"/>
      <c r="AF169" s="342"/>
      <c r="AG169" s="342"/>
      <c r="AH169" s="342"/>
      <c r="AI169" s="342"/>
      <c r="AJ169" s="342"/>
      <c r="AK169" s="342"/>
    </row>
    <row r="170" spans="1:37" x14ac:dyDescent="0.25">
      <c r="A170" s="341" t="s">
        <v>98</v>
      </c>
      <c r="B170" s="46" t="s">
        <v>122</v>
      </c>
      <c r="C170" s="46" t="s">
        <v>469</v>
      </c>
      <c r="D170" s="46" t="s">
        <v>341</v>
      </c>
      <c r="E170" s="46" t="s">
        <v>105</v>
      </c>
      <c r="F170" s="341" t="s">
        <v>181</v>
      </c>
      <c r="G170" s="341" t="s">
        <v>214</v>
      </c>
      <c r="H170" s="413">
        <v>15</v>
      </c>
      <c r="I170" s="342"/>
      <c r="J170" s="342"/>
      <c r="K170" s="342"/>
      <c r="L170" s="342"/>
      <c r="M170" s="342"/>
      <c r="N170" s="342"/>
      <c r="O170" s="342"/>
      <c r="P170" s="342"/>
      <c r="Q170" s="342"/>
      <c r="R170" s="342"/>
      <c r="S170" s="342"/>
      <c r="T170" s="342"/>
      <c r="U170" s="342"/>
      <c r="V170" s="342"/>
      <c r="W170" s="342"/>
      <c r="X170" s="342"/>
      <c r="Y170" s="342"/>
      <c r="Z170" s="342"/>
      <c r="AA170" s="342"/>
      <c r="AB170" s="342"/>
      <c r="AC170" s="342"/>
      <c r="AD170" s="342"/>
      <c r="AE170" s="342"/>
      <c r="AF170" s="342"/>
      <c r="AG170" s="342"/>
      <c r="AH170" s="342"/>
      <c r="AI170" s="342"/>
      <c r="AJ170" s="342"/>
      <c r="AK170" s="342"/>
    </row>
    <row r="171" spans="1:37" x14ac:dyDescent="0.25">
      <c r="A171" s="341" t="s">
        <v>98</v>
      </c>
      <c r="B171" s="46" t="s">
        <v>122</v>
      </c>
      <c r="C171" s="46" t="s">
        <v>469</v>
      </c>
      <c r="D171" s="46" t="s">
        <v>476</v>
      </c>
      <c r="E171" s="46" t="s">
        <v>482</v>
      </c>
      <c r="F171" s="341" t="s">
        <v>181</v>
      </c>
      <c r="G171" s="341"/>
      <c r="H171" s="94">
        <v>15</v>
      </c>
      <c r="I171" s="342"/>
      <c r="J171" s="342"/>
      <c r="K171" s="342"/>
      <c r="L171" s="342"/>
      <c r="M171" s="342"/>
      <c r="N171" s="342"/>
      <c r="O171" s="342"/>
      <c r="P171" s="342"/>
      <c r="Q171" s="342"/>
      <c r="R171" s="342"/>
      <c r="S171" s="342"/>
      <c r="T171" s="342"/>
      <c r="U171" s="342"/>
      <c r="V171" s="342"/>
      <c r="W171" s="342"/>
      <c r="X171" s="342"/>
      <c r="Y171" s="342"/>
      <c r="Z171" s="342"/>
      <c r="AA171" s="342"/>
      <c r="AB171" s="342"/>
      <c r="AC171" s="342"/>
      <c r="AD171" s="342"/>
      <c r="AE171" s="342"/>
      <c r="AF171" s="342"/>
      <c r="AG171" s="342"/>
      <c r="AH171" s="342"/>
      <c r="AI171" s="342"/>
      <c r="AJ171" s="342"/>
      <c r="AK171" s="342"/>
    </row>
    <row r="172" spans="1:37" x14ac:dyDescent="0.25">
      <c r="A172" s="341" t="s">
        <v>98</v>
      </c>
      <c r="B172" s="46" t="s">
        <v>122</v>
      </c>
      <c r="C172" s="46" t="s">
        <v>469</v>
      </c>
      <c r="D172" s="46" t="s">
        <v>21</v>
      </c>
      <c r="E172" s="46" t="s">
        <v>107</v>
      </c>
      <c r="F172" s="341" t="s">
        <v>181</v>
      </c>
      <c r="G172" s="341" t="s">
        <v>214</v>
      </c>
      <c r="H172" s="413">
        <v>20</v>
      </c>
      <c r="I172" s="342"/>
      <c r="J172" s="342"/>
      <c r="K172" s="342"/>
      <c r="L172" s="342"/>
      <c r="M172" s="342"/>
      <c r="N172" s="342"/>
      <c r="O172" s="342"/>
      <c r="P172" s="342"/>
      <c r="Q172" s="342"/>
      <c r="R172" s="342"/>
      <c r="S172" s="342"/>
      <c r="T172" s="342"/>
      <c r="U172" s="342"/>
      <c r="V172" s="342"/>
      <c r="W172" s="342"/>
      <c r="X172" s="342"/>
      <c r="Y172" s="342"/>
      <c r="Z172" s="342"/>
      <c r="AA172" s="342"/>
      <c r="AB172" s="342"/>
      <c r="AC172" s="342"/>
      <c r="AD172" s="342"/>
      <c r="AE172" s="342"/>
      <c r="AF172" s="342"/>
      <c r="AG172" s="342"/>
      <c r="AH172" s="342"/>
      <c r="AI172" s="342"/>
      <c r="AJ172" s="342"/>
      <c r="AK172" s="342"/>
    </row>
    <row r="173" spans="1:37" x14ac:dyDescent="0.25">
      <c r="A173" s="341" t="s">
        <v>98</v>
      </c>
      <c r="B173" s="46" t="s">
        <v>122</v>
      </c>
      <c r="C173" s="46" t="s">
        <v>469</v>
      </c>
      <c r="D173" s="46" t="s">
        <v>20</v>
      </c>
      <c r="E173" s="46" t="s">
        <v>108</v>
      </c>
      <c r="F173" s="341" t="s">
        <v>181</v>
      </c>
      <c r="G173" s="341" t="s">
        <v>214</v>
      </c>
      <c r="H173" s="413">
        <v>15</v>
      </c>
      <c r="I173" s="342"/>
      <c r="J173" s="342"/>
      <c r="K173" s="342"/>
      <c r="L173" s="342"/>
      <c r="M173" s="342"/>
      <c r="N173" s="342"/>
      <c r="O173" s="342"/>
      <c r="P173" s="342"/>
      <c r="Q173" s="342"/>
      <c r="R173" s="342"/>
      <c r="S173" s="342"/>
      <c r="T173" s="342"/>
      <c r="U173" s="342"/>
      <c r="V173" s="342"/>
      <c r="W173" s="342"/>
      <c r="X173" s="342"/>
      <c r="Y173" s="342"/>
      <c r="Z173" s="342"/>
      <c r="AA173" s="342"/>
      <c r="AB173" s="342"/>
      <c r="AC173" s="342"/>
      <c r="AD173" s="342"/>
      <c r="AE173" s="342"/>
      <c r="AF173" s="342"/>
      <c r="AG173" s="342"/>
      <c r="AH173" s="342"/>
      <c r="AI173" s="342"/>
      <c r="AJ173" s="342"/>
      <c r="AK173" s="342"/>
    </row>
    <row r="174" spans="1:37" x14ac:dyDescent="0.25">
      <c r="A174" s="341" t="s">
        <v>98</v>
      </c>
      <c r="B174" s="46" t="s">
        <v>122</v>
      </c>
      <c r="C174" s="46" t="s">
        <v>469</v>
      </c>
      <c r="D174" s="46" t="s">
        <v>0</v>
      </c>
      <c r="E174" s="46" t="s">
        <v>109</v>
      </c>
      <c r="F174" s="341" t="s">
        <v>181</v>
      </c>
      <c r="G174" s="341" t="s">
        <v>214</v>
      </c>
      <c r="H174" s="413">
        <v>17</v>
      </c>
      <c r="I174" s="342"/>
      <c r="J174" s="342"/>
      <c r="K174" s="342"/>
      <c r="L174" s="342"/>
      <c r="M174" s="342"/>
      <c r="N174" s="342"/>
      <c r="O174" s="342"/>
      <c r="P174" s="342"/>
      <c r="Q174" s="342"/>
      <c r="R174" s="342"/>
      <c r="S174" s="342"/>
      <c r="T174" s="342"/>
      <c r="U174" s="342"/>
      <c r="V174" s="342"/>
      <c r="W174" s="342"/>
      <c r="X174" s="342"/>
      <c r="Y174" s="342"/>
      <c r="Z174" s="342"/>
      <c r="AA174" s="342"/>
      <c r="AB174" s="342"/>
      <c r="AC174" s="342"/>
      <c r="AD174" s="342"/>
      <c r="AE174" s="342"/>
      <c r="AF174" s="342"/>
      <c r="AG174" s="342"/>
      <c r="AH174" s="342"/>
      <c r="AI174" s="342"/>
      <c r="AJ174" s="342"/>
      <c r="AK174" s="342"/>
    </row>
    <row r="175" spans="1:37" x14ac:dyDescent="0.25">
      <c r="A175" s="341" t="s">
        <v>98</v>
      </c>
      <c r="B175" s="46" t="s">
        <v>122</v>
      </c>
      <c r="C175" s="46" t="s">
        <v>469</v>
      </c>
      <c r="D175" s="46" t="s">
        <v>474</v>
      </c>
      <c r="E175" s="46" t="s">
        <v>475</v>
      </c>
      <c r="F175" s="341" t="s">
        <v>181</v>
      </c>
      <c r="G175" s="341" t="s">
        <v>214</v>
      </c>
      <c r="H175" s="413">
        <v>15</v>
      </c>
      <c r="I175" s="342"/>
      <c r="J175" s="342"/>
      <c r="K175" s="342"/>
      <c r="L175" s="342"/>
      <c r="M175" s="342"/>
      <c r="N175" s="342"/>
      <c r="O175" s="342"/>
      <c r="P175" s="342"/>
      <c r="Q175" s="342"/>
      <c r="R175" s="342"/>
      <c r="S175" s="342"/>
      <c r="T175" s="342"/>
      <c r="U175" s="342"/>
      <c r="V175" s="342"/>
      <c r="W175" s="342"/>
      <c r="X175" s="342"/>
      <c r="Y175" s="342"/>
      <c r="Z175" s="342"/>
      <c r="AA175" s="342"/>
      <c r="AB175" s="342"/>
      <c r="AC175" s="342"/>
      <c r="AD175" s="342"/>
      <c r="AE175" s="342"/>
      <c r="AF175" s="342"/>
      <c r="AG175" s="342"/>
      <c r="AH175" s="342"/>
      <c r="AI175" s="342"/>
      <c r="AJ175" s="342"/>
      <c r="AK175" s="342"/>
    </row>
    <row r="176" spans="1:37" x14ac:dyDescent="0.25">
      <c r="A176" s="341" t="s">
        <v>98</v>
      </c>
      <c r="B176" s="46" t="s">
        <v>122</v>
      </c>
      <c r="C176" s="46" t="s">
        <v>469</v>
      </c>
      <c r="D176" s="46" t="s">
        <v>22</v>
      </c>
      <c r="E176" s="48" t="s">
        <v>111</v>
      </c>
      <c r="F176" s="341" t="s">
        <v>181</v>
      </c>
      <c r="G176" s="341" t="s">
        <v>214</v>
      </c>
      <c r="H176" s="413">
        <v>15</v>
      </c>
      <c r="I176" s="342"/>
      <c r="J176" s="342"/>
      <c r="K176" s="342"/>
      <c r="L176" s="342"/>
      <c r="M176" s="342"/>
      <c r="N176" s="342"/>
      <c r="O176" s="342"/>
      <c r="P176" s="342"/>
      <c r="Q176" s="342"/>
      <c r="R176" s="342"/>
      <c r="S176" s="342"/>
      <c r="T176" s="342"/>
      <c r="U176" s="342"/>
      <c r="V176" s="342"/>
      <c r="W176" s="342"/>
      <c r="X176" s="342"/>
      <c r="Y176" s="342"/>
      <c r="Z176" s="342"/>
      <c r="AA176" s="342"/>
      <c r="AB176" s="342"/>
      <c r="AC176" s="342"/>
      <c r="AD176" s="342"/>
      <c r="AE176" s="342"/>
      <c r="AF176" s="342"/>
      <c r="AG176" s="342"/>
      <c r="AH176" s="342"/>
      <c r="AI176" s="342"/>
      <c r="AJ176" s="342"/>
      <c r="AK176" s="342"/>
    </row>
    <row r="177" spans="1:41" x14ac:dyDescent="0.25">
      <c r="A177" s="341" t="s">
        <v>98</v>
      </c>
      <c r="B177" s="51" t="s">
        <v>124</v>
      </c>
      <c r="C177" s="51" t="s">
        <v>470</v>
      </c>
      <c r="D177" s="51" t="s">
        <v>476</v>
      </c>
      <c r="E177" s="46" t="s">
        <v>482</v>
      </c>
      <c r="F177" s="388"/>
      <c r="G177" s="388"/>
      <c r="H177" s="230">
        <v>14</v>
      </c>
      <c r="I177" s="342"/>
      <c r="J177" s="342"/>
      <c r="K177" s="342"/>
      <c r="L177" s="342"/>
      <c r="M177" s="342"/>
      <c r="N177" s="342"/>
      <c r="O177" s="342"/>
      <c r="P177" s="342"/>
      <c r="Q177" s="342"/>
      <c r="R177" s="342"/>
      <c r="S177" s="342"/>
      <c r="T177" s="342"/>
      <c r="U177" s="342"/>
      <c r="V177" s="342"/>
      <c r="W177" s="342"/>
      <c r="X177" s="342"/>
      <c r="Y177" s="342"/>
      <c r="Z177" s="342"/>
      <c r="AA177" s="342"/>
      <c r="AB177" s="342"/>
      <c r="AC177" s="342"/>
      <c r="AD177" s="342"/>
      <c r="AE177" s="342"/>
      <c r="AF177" s="342"/>
      <c r="AG177" s="342"/>
      <c r="AH177" s="342"/>
      <c r="AI177" s="342"/>
      <c r="AJ177" s="342"/>
      <c r="AK177" s="342"/>
    </row>
    <row r="178" spans="1:41" x14ac:dyDescent="0.25">
      <c r="A178" s="341" t="s">
        <v>98</v>
      </c>
      <c r="B178" s="48" t="s">
        <v>124</v>
      </c>
      <c r="C178" s="48" t="s">
        <v>470</v>
      </c>
      <c r="D178" s="48" t="s">
        <v>19</v>
      </c>
      <c r="E178" s="48" t="s">
        <v>105</v>
      </c>
      <c r="F178" s="380" t="s">
        <v>181</v>
      </c>
      <c r="G178" s="380" t="s">
        <v>214</v>
      </c>
      <c r="H178" s="414">
        <v>14</v>
      </c>
      <c r="I178" s="342"/>
      <c r="J178" s="342"/>
      <c r="K178" s="342"/>
      <c r="L178" s="342"/>
      <c r="M178" s="342"/>
      <c r="N178" s="342"/>
      <c r="O178" s="342"/>
      <c r="P178" s="342"/>
      <c r="Q178" s="342"/>
      <c r="R178" s="342"/>
      <c r="S178" s="342"/>
      <c r="T178" s="342"/>
      <c r="U178" s="342"/>
      <c r="V178" s="342"/>
      <c r="W178" s="342"/>
      <c r="X178" s="342"/>
      <c r="Y178" s="342"/>
      <c r="Z178" s="342"/>
      <c r="AA178" s="342"/>
      <c r="AB178" s="342"/>
      <c r="AC178" s="342"/>
      <c r="AD178" s="342"/>
      <c r="AE178" s="342"/>
      <c r="AF178" s="342"/>
      <c r="AG178" s="342"/>
      <c r="AH178" s="342"/>
      <c r="AI178" s="342"/>
      <c r="AJ178" s="342"/>
      <c r="AK178" s="342"/>
    </row>
    <row r="179" spans="1:41" x14ac:dyDescent="0.25">
      <c r="A179" s="341" t="s">
        <v>98</v>
      </c>
      <c r="B179" s="51" t="s">
        <v>124</v>
      </c>
      <c r="C179" s="51" t="s">
        <v>471</v>
      </c>
      <c r="D179" s="51" t="s">
        <v>476</v>
      </c>
      <c r="E179" s="46" t="s">
        <v>482</v>
      </c>
      <c r="F179" s="388"/>
      <c r="G179" s="388"/>
      <c r="H179" s="230">
        <v>14</v>
      </c>
      <c r="I179" s="342"/>
      <c r="J179" s="342"/>
      <c r="K179" s="342"/>
      <c r="L179" s="342"/>
      <c r="M179" s="342"/>
      <c r="N179" s="342"/>
      <c r="O179" s="342"/>
      <c r="P179" s="342"/>
      <c r="Q179" s="342"/>
      <c r="R179" s="342"/>
      <c r="S179" s="342"/>
      <c r="T179" s="342"/>
      <c r="U179" s="342"/>
      <c r="V179" s="342"/>
      <c r="W179" s="342"/>
      <c r="X179" s="342"/>
      <c r="Y179" s="342"/>
      <c r="Z179" s="342"/>
      <c r="AA179" s="342"/>
      <c r="AB179" s="342"/>
      <c r="AC179" s="342"/>
      <c r="AD179" s="342"/>
      <c r="AE179" s="342"/>
      <c r="AF179" s="342"/>
      <c r="AG179" s="342"/>
      <c r="AH179" s="342"/>
      <c r="AI179" s="342"/>
      <c r="AJ179" s="342"/>
      <c r="AK179" s="342"/>
    </row>
    <row r="180" spans="1:41" x14ac:dyDescent="0.25">
      <c r="A180" s="341" t="s">
        <v>98</v>
      </c>
      <c r="B180" s="48" t="s">
        <v>124</v>
      </c>
      <c r="C180" s="48" t="s">
        <v>471</v>
      </c>
      <c r="D180" s="48" t="s">
        <v>19</v>
      </c>
      <c r="E180" s="48" t="s">
        <v>105</v>
      </c>
      <c r="F180" s="380" t="s">
        <v>181</v>
      </c>
      <c r="G180" s="380" t="s">
        <v>214</v>
      </c>
      <c r="H180" s="414">
        <v>14</v>
      </c>
      <c r="I180" s="342"/>
      <c r="J180" s="342"/>
      <c r="K180" s="342"/>
      <c r="L180" s="342"/>
      <c r="M180" s="342"/>
      <c r="N180" s="342"/>
      <c r="O180" s="342"/>
      <c r="P180" s="342"/>
      <c r="Q180" s="342"/>
      <c r="R180" s="342"/>
      <c r="S180" s="342"/>
      <c r="T180" s="342"/>
      <c r="U180" s="342"/>
      <c r="V180" s="342"/>
      <c r="W180" s="342"/>
      <c r="X180" s="342"/>
      <c r="Y180" s="342"/>
      <c r="Z180" s="342"/>
      <c r="AA180" s="342"/>
      <c r="AB180" s="342"/>
      <c r="AC180" s="342"/>
      <c r="AD180" s="342"/>
      <c r="AE180" s="342"/>
      <c r="AF180" s="342"/>
      <c r="AG180" s="342"/>
      <c r="AH180" s="342"/>
      <c r="AI180" s="342"/>
      <c r="AJ180" s="342"/>
      <c r="AK180" s="342"/>
      <c r="AL180" s="342"/>
      <c r="AM180" s="342"/>
      <c r="AN180" s="342"/>
      <c r="AO180" s="342"/>
    </row>
    <row r="181" spans="1:41" x14ac:dyDescent="0.25">
      <c r="A181" s="341" t="s">
        <v>98</v>
      </c>
      <c r="B181" s="46" t="s">
        <v>119</v>
      </c>
      <c r="C181" s="46" t="s">
        <v>487</v>
      </c>
      <c r="D181" s="46" t="s">
        <v>115</v>
      </c>
      <c r="E181" s="46" t="s">
        <v>368</v>
      </c>
      <c r="F181" s="341" t="s">
        <v>181</v>
      </c>
      <c r="G181" s="506"/>
      <c r="H181" s="94">
        <f>H185</f>
        <v>20</v>
      </c>
      <c r="I181" s="342"/>
      <c r="J181" s="342"/>
      <c r="K181" s="342"/>
      <c r="L181" s="342"/>
      <c r="M181" s="342"/>
      <c r="N181" s="342"/>
      <c r="O181" s="342"/>
      <c r="P181" s="342"/>
      <c r="Q181" s="342"/>
      <c r="R181" s="342"/>
      <c r="S181" s="342"/>
      <c r="T181" s="342"/>
      <c r="U181" s="342"/>
      <c r="V181" s="342"/>
      <c r="W181" s="342"/>
      <c r="X181" s="342"/>
      <c r="Y181" s="342"/>
      <c r="Z181" s="342"/>
      <c r="AA181" s="342"/>
      <c r="AB181" s="342"/>
      <c r="AC181" s="342"/>
      <c r="AD181" s="342"/>
      <c r="AE181" s="342"/>
      <c r="AF181" s="342"/>
      <c r="AG181" s="342"/>
      <c r="AH181" s="342"/>
      <c r="AI181" s="342"/>
      <c r="AJ181" s="342"/>
      <c r="AK181" s="342"/>
      <c r="AL181" s="342"/>
      <c r="AM181" s="342"/>
      <c r="AN181" s="342"/>
      <c r="AO181" s="342"/>
    </row>
    <row r="182" spans="1:41" x14ac:dyDescent="0.25">
      <c r="A182" s="341" t="s">
        <v>98</v>
      </c>
      <c r="B182" s="46" t="s">
        <v>119</v>
      </c>
      <c r="C182" s="46" t="s">
        <v>487</v>
      </c>
      <c r="D182" s="46" t="s">
        <v>18</v>
      </c>
      <c r="E182" s="46" t="s">
        <v>104</v>
      </c>
      <c r="F182" s="341" t="s">
        <v>181</v>
      </c>
      <c r="G182" s="341"/>
      <c r="H182" s="94">
        <f>H185</f>
        <v>20</v>
      </c>
      <c r="I182" s="342"/>
      <c r="J182" s="342"/>
      <c r="K182" s="342"/>
      <c r="L182" s="342"/>
      <c r="M182" s="342"/>
      <c r="N182" s="342"/>
      <c r="O182" s="342"/>
      <c r="P182" s="342"/>
      <c r="Q182" s="342"/>
      <c r="R182" s="342"/>
      <c r="S182" s="342"/>
      <c r="T182" s="342"/>
      <c r="U182" s="342"/>
      <c r="V182" s="342"/>
      <c r="W182" s="342"/>
      <c r="X182" s="342"/>
      <c r="Y182" s="342"/>
      <c r="Z182" s="342"/>
      <c r="AA182" s="342"/>
      <c r="AB182" s="342"/>
      <c r="AC182" s="342"/>
      <c r="AD182" s="342"/>
      <c r="AE182" s="342"/>
      <c r="AF182" s="342"/>
      <c r="AG182" s="342"/>
      <c r="AH182" s="342"/>
      <c r="AI182" s="342"/>
      <c r="AJ182" s="342"/>
      <c r="AK182" s="342"/>
      <c r="AL182" s="342"/>
      <c r="AM182" s="342"/>
      <c r="AN182" s="342"/>
      <c r="AO182" s="342"/>
    </row>
    <row r="183" spans="1:41" x14ac:dyDescent="0.25">
      <c r="A183" s="341" t="s">
        <v>98</v>
      </c>
      <c r="B183" s="46" t="s">
        <v>119</v>
      </c>
      <c r="C183" s="46" t="s">
        <v>487</v>
      </c>
      <c r="D183" s="46" t="s">
        <v>19</v>
      </c>
      <c r="E183" s="46" t="s">
        <v>105</v>
      </c>
      <c r="F183" s="341" t="s">
        <v>181</v>
      </c>
      <c r="G183" s="341"/>
      <c r="H183" s="94">
        <f>H185</f>
        <v>20</v>
      </c>
      <c r="I183" s="342"/>
      <c r="J183" s="342"/>
      <c r="K183" s="342"/>
      <c r="L183" s="342"/>
      <c r="M183" s="342"/>
      <c r="N183" s="342"/>
      <c r="O183" s="342"/>
      <c r="P183" s="342"/>
      <c r="Q183" s="342"/>
      <c r="R183" s="342"/>
      <c r="S183" s="342"/>
      <c r="T183" s="342"/>
      <c r="U183" s="342"/>
      <c r="V183" s="342"/>
      <c r="W183" s="342"/>
      <c r="X183" s="342"/>
      <c r="Y183" s="342"/>
      <c r="Z183" s="342"/>
      <c r="AA183" s="342"/>
      <c r="AB183" s="342"/>
      <c r="AC183" s="342"/>
      <c r="AD183" s="342"/>
      <c r="AE183" s="342"/>
      <c r="AF183" s="342"/>
      <c r="AG183" s="342"/>
      <c r="AH183" s="342"/>
      <c r="AI183" s="342"/>
      <c r="AJ183" s="342"/>
      <c r="AK183" s="342"/>
      <c r="AL183" s="342"/>
      <c r="AM183" s="342"/>
      <c r="AN183" s="342"/>
      <c r="AO183" s="342"/>
    </row>
    <row r="184" spans="1:41" x14ac:dyDescent="0.25">
      <c r="A184" s="341" t="s">
        <v>98</v>
      </c>
      <c r="B184" s="46" t="s">
        <v>119</v>
      </c>
      <c r="C184" s="46" t="s">
        <v>487</v>
      </c>
      <c r="D184" s="46" t="s">
        <v>476</v>
      </c>
      <c r="E184" s="46" t="s">
        <v>482</v>
      </c>
      <c r="F184" s="341" t="s">
        <v>181</v>
      </c>
      <c r="G184" s="341"/>
      <c r="H184" s="94">
        <f>H185</f>
        <v>20</v>
      </c>
      <c r="I184" s="342"/>
      <c r="J184" s="342"/>
      <c r="K184" s="342"/>
      <c r="L184" s="342"/>
      <c r="M184" s="342"/>
      <c r="N184" s="342"/>
      <c r="O184" s="342"/>
      <c r="P184" s="342"/>
      <c r="Q184" s="342"/>
      <c r="R184" s="342"/>
      <c r="S184" s="342"/>
      <c r="T184" s="342"/>
      <c r="U184" s="342"/>
      <c r="V184" s="342"/>
      <c r="W184" s="342"/>
      <c r="X184" s="342"/>
      <c r="Y184" s="342"/>
      <c r="Z184" s="342"/>
      <c r="AA184" s="342"/>
      <c r="AB184" s="342"/>
      <c r="AC184" s="342"/>
      <c r="AD184" s="342"/>
      <c r="AE184" s="342"/>
      <c r="AF184" s="342"/>
      <c r="AG184" s="342"/>
      <c r="AH184" s="342"/>
      <c r="AI184" s="342"/>
      <c r="AJ184" s="342"/>
      <c r="AK184" s="342"/>
      <c r="AL184" s="342"/>
      <c r="AM184" s="342"/>
      <c r="AN184" s="342"/>
      <c r="AO184" s="342"/>
    </row>
    <row r="185" spans="1:41" x14ac:dyDescent="0.25">
      <c r="A185" s="341" t="s">
        <v>98</v>
      </c>
      <c r="B185" s="46" t="s">
        <v>119</v>
      </c>
      <c r="C185" s="46" t="s">
        <v>487</v>
      </c>
      <c r="D185" s="46" t="s">
        <v>0</v>
      </c>
      <c r="E185" s="46" t="s">
        <v>109</v>
      </c>
      <c r="F185" s="341" t="s">
        <v>181</v>
      </c>
      <c r="G185" s="341" t="s">
        <v>214</v>
      </c>
      <c r="H185" s="413">
        <v>20</v>
      </c>
      <c r="I185" s="342"/>
      <c r="J185" s="342"/>
      <c r="K185" s="342"/>
      <c r="L185" s="342"/>
      <c r="M185" s="342"/>
      <c r="N185" s="342"/>
      <c r="O185" s="342"/>
      <c r="P185" s="342"/>
      <c r="Q185" s="342"/>
      <c r="R185" s="342"/>
      <c r="S185" s="342"/>
      <c r="T185" s="342"/>
      <c r="U185" s="342"/>
      <c r="V185" s="342"/>
      <c r="W185" s="342"/>
      <c r="X185" s="342"/>
      <c r="Y185" s="342"/>
      <c r="Z185" s="342"/>
      <c r="AA185" s="342"/>
      <c r="AB185" s="342"/>
      <c r="AC185" s="342"/>
      <c r="AD185" s="342"/>
      <c r="AE185" s="342"/>
      <c r="AF185" s="342"/>
      <c r="AG185" s="342"/>
      <c r="AH185" s="342"/>
      <c r="AI185" s="342"/>
      <c r="AJ185" s="342"/>
      <c r="AK185" s="342"/>
      <c r="AL185" s="342"/>
      <c r="AM185" s="342"/>
      <c r="AN185" s="342"/>
      <c r="AO185" s="342"/>
    </row>
    <row r="186" spans="1:41" x14ac:dyDescent="0.25">
      <c r="A186" s="341" t="s">
        <v>98</v>
      </c>
      <c r="B186" s="46" t="s">
        <v>119</v>
      </c>
      <c r="C186" s="46" t="s">
        <v>487</v>
      </c>
      <c r="D186" s="46" t="s">
        <v>474</v>
      </c>
      <c r="E186" s="46" t="s">
        <v>475</v>
      </c>
      <c r="F186" s="341" t="s">
        <v>181</v>
      </c>
      <c r="G186" s="341"/>
      <c r="H186" s="94">
        <v>20</v>
      </c>
      <c r="I186" s="342"/>
      <c r="J186" s="342"/>
      <c r="K186" s="342"/>
      <c r="L186" s="342"/>
      <c r="M186" s="342"/>
      <c r="N186" s="342"/>
      <c r="O186" s="342"/>
      <c r="P186" s="342"/>
      <c r="Q186" s="342"/>
      <c r="R186" s="342"/>
      <c r="S186" s="342"/>
      <c r="T186" s="342"/>
      <c r="U186" s="342"/>
      <c r="V186" s="342"/>
      <c r="W186" s="342"/>
      <c r="X186" s="342"/>
      <c r="Y186" s="342"/>
      <c r="Z186" s="342"/>
      <c r="AA186" s="342"/>
      <c r="AB186" s="342"/>
      <c r="AC186" s="342"/>
      <c r="AD186" s="342"/>
      <c r="AE186" s="342"/>
      <c r="AF186" s="342"/>
      <c r="AG186" s="342"/>
      <c r="AH186" s="342"/>
      <c r="AI186" s="342"/>
      <c r="AJ186" s="342"/>
      <c r="AK186" s="342"/>
      <c r="AL186" s="342"/>
      <c r="AM186" s="342"/>
      <c r="AN186" s="342"/>
      <c r="AO186" s="342"/>
    </row>
    <row r="187" spans="1:41" x14ac:dyDescent="0.25">
      <c r="A187" s="341" t="s">
        <v>98</v>
      </c>
      <c r="B187" s="48" t="s">
        <v>119</v>
      </c>
      <c r="C187" s="48" t="s">
        <v>487</v>
      </c>
      <c r="D187" s="48" t="s">
        <v>22</v>
      </c>
      <c r="E187" s="48" t="s">
        <v>111</v>
      </c>
      <c r="F187" s="380" t="s">
        <v>181</v>
      </c>
      <c r="G187" s="380"/>
      <c r="H187" s="95">
        <v>12</v>
      </c>
      <c r="I187" s="342"/>
      <c r="J187" s="342"/>
      <c r="K187" s="342"/>
      <c r="L187" s="342"/>
      <c r="M187" s="342"/>
      <c r="N187" s="342"/>
      <c r="O187" s="342"/>
      <c r="P187" s="342"/>
      <c r="Q187" s="342"/>
      <c r="R187" s="342"/>
      <c r="S187" s="342"/>
      <c r="T187" s="342"/>
      <c r="U187" s="342"/>
      <c r="V187" s="342"/>
      <c r="W187" s="342"/>
      <c r="X187" s="342"/>
      <c r="Y187" s="342"/>
      <c r="Z187" s="342"/>
      <c r="AA187" s="342"/>
      <c r="AB187" s="342"/>
      <c r="AC187" s="342"/>
      <c r="AD187" s="342"/>
      <c r="AE187" s="342"/>
      <c r="AF187" s="342"/>
      <c r="AG187" s="342"/>
      <c r="AH187" s="342"/>
      <c r="AI187" s="342"/>
      <c r="AJ187" s="342"/>
      <c r="AK187" s="342"/>
      <c r="AL187" s="342"/>
      <c r="AM187" s="342"/>
      <c r="AN187" s="342"/>
      <c r="AO187" s="342"/>
    </row>
    <row r="188" spans="1:41" x14ac:dyDescent="0.25">
      <c r="A188" s="341" t="s">
        <v>98</v>
      </c>
      <c r="B188" s="61" t="s">
        <v>94</v>
      </c>
      <c r="C188" s="61" t="s">
        <v>125</v>
      </c>
      <c r="D188" s="61" t="s">
        <v>19</v>
      </c>
      <c r="E188" s="61" t="s">
        <v>105</v>
      </c>
      <c r="F188" s="381" t="s">
        <v>181</v>
      </c>
      <c r="G188" s="381" t="s">
        <v>214</v>
      </c>
      <c r="H188" s="93">
        <v>5.71</v>
      </c>
      <c r="I188" s="342"/>
      <c r="J188" s="342"/>
      <c r="K188" s="342"/>
      <c r="L188" s="342"/>
      <c r="M188" s="342"/>
      <c r="N188" s="342"/>
      <c r="O188" s="342"/>
      <c r="P188" s="342"/>
      <c r="Q188" s="342"/>
      <c r="R188" s="342"/>
      <c r="S188" s="342"/>
      <c r="T188" s="342"/>
      <c r="U188" s="342"/>
      <c r="V188" s="342"/>
      <c r="W188" s="342"/>
      <c r="X188" s="342"/>
      <c r="Y188" s="342"/>
      <c r="Z188" s="342"/>
      <c r="AA188" s="342"/>
      <c r="AB188" s="342"/>
      <c r="AC188" s="342"/>
      <c r="AD188" s="342"/>
      <c r="AE188" s="342"/>
      <c r="AF188" s="342"/>
      <c r="AG188" s="342"/>
      <c r="AH188" s="342"/>
      <c r="AI188" s="342"/>
      <c r="AJ188" s="342"/>
      <c r="AK188" s="342"/>
      <c r="AL188" s="342"/>
      <c r="AM188" s="342"/>
      <c r="AN188" s="342"/>
      <c r="AO188" s="342"/>
    </row>
    <row r="189" spans="1:41" x14ac:dyDescent="0.25">
      <c r="A189" s="341" t="s">
        <v>98</v>
      </c>
      <c r="B189" s="69" t="s">
        <v>148</v>
      </c>
      <c r="C189" s="69" t="s">
        <v>173</v>
      </c>
      <c r="D189" s="89" t="s">
        <v>19</v>
      </c>
      <c r="E189" s="89" t="s">
        <v>105</v>
      </c>
      <c r="F189" s="381" t="s">
        <v>181</v>
      </c>
      <c r="G189" s="380"/>
      <c r="H189" s="95">
        <v>7</v>
      </c>
      <c r="I189" s="342"/>
      <c r="J189" s="342"/>
      <c r="K189" s="342"/>
      <c r="L189" s="342"/>
      <c r="M189" s="342"/>
      <c r="N189" s="342"/>
      <c r="O189" s="342"/>
      <c r="P189" s="342"/>
      <c r="Q189" s="342"/>
      <c r="R189" s="342"/>
      <c r="S189" s="342"/>
      <c r="T189" s="342"/>
      <c r="U189" s="342"/>
      <c r="V189" s="342"/>
      <c r="W189" s="342"/>
      <c r="X189" s="342"/>
      <c r="Y189" s="342"/>
      <c r="Z189" s="342"/>
      <c r="AA189" s="342"/>
      <c r="AB189" s="342"/>
      <c r="AC189" s="342"/>
      <c r="AD189" s="342"/>
      <c r="AE189" s="342"/>
      <c r="AF189" s="342"/>
      <c r="AG189" s="342"/>
      <c r="AH189" s="342"/>
      <c r="AI189" s="342"/>
      <c r="AJ189" s="342"/>
      <c r="AK189" s="342"/>
      <c r="AL189" s="342"/>
      <c r="AM189" s="342"/>
      <c r="AN189" s="342"/>
      <c r="AO189" s="342"/>
    </row>
    <row r="190" spans="1:41" x14ac:dyDescent="0.25">
      <c r="A190" s="341" t="s">
        <v>98</v>
      </c>
      <c r="B190" s="61" t="s">
        <v>169</v>
      </c>
      <c r="C190" s="61" t="s">
        <v>120</v>
      </c>
      <c r="D190" s="61"/>
      <c r="E190" s="61"/>
      <c r="F190" s="381" t="s">
        <v>181</v>
      </c>
      <c r="G190" s="381"/>
      <c r="H190" s="96">
        <v>20</v>
      </c>
      <c r="I190" s="342"/>
      <c r="J190" s="342"/>
      <c r="K190" s="342"/>
      <c r="L190" s="342"/>
      <c r="M190" s="342"/>
      <c r="N190" s="342"/>
      <c r="O190" s="342"/>
      <c r="P190" s="342"/>
      <c r="Q190" s="342"/>
      <c r="R190" s="342"/>
      <c r="S190" s="342"/>
      <c r="T190" s="342"/>
      <c r="U190" s="342"/>
      <c r="V190" s="342"/>
      <c r="W190" s="342"/>
      <c r="X190" s="342"/>
      <c r="Y190" s="342"/>
      <c r="Z190" s="342"/>
      <c r="AA190" s="342"/>
      <c r="AB190" s="342"/>
      <c r="AC190" s="342"/>
      <c r="AD190" s="342"/>
      <c r="AE190" s="342"/>
      <c r="AF190" s="342"/>
      <c r="AG190" s="342"/>
      <c r="AH190" s="342"/>
      <c r="AI190" s="342"/>
      <c r="AJ190" s="342"/>
      <c r="AK190" s="342"/>
      <c r="AL190" s="342"/>
      <c r="AM190" s="342"/>
      <c r="AN190" s="342"/>
      <c r="AO190" s="342"/>
    </row>
    <row r="191" spans="1:41" x14ac:dyDescent="0.25">
      <c r="I191" s="342"/>
      <c r="J191" s="342"/>
      <c r="K191" s="342"/>
      <c r="L191" s="342"/>
      <c r="M191" s="342"/>
      <c r="N191" s="342"/>
      <c r="O191" s="342"/>
      <c r="P191" s="342"/>
      <c r="Q191" s="342"/>
      <c r="R191" s="342"/>
      <c r="S191" s="342"/>
      <c r="T191" s="342"/>
      <c r="U191" s="342"/>
      <c r="V191" s="342"/>
      <c r="W191" s="342"/>
      <c r="X191" s="342"/>
      <c r="Y191" s="342"/>
      <c r="Z191" s="342"/>
      <c r="AA191" s="342"/>
      <c r="AB191" s="342"/>
      <c r="AC191" s="342"/>
      <c r="AD191" s="342"/>
      <c r="AE191" s="342"/>
      <c r="AF191" s="342"/>
      <c r="AG191" s="342"/>
      <c r="AH191" s="342"/>
      <c r="AI191" s="342"/>
      <c r="AJ191" s="342"/>
      <c r="AK191" s="342"/>
      <c r="AL191" s="342"/>
      <c r="AM191" s="342"/>
      <c r="AN191" s="342"/>
      <c r="AO191" s="342"/>
    </row>
    <row r="194" spans="1:36" x14ac:dyDescent="0.25">
      <c r="B194" s="46"/>
      <c r="C194" s="46"/>
      <c r="D194" s="46"/>
      <c r="E194" s="46"/>
      <c r="F194" s="341"/>
      <c r="G194" s="341"/>
    </row>
    <row r="195" spans="1:36" ht="26.25" x14ac:dyDescent="0.25">
      <c r="B195" s="4" t="s">
        <v>488</v>
      </c>
      <c r="C195" s="415" t="s">
        <v>182</v>
      </c>
      <c r="D195" s="46"/>
      <c r="E195" s="46"/>
      <c r="F195" s="46"/>
      <c r="G195" s="46"/>
    </row>
    <row r="196" spans="1:36" x14ac:dyDescent="0.25">
      <c r="B196" s="56" t="s">
        <v>95</v>
      </c>
      <c r="C196" s="56"/>
      <c r="D196" s="57"/>
      <c r="E196" s="57"/>
      <c r="F196" s="56" t="s">
        <v>46</v>
      </c>
      <c r="G196" s="56"/>
      <c r="H196" s="56"/>
      <c r="I196" s="334" t="s">
        <v>314</v>
      </c>
      <c r="J196" s="334" t="s">
        <v>315</v>
      </c>
      <c r="K196" s="334" t="s">
        <v>317</v>
      </c>
      <c r="L196" s="334" t="s">
        <v>316</v>
      </c>
      <c r="M196" s="334" t="s">
        <v>318</v>
      </c>
      <c r="N196" s="334" t="s">
        <v>319</v>
      </c>
      <c r="O196" s="334" t="s">
        <v>320</v>
      </c>
      <c r="P196" s="334" t="s">
        <v>321</v>
      </c>
      <c r="Q196" s="334" t="s">
        <v>1</v>
      </c>
      <c r="R196" s="334" t="s">
        <v>2</v>
      </c>
      <c r="S196" s="334" t="s">
        <v>416</v>
      </c>
      <c r="T196" s="334" t="s">
        <v>3</v>
      </c>
      <c r="U196" s="334" t="s">
        <v>322</v>
      </c>
      <c r="V196" s="334" t="s">
        <v>323</v>
      </c>
      <c r="W196" s="334" t="s">
        <v>324</v>
      </c>
      <c r="X196" s="334" t="s">
        <v>417</v>
      </c>
      <c r="Y196" s="334" t="s">
        <v>325</v>
      </c>
      <c r="Z196" s="334" t="s">
        <v>4</v>
      </c>
      <c r="AA196" s="334" t="s">
        <v>5</v>
      </c>
      <c r="AB196" s="334" t="s">
        <v>6</v>
      </c>
      <c r="AC196" s="334" t="s">
        <v>7</v>
      </c>
      <c r="AD196" s="334" t="s">
        <v>418</v>
      </c>
      <c r="AE196" s="334" t="s">
        <v>8</v>
      </c>
      <c r="AF196" s="334" t="s">
        <v>9</v>
      </c>
      <c r="AG196" s="334" t="s">
        <v>419</v>
      </c>
      <c r="AH196" s="334" t="s">
        <v>10</v>
      </c>
      <c r="AI196" s="334" t="s">
        <v>420</v>
      </c>
      <c r="AJ196" s="334" t="s">
        <v>11</v>
      </c>
    </row>
    <row r="197" spans="1:36" ht="16.5" thickBot="1" x14ac:dyDescent="0.3">
      <c r="B197" s="58" t="s">
        <v>27</v>
      </c>
      <c r="C197" s="58" t="s">
        <v>32</v>
      </c>
      <c r="D197" s="58"/>
      <c r="E197" s="58"/>
      <c r="F197" s="58"/>
      <c r="G197" s="58"/>
      <c r="H197" s="58"/>
      <c r="I197" s="378" t="s">
        <v>327</v>
      </c>
      <c r="J197" s="378" t="s">
        <v>328</v>
      </c>
      <c r="K197" s="378" t="s">
        <v>330</v>
      </c>
      <c r="L197" s="378" t="s">
        <v>329</v>
      </c>
      <c r="M197" s="378" t="s">
        <v>331</v>
      </c>
      <c r="N197" s="378" t="s">
        <v>332</v>
      </c>
      <c r="O197" s="378" t="s">
        <v>333</v>
      </c>
      <c r="P197" s="378" t="s">
        <v>334</v>
      </c>
      <c r="Q197" s="378" t="s">
        <v>87</v>
      </c>
      <c r="R197" s="378" t="s">
        <v>88</v>
      </c>
      <c r="S197" s="378" t="s">
        <v>425</v>
      </c>
      <c r="T197" s="378" t="s">
        <v>463</v>
      </c>
      <c r="U197" s="378" t="s">
        <v>335</v>
      </c>
      <c r="V197" s="378" t="s">
        <v>336</v>
      </c>
      <c r="W197" s="378" t="s">
        <v>337</v>
      </c>
      <c r="X197" s="378" t="s">
        <v>427</v>
      </c>
      <c r="Y197" s="378" t="s">
        <v>338</v>
      </c>
      <c r="Z197" s="378" t="s">
        <v>464</v>
      </c>
      <c r="AA197" s="378" t="s">
        <v>89</v>
      </c>
      <c r="AB197" s="378" t="s">
        <v>90</v>
      </c>
      <c r="AC197" s="378" t="s">
        <v>91</v>
      </c>
      <c r="AD197" s="378" t="s">
        <v>429</v>
      </c>
      <c r="AE197" s="378" t="s">
        <v>465</v>
      </c>
      <c r="AF197" s="378" t="s">
        <v>92</v>
      </c>
      <c r="AG197" s="378" t="s">
        <v>431</v>
      </c>
      <c r="AH197" s="378" t="s">
        <v>466</v>
      </c>
      <c r="AI197" s="378" t="s">
        <v>587</v>
      </c>
      <c r="AJ197" s="378" t="s">
        <v>339</v>
      </c>
    </row>
    <row r="198" spans="1:36" x14ac:dyDescent="0.25">
      <c r="A198" s="385" t="s">
        <v>191</v>
      </c>
      <c r="B198" s="46" t="s">
        <v>122</v>
      </c>
      <c r="C198" s="46" t="s">
        <v>468</v>
      </c>
      <c r="D198" s="46"/>
      <c r="E198" s="46"/>
      <c r="F198" s="341" t="s">
        <v>307</v>
      </c>
      <c r="G198" s="341"/>
      <c r="H198" s="341"/>
      <c r="I198" s="188">
        <v>397.02856574070904</v>
      </c>
      <c r="J198" s="188">
        <v>394.61679296748497</v>
      </c>
      <c r="K198" s="188">
        <v>367.84164893882183</v>
      </c>
      <c r="L198" s="188">
        <v>365.16748422036278</v>
      </c>
      <c r="M198" s="188">
        <v>443.97732123280173</v>
      </c>
      <c r="N198" s="188">
        <v>508.70068170838897</v>
      </c>
      <c r="O198" s="188">
        <v>365.18580480387902</v>
      </c>
      <c r="P198" s="188">
        <v>375.66867833109018</v>
      </c>
      <c r="Q198" s="188">
        <v>365</v>
      </c>
      <c r="R198" s="188">
        <v>1132.27117080984</v>
      </c>
      <c r="S198" s="188">
        <v>490.72120592193806</v>
      </c>
      <c r="T198" s="188">
        <v>704.79641940896204</v>
      </c>
      <c r="U198" s="188">
        <v>717.99147396633089</v>
      </c>
      <c r="V198" s="188">
        <v>793.31366386485001</v>
      </c>
      <c r="W198" s="188">
        <v>680.13434544628626</v>
      </c>
      <c r="X198" s="188">
        <v>585.73429809642903</v>
      </c>
      <c r="Y198" s="485">
        <v>585.73429809642903</v>
      </c>
      <c r="Z198" s="188">
        <v>365</v>
      </c>
      <c r="AA198" s="188">
        <v>365</v>
      </c>
      <c r="AB198" s="188">
        <v>450.94017655004393</v>
      </c>
      <c r="AC198" s="188">
        <v>365</v>
      </c>
      <c r="AD198" s="188">
        <v>620.04604006957732</v>
      </c>
      <c r="AE198" s="188">
        <v>365</v>
      </c>
      <c r="AF198" s="188">
        <v>425.08362853297444</v>
      </c>
      <c r="AG198" s="188">
        <v>367.84164893882183</v>
      </c>
      <c r="AH198" s="188">
        <v>926.22257704023718</v>
      </c>
      <c r="AI198" s="188">
        <v>704.63053651262908</v>
      </c>
      <c r="AJ198" s="188">
        <v>584.22576517660559</v>
      </c>
    </row>
    <row r="199" spans="1:36" x14ac:dyDescent="0.25">
      <c r="B199" s="46"/>
      <c r="C199" s="46"/>
      <c r="D199" s="46"/>
      <c r="E199" s="46"/>
      <c r="F199" s="341" t="s">
        <v>308</v>
      </c>
      <c r="G199" s="341"/>
      <c r="H199" s="341"/>
      <c r="I199" s="188"/>
      <c r="J199" s="188"/>
      <c r="K199" s="188"/>
      <c r="L199" s="188"/>
      <c r="M199" s="188"/>
      <c r="N199" s="188"/>
      <c r="O199" s="188"/>
      <c r="P199" s="188"/>
      <c r="Q199" s="188"/>
      <c r="R199" s="188"/>
      <c r="S199" s="188"/>
      <c r="T199" s="188"/>
      <c r="U199" s="188"/>
      <c r="V199" s="188"/>
      <c r="W199" s="188"/>
      <c r="X199" s="188"/>
      <c r="Y199" s="485"/>
      <c r="Z199" s="188"/>
      <c r="AA199" s="188"/>
      <c r="AB199" s="188"/>
      <c r="AC199" s="188"/>
      <c r="AD199" s="188"/>
      <c r="AE199" s="188"/>
      <c r="AF199" s="188"/>
      <c r="AG199" s="188"/>
      <c r="AH199" s="188"/>
      <c r="AI199" s="188"/>
      <c r="AJ199" s="188"/>
    </row>
    <row r="200" spans="1:36" x14ac:dyDescent="0.25">
      <c r="A200" s="385" t="s">
        <v>191</v>
      </c>
      <c r="B200" s="46" t="s">
        <v>122</v>
      </c>
      <c r="C200" s="46" t="s">
        <v>469</v>
      </c>
      <c r="D200" s="46"/>
      <c r="E200" s="46"/>
      <c r="F200" s="341" t="s">
        <v>307</v>
      </c>
      <c r="G200" s="341"/>
      <c r="H200" s="341"/>
      <c r="I200" s="188">
        <v>397.02856574070904</v>
      </c>
      <c r="J200" s="188">
        <v>394.61679296748497</v>
      </c>
      <c r="K200" s="188">
        <v>367.84164893882183</v>
      </c>
      <c r="L200" s="188">
        <v>365.16748422036278</v>
      </c>
      <c r="M200" s="188">
        <v>443.97732123280173</v>
      </c>
      <c r="N200" s="188">
        <v>508.70068170838897</v>
      </c>
      <c r="O200" s="188">
        <v>365.18580480387902</v>
      </c>
      <c r="P200" s="188">
        <v>375.66867833109018</v>
      </c>
      <c r="Q200" s="188">
        <v>365</v>
      </c>
      <c r="R200" s="188">
        <v>1132.27117080984</v>
      </c>
      <c r="S200" s="188">
        <v>490.72120592193806</v>
      </c>
      <c r="T200" s="188">
        <v>704.79641940896204</v>
      </c>
      <c r="U200" s="188">
        <v>717.99147396633089</v>
      </c>
      <c r="V200" s="188">
        <v>793.31366386485001</v>
      </c>
      <c r="W200" s="188">
        <v>680.13434544628626</v>
      </c>
      <c r="X200" s="188">
        <v>585.73429809642903</v>
      </c>
      <c r="Y200" s="485">
        <v>585.73429809642903</v>
      </c>
      <c r="Z200" s="188">
        <v>365</v>
      </c>
      <c r="AA200" s="188">
        <v>365</v>
      </c>
      <c r="AB200" s="188">
        <v>450.94017655004393</v>
      </c>
      <c r="AC200" s="188">
        <v>365</v>
      </c>
      <c r="AD200" s="188">
        <v>620.04604006957732</v>
      </c>
      <c r="AE200" s="188">
        <v>365</v>
      </c>
      <c r="AF200" s="188">
        <v>425.08362853297444</v>
      </c>
      <c r="AG200" s="188">
        <v>367.84164893882183</v>
      </c>
      <c r="AH200" s="188">
        <v>926.22257704023718</v>
      </c>
      <c r="AI200" s="188">
        <v>704.63053651262908</v>
      </c>
      <c r="AJ200" s="188">
        <v>584.22576517660559</v>
      </c>
    </row>
    <row r="201" spans="1:36" x14ac:dyDescent="0.25">
      <c r="B201" s="46"/>
      <c r="C201" s="46"/>
      <c r="D201" s="46"/>
      <c r="E201" s="46"/>
      <c r="F201" s="341" t="s">
        <v>308</v>
      </c>
      <c r="G201" s="341"/>
      <c r="H201" s="341"/>
      <c r="I201" s="188"/>
      <c r="J201" s="188"/>
      <c r="K201" s="188"/>
      <c r="L201" s="188"/>
      <c r="M201" s="188"/>
      <c r="N201" s="188"/>
      <c r="O201" s="188"/>
      <c r="P201" s="188"/>
      <c r="Q201" s="188"/>
      <c r="R201" s="188"/>
      <c r="S201" s="188"/>
      <c r="T201" s="188"/>
      <c r="U201" s="188"/>
      <c r="V201" s="188"/>
      <c r="W201" s="188"/>
      <c r="X201" s="188"/>
      <c r="Y201" s="485"/>
      <c r="Z201" s="188"/>
      <c r="AA201" s="188"/>
      <c r="AB201" s="188"/>
      <c r="AC201" s="188"/>
      <c r="AD201" s="188"/>
      <c r="AE201" s="188"/>
      <c r="AF201" s="188"/>
      <c r="AG201" s="188"/>
      <c r="AH201" s="188"/>
      <c r="AI201" s="188"/>
      <c r="AJ201" s="188"/>
    </row>
    <row r="202" spans="1:36" ht="13.15" customHeight="1" x14ac:dyDescent="0.25">
      <c r="A202" s="385" t="s">
        <v>191</v>
      </c>
      <c r="B202" s="46" t="s">
        <v>124</v>
      </c>
      <c r="C202" s="46" t="s">
        <v>470</v>
      </c>
      <c r="D202" s="46"/>
      <c r="E202" s="46"/>
      <c r="F202" s="341" t="s">
        <v>183</v>
      </c>
      <c r="G202" s="341"/>
      <c r="H202" s="341"/>
      <c r="I202" s="188">
        <v>838.22571428571439</v>
      </c>
      <c r="J202" s="188">
        <v>2913.514285714286</v>
      </c>
      <c r="K202" s="188">
        <v>5473.14</v>
      </c>
      <c r="L202" s="188">
        <v>3397.2000000000003</v>
      </c>
      <c r="M202" s="188">
        <v>912.00000000000011</v>
      </c>
      <c r="N202" s="188">
        <v>1643.2285714285713</v>
      </c>
      <c r="O202" s="188">
        <v>1930.0200000000007</v>
      </c>
      <c r="P202" s="188">
        <v>4110.5142857142864</v>
      </c>
      <c r="Q202" s="188">
        <v>750.77142857142871</v>
      </c>
      <c r="R202" s="188">
        <v>182.07428571428574</v>
      </c>
      <c r="S202" s="188">
        <v>750.77142857142871</v>
      </c>
      <c r="T202" s="188">
        <v>43.320000000000007</v>
      </c>
      <c r="U202" s="188">
        <v>356.0057142857143</v>
      </c>
      <c r="V202" s="188">
        <v>10.585714285714287</v>
      </c>
      <c r="W202" s="188">
        <v>52.928571428571438</v>
      </c>
      <c r="X202" s="188">
        <v>300</v>
      </c>
      <c r="Y202" s="485">
        <v>300</v>
      </c>
      <c r="Z202" s="188">
        <v>1052.5457142857144</v>
      </c>
      <c r="AA202" s="188">
        <v>1729.38</v>
      </c>
      <c r="AB202" s="188">
        <v>1460.6657142857146</v>
      </c>
      <c r="AC202" s="188">
        <v>750.77142857142871</v>
      </c>
      <c r="AD202" s="188">
        <v>675.6942857142858</v>
      </c>
      <c r="AE202" s="188">
        <v>2369.5714285714289</v>
      </c>
      <c r="AF202" s="188">
        <v>576.35142857142864</v>
      </c>
      <c r="AG202" s="188">
        <v>5473.14</v>
      </c>
      <c r="AH202" s="188">
        <v>25.568571428571431</v>
      </c>
      <c r="AI202" s="188">
        <v>981.0514285714288</v>
      </c>
      <c r="AJ202" s="188">
        <v>1353.3428571428574</v>
      </c>
    </row>
    <row r="203" spans="1:36" x14ac:dyDescent="0.25">
      <c r="A203" s="385" t="s">
        <v>191</v>
      </c>
      <c r="B203" s="46" t="s">
        <v>124</v>
      </c>
      <c r="C203" s="46" t="s">
        <v>471</v>
      </c>
      <c r="D203" s="46"/>
      <c r="E203" s="46"/>
      <c r="F203" s="341" t="s">
        <v>183</v>
      </c>
      <c r="G203" s="341"/>
      <c r="H203" s="341"/>
      <c r="I203" s="188">
        <v>838.22571428571439</v>
      </c>
      <c r="J203" s="188">
        <v>2913.514285714286</v>
      </c>
      <c r="K203" s="188">
        <v>5473.14</v>
      </c>
      <c r="L203" s="188">
        <v>3397.2000000000003</v>
      </c>
      <c r="M203" s="188">
        <v>912.00000000000011</v>
      </c>
      <c r="N203" s="188">
        <v>1643.2285714285713</v>
      </c>
      <c r="O203" s="188">
        <v>1930.0200000000007</v>
      </c>
      <c r="P203" s="188">
        <v>4110.5142857142864</v>
      </c>
      <c r="Q203" s="188">
        <v>750.77142857142871</v>
      </c>
      <c r="R203" s="188">
        <v>182.07428571428574</v>
      </c>
      <c r="S203" s="188">
        <v>750.77142857142871</v>
      </c>
      <c r="T203" s="188">
        <v>43.320000000000007</v>
      </c>
      <c r="U203" s="188">
        <v>356.0057142857143</v>
      </c>
      <c r="V203" s="188">
        <v>10.585714285714287</v>
      </c>
      <c r="W203" s="188">
        <v>52.928571428571438</v>
      </c>
      <c r="X203" s="188">
        <v>300</v>
      </c>
      <c r="Y203" s="485">
        <v>300</v>
      </c>
      <c r="Z203" s="188">
        <v>1052.5457142857144</v>
      </c>
      <c r="AA203" s="188">
        <v>1729.38</v>
      </c>
      <c r="AB203" s="188">
        <v>1460.6657142857146</v>
      </c>
      <c r="AC203" s="188">
        <v>750.77142857142871</v>
      </c>
      <c r="AD203" s="188">
        <v>675.6942857142858</v>
      </c>
      <c r="AE203" s="188">
        <v>2369.5714285714289</v>
      </c>
      <c r="AF203" s="188">
        <v>576.35142857142864</v>
      </c>
      <c r="AG203" s="188">
        <v>5473.14</v>
      </c>
      <c r="AH203" s="188">
        <v>25.568571428571431</v>
      </c>
      <c r="AI203" s="188">
        <v>981.0514285714288</v>
      </c>
      <c r="AJ203" s="188">
        <v>1353.3428571428574</v>
      </c>
    </row>
    <row r="204" spans="1:36" x14ac:dyDescent="0.25">
      <c r="A204" s="385" t="s">
        <v>191</v>
      </c>
      <c r="B204" s="46" t="s">
        <v>119</v>
      </c>
      <c r="C204" s="46" t="s">
        <v>118</v>
      </c>
      <c r="D204" s="46"/>
      <c r="E204" s="46"/>
      <c r="F204" s="341" t="s">
        <v>183</v>
      </c>
      <c r="G204" s="341"/>
      <c r="H204" s="341"/>
      <c r="I204" s="188">
        <v>730</v>
      </c>
      <c r="J204" s="188">
        <v>730</v>
      </c>
      <c r="K204" s="188">
        <v>730</v>
      </c>
      <c r="L204" s="188">
        <v>730</v>
      </c>
      <c r="M204" s="188">
        <v>730</v>
      </c>
      <c r="N204" s="188">
        <v>730</v>
      </c>
      <c r="O204" s="188">
        <v>730</v>
      </c>
      <c r="P204" s="188">
        <v>730</v>
      </c>
      <c r="Q204" s="188">
        <v>730</v>
      </c>
      <c r="R204" s="188">
        <v>730</v>
      </c>
      <c r="S204" s="188">
        <v>730</v>
      </c>
      <c r="T204" s="188">
        <v>730</v>
      </c>
      <c r="U204" s="188">
        <v>730</v>
      </c>
      <c r="V204" s="188">
        <v>730</v>
      </c>
      <c r="W204" s="188">
        <v>730</v>
      </c>
      <c r="X204" s="188">
        <v>730</v>
      </c>
      <c r="Y204" s="485">
        <v>730</v>
      </c>
      <c r="Z204" s="188">
        <v>730</v>
      </c>
      <c r="AA204" s="188">
        <v>730</v>
      </c>
      <c r="AB204" s="188">
        <v>730</v>
      </c>
      <c r="AC204" s="188">
        <v>730</v>
      </c>
      <c r="AD204" s="188">
        <v>730</v>
      </c>
      <c r="AE204" s="188">
        <v>730</v>
      </c>
      <c r="AF204" s="188">
        <v>730</v>
      </c>
      <c r="AG204" s="188">
        <v>730</v>
      </c>
      <c r="AH204" s="188">
        <v>730</v>
      </c>
      <c r="AI204" s="188">
        <v>730</v>
      </c>
      <c r="AJ204" s="188">
        <v>730</v>
      </c>
    </row>
    <row r="205" spans="1:36" x14ac:dyDescent="0.25">
      <c r="A205" s="385" t="s">
        <v>191</v>
      </c>
      <c r="B205" s="65" t="s">
        <v>148</v>
      </c>
      <c r="C205" s="65" t="s">
        <v>173</v>
      </c>
      <c r="D205" s="65"/>
      <c r="E205" s="65"/>
      <c r="F205" s="341" t="s">
        <v>183</v>
      </c>
      <c r="G205" s="341"/>
      <c r="H205" s="341"/>
      <c r="I205" s="188">
        <v>4380</v>
      </c>
      <c r="J205" s="188">
        <v>4380</v>
      </c>
      <c r="K205" s="188">
        <v>4380</v>
      </c>
      <c r="L205" s="188">
        <v>4380</v>
      </c>
      <c r="M205" s="188">
        <v>4380</v>
      </c>
      <c r="N205" s="188">
        <v>4380</v>
      </c>
      <c r="O205" s="188">
        <v>4380</v>
      </c>
      <c r="P205" s="188">
        <v>4380</v>
      </c>
      <c r="Q205" s="188">
        <v>4380</v>
      </c>
      <c r="R205" s="188">
        <v>4380</v>
      </c>
      <c r="S205" s="188">
        <v>4380</v>
      </c>
      <c r="T205" s="188">
        <v>4380</v>
      </c>
      <c r="U205" s="188">
        <v>4380</v>
      </c>
      <c r="V205" s="188">
        <v>4380</v>
      </c>
      <c r="W205" s="188">
        <v>4380</v>
      </c>
      <c r="X205" s="188">
        <v>4380</v>
      </c>
      <c r="Y205" s="485">
        <v>4380</v>
      </c>
      <c r="Z205" s="188">
        <v>4380</v>
      </c>
      <c r="AA205" s="188">
        <v>4380</v>
      </c>
      <c r="AB205" s="188">
        <v>4380</v>
      </c>
      <c r="AC205" s="188">
        <v>4380</v>
      </c>
      <c r="AD205" s="188">
        <v>4380</v>
      </c>
      <c r="AE205" s="188">
        <v>4380</v>
      </c>
      <c r="AF205" s="188">
        <v>4380</v>
      </c>
      <c r="AG205" s="188">
        <v>4380</v>
      </c>
      <c r="AH205" s="188">
        <v>4380</v>
      </c>
      <c r="AI205" s="188">
        <v>4380</v>
      </c>
      <c r="AJ205" s="188">
        <v>4380</v>
      </c>
    </row>
    <row r="206" spans="1:36" x14ac:dyDescent="0.25">
      <c r="A206" s="499" t="s">
        <v>191</v>
      </c>
      <c r="B206" s="65" t="s">
        <v>94</v>
      </c>
      <c r="C206" s="65" t="s">
        <v>125</v>
      </c>
      <c r="D206" s="65"/>
      <c r="E206" s="65"/>
      <c r="F206" s="500" t="s">
        <v>174</v>
      </c>
      <c r="G206" s="500"/>
      <c r="H206" s="500"/>
      <c r="I206" s="501">
        <v>1</v>
      </c>
      <c r="J206" s="501">
        <v>1</v>
      </c>
      <c r="K206" s="501">
        <v>1</v>
      </c>
      <c r="L206" s="501">
        <v>1</v>
      </c>
      <c r="M206" s="501">
        <v>1</v>
      </c>
      <c r="N206" s="501">
        <v>1</v>
      </c>
      <c r="O206" s="501">
        <v>1</v>
      </c>
      <c r="P206" s="501">
        <v>1</v>
      </c>
      <c r="Q206" s="501">
        <v>1</v>
      </c>
      <c r="R206" s="501">
        <v>1</v>
      </c>
      <c r="S206" s="501">
        <v>1</v>
      </c>
      <c r="T206" s="501">
        <v>1</v>
      </c>
      <c r="U206" s="501">
        <v>1</v>
      </c>
      <c r="V206" s="501">
        <v>1</v>
      </c>
      <c r="W206" s="501">
        <v>1</v>
      </c>
      <c r="X206" s="501">
        <v>1</v>
      </c>
      <c r="Y206" s="501">
        <v>1</v>
      </c>
      <c r="Z206" s="501">
        <v>1</v>
      </c>
      <c r="AA206" s="501">
        <v>1</v>
      </c>
      <c r="AB206" s="501">
        <v>1</v>
      </c>
      <c r="AC206" s="501">
        <v>1</v>
      </c>
      <c r="AD206" s="501">
        <v>1</v>
      </c>
      <c r="AE206" s="501">
        <v>1</v>
      </c>
      <c r="AF206" s="501">
        <v>1</v>
      </c>
      <c r="AG206" s="501">
        <v>1</v>
      </c>
      <c r="AH206" s="501">
        <v>1</v>
      </c>
      <c r="AI206" s="501">
        <v>1</v>
      </c>
      <c r="AJ206" s="501">
        <v>1</v>
      </c>
    </row>
    <row r="207" spans="1:36" x14ac:dyDescent="0.25">
      <c r="A207" s="385" t="s">
        <v>191</v>
      </c>
      <c r="B207" s="48" t="s">
        <v>169</v>
      </c>
      <c r="C207" s="48" t="s">
        <v>120</v>
      </c>
      <c r="D207" s="48"/>
      <c r="E207" s="48"/>
      <c r="F207" s="380" t="s">
        <v>183</v>
      </c>
      <c r="G207" s="380"/>
      <c r="H207" s="380"/>
      <c r="I207" s="484">
        <v>8760</v>
      </c>
      <c r="J207" s="484">
        <v>8760</v>
      </c>
      <c r="K207" s="484">
        <v>8760</v>
      </c>
      <c r="L207" s="484">
        <v>8760</v>
      </c>
      <c r="M207" s="484">
        <v>8760</v>
      </c>
      <c r="N207" s="484">
        <v>8760</v>
      </c>
      <c r="O207" s="484">
        <v>8760</v>
      </c>
      <c r="P207" s="484">
        <v>8760</v>
      </c>
      <c r="Q207" s="484">
        <v>8760</v>
      </c>
      <c r="R207" s="484">
        <v>8760</v>
      </c>
      <c r="S207" s="484">
        <v>8760</v>
      </c>
      <c r="T207" s="484">
        <v>8760</v>
      </c>
      <c r="U207" s="484">
        <v>8760</v>
      </c>
      <c r="V207" s="484">
        <v>8760</v>
      </c>
      <c r="W207" s="484">
        <v>8760</v>
      </c>
      <c r="X207" s="484">
        <v>8760</v>
      </c>
      <c r="Y207" s="93">
        <v>8760</v>
      </c>
      <c r="Z207" s="484">
        <v>8760</v>
      </c>
      <c r="AA207" s="484">
        <v>8760</v>
      </c>
      <c r="AB207" s="484">
        <v>8760</v>
      </c>
      <c r="AC207" s="484">
        <v>8760</v>
      </c>
      <c r="AD207" s="484">
        <v>8760</v>
      </c>
      <c r="AE207" s="484">
        <v>8760</v>
      </c>
      <c r="AF207" s="484">
        <v>8760</v>
      </c>
      <c r="AG207" s="484">
        <v>8760</v>
      </c>
      <c r="AH207" s="484">
        <v>8760</v>
      </c>
      <c r="AI207" s="484">
        <v>8760</v>
      </c>
      <c r="AJ207" s="484">
        <v>8760</v>
      </c>
    </row>
    <row r="208" spans="1:36" x14ac:dyDescent="0.25">
      <c r="A208" s="400"/>
      <c r="B208" s="400"/>
      <c r="C208" s="59"/>
      <c r="D208" s="150" t="s">
        <v>294</v>
      </c>
      <c r="E208" s="59" t="s">
        <v>489</v>
      </c>
      <c r="F208" s="150"/>
      <c r="G208" s="150"/>
      <c r="H208" s="150"/>
      <c r="I208" s="187">
        <v>0.57673205534168093</v>
      </c>
      <c r="J208" s="187">
        <v>0.57673205534168093</v>
      </c>
      <c r="K208" s="187">
        <v>0.57673205534168093</v>
      </c>
      <c r="L208" s="187">
        <v>0.57673205534168093</v>
      </c>
      <c r="M208" s="187">
        <v>0.45317165524208675</v>
      </c>
      <c r="N208" s="187">
        <v>0.35723552760620686</v>
      </c>
      <c r="O208" s="187">
        <v>0.21738679545290532</v>
      </c>
      <c r="P208" s="187">
        <v>0.22</v>
      </c>
      <c r="Q208" s="187">
        <v>1</v>
      </c>
      <c r="R208" s="187">
        <v>0.151459680203574</v>
      </c>
      <c r="S208" s="187">
        <v>0.56000000000000005</v>
      </c>
      <c r="T208" s="187">
        <v>0.46676637162166007</v>
      </c>
      <c r="U208" s="187">
        <v>0.37318444695630837</v>
      </c>
      <c r="V208" s="187">
        <v>0.36933057686734583</v>
      </c>
      <c r="W208" s="187">
        <v>0.37318444695630837</v>
      </c>
      <c r="X208" s="187">
        <v>0.36933057686734583</v>
      </c>
      <c r="Y208" s="187">
        <v>0.36933057686734583</v>
      </c>
      <c r="Z208" s="187">
        <v>1</v>
      </c>
      <c r="AA208" s="187">
        <v>1</v>
      </c>
      <c r="AB208" s="187">
        <v>0.67325267100864572</v>
      </c>
      <c r="AC208" s="187">
        <v>1</v>
      </c>
      <c r="AD208" s="187">
        <v>0.44011773303255391</v>
      </c>
      <c r="AE208" s="187">
        <v>1</v>
      </c>
      <c r="AF208" s="187">
        <v>0.56000000000000005</v>
      </c>
      <c r="AG208" s="187">
        <v>0.57673205534168093</v>
      </c>
      <c r="AH208" s="187">
        <v>0.14975153550407025</v>
      </c>
      <c r="AI208" s="187">
        <v>0.21738679545290532</v>
      </c>
      <c r="AJ208" s="187">
        <v>0.46676637162166007</v>
      </c>
    </row>
    <row r="209" spans="1:38" x14ac:dyDescent="0.25">
      <c r="A209" s="400"/>
      <c r="B209" s="400"/>
      <c r="C209" s="59"/>
      <c r="D209" s="150" t="s">
        <v>294</v>
      </c>
      <c r="E209" s="59" t="s">
        <v>119</v>
      </c>
      <c r="F209" s="150"/>
      <c r="G209" s="150"/>
      <c r="H209" s="150"/>
      <c r="I209" s="155">
        <v>1</v>
      </c>
      <c r="J209" s="155">
        <v>1</v>
      </c>
      <c r="K209" s="155">
        <v>1</v>
      </c>
      <c r="L209" s="155">
        <v>1</v>
      </c>
      <c r="M209" s="155">
        <v>1</v>
      </c>
      <c r="N209" s="155">
        <v>1</v>
      </c>
      <c r="O209" s="155">
        <v>1</v>
      </c>
      <c r="P209" s="155">
        <v>1</v>
      </c>
      <c r="Q209" s="155">
        <v>1</v>
      </c>
      <c r="R209" s="155">
        <v>1</v>
      </c>
      <c r="S209" s="155">
        <v>1</v>
      </c>
      <c r="T209" s="155">
        <v>1</v>
      </c>
      <c r="U209" s="155">
        <v>1</v>
      </c>
      <c r="V209" s="155">
        <v>1</v>
      </c>
      <c r="W209" s="155">
        <v>1</v>
      </c>
      <c r="X209" s="155">
        <v>1</v>
      </c>
      <c r="Y209" s="155">
        <v>1</v>
      </c>
      <c r="Z209" s="155">
        <v>1</v>
      </c>
      <c r="AA209" s="155">
        <v>1</v>
      </c>
      <c r="AB209" s="155">
        <v>1</v>
      </c>
      <c r="AC209" s="155">
        <v>1</v>
      </c>
      <c r="AD209" s="155">
        <v>1</v>
      </c>
      <c r="AE209" s="155">
        <v>1</v>
      </c>
      <c r="AF209" s="155">
        <v>1</v>
      </c>
      <c r="AG209" s="155">
        <v>1</v>
      </c>
      <c r="AH209" s="155">
        <v>1</v>
      </c>
      <c r="AI209" s="155">
        <v>1</v>
      </c>
      <c r="AJ209" s="155">
        <v>1</v>
      </c>
    </row>
    <row r="210" spans="1:38" x14ac:dyDescent="0.25">
      <c r="A210" s="400"/>
      <c r="B210" s="400"/>
      <c r="C210" s="59"/>
      <c r="D210" s="150" t="s">
        <v>294</v>
      </c>
      <c r="E210" s="59" t="s">
        <v>94</v>
      </c>
      <c r="F210" s="150"/>
      <c r="G210" s="150"/>
      <c r="H210" s="150"/>
      <c r="I210" s="155">
        <v>1</v>
      </c>
      <c r="J210" s="155">
        <v>1</v>
      </c>
      <c r="K210" s="155">
        <v>1</v>
      </c>
      <c r="L210" s="155">
        <v>1</v>
      </c>
      <c r="M210" s="155">
        <v>1</v>
      </c>
      <c r="N210" s="155">
        <v>1</v>
      </c>
      <c r="O210" s="155">
        <v>1</v>
      </c>
      <c r="P210" s="155">
        <v>1</v>
      </c>
      <c r="Q210" s="155">
        <v>1</v>
      </c>
      <c r="R210" s="155">
        <v>1</v>
      </c>
      <c r="S210" s="155">
        <v>1</v>
      </c>
      <c r="T210" s="155">
        <v>1</v>
      </c>
      <c r="U210" s="155">
        <v>1</v>
      </c>
      <c r="V210" s="155">
        <v>1</v>
      </c>
      <c r="W210" s="155">
        <v>1</v>
      </c>
      <c r="X210" s="155">
        <v>1</v>
      </c>
      <c r="Y210" s="155">
        <v>1</v>
      </c>
      <c r="Z210" s="155">
        <v>1</v>
      </c>
      <c r="AA210" s="155">
        <v>1</v>
      </c>
      <c r="AB210" s="155">
        <v>1</v>
      </c>
      <c r="AC210" s="155">
        <v>1</v>
      </c>
      <c r="AD210" s="155">
        <v>1</v>
      </c>
      <c r="AE210" s="155">
        <v>1</v>
      </c>
      <c r="AF210" s="155">
        <v>1</v>
      </c>
      <c r="AG210" s="155">
        <v>1</v>
      </c>
      <c r="AH210" s="155">
        <v>1</v>
      </c>
      <c r="AI210" s="155">
        <v>1</v>
      </c>
      <c r="AJ210" s="155">
        <v>1</v>
      </c>
    </row>
    <row r="211" spans="1:38" x14ac:dyDescent="0.25">
      <c r="B211" s="400"/>
      <c r="C211" s="152"/>
      <c r="D211" s="150" t="s">
        <v>294</v>
      </c>
      <c r="E211" s="152" t="s">
        <v>148</v>
      </c>
      <c r="F211" s="150"/>
      <c r="G211" s="150"/>
      <c r="H211" s="150"/>
      <c r="I211" s="155">
        <v>1</v>
      </c>
      <c r="J211" s="155">
        <v>1</v>
      </c>
      <c r="K211" s="155">
        <v>1</v>
      </c>
      <c r="L211" s="155">
        <v>1</v>
      </c>
      <c r="M211" s="155">
        <v>1</v>
      </c>
      <c r="N211" s="155">
        <v>1</v>
      </c>
      <c r="O211" s="155">
        <v>1</v>
      </c>
      <c r="P211" s="155">
        <v>1</v>
      </c>
      <c r="Q211" s="155">
        <v>1</v>
      </c>
      <c r="R211" s="155">
        <v>1</v>
      </c>
      <c r="S211" s="155">
        <v>1</v>
      </c>
      <c r="T211" s="155">
        <v>1</v>
      </c>
      <c r="U211" s="155">
        <v>1</v>
      </c>
      <c r="V211" s="155">
        <v>1</v>
      </c>
      <c r="W211" s="155">
        <v>1</v>
      </c>
      <c r="X211" s="155">
        <v>1</v>
      </c>
      <c r="Y211" s="155">
        <v>1</v>
      </c>
      <c r="Z211" s="155">
        <v>1</v>
      </c>
      <c r="AA211" s="155">
        <v>1</v>
      </c>
      <c r="AB211" s="155">
        <v>1</v>
      </c>
      <c r="AC211" s="155">
        <v>1</v>
      </c>
      <c r="AD211" s="155">
        <v>1</v>
      </c>
      <c r="AE211" s="155">
        <v>1</v>
      </c>
      <c r="AF211" s="155">
        <v>1</v>
      </c>
      <c r="AG211" s="155">
        <v>1</v>
      </c>
      <c r="AH211" s="155">
        <v>1</v>
      </c>
      <c r="AI211" s="155">
        <v>1</v>
      </c>
      <c r="AJ211" s="155">
        <v>1</v>
      </c>
    </row>
    <row r="212" spans="1:38" ht="15.75" x14ac:dyDescent="0.25">
      <c r="A212"/>
      <c r="B212" s="416"/>
      <c r="C212" s="153"/>
      <c r="D212" s="151" t="s">
        <v>294</v>
      </c>
      <c r="E212" s="153" t="s">
        <v>169</v>
      </c>
      <c r="F212" s="151"/>
      <c r="G212" s="151"/>
      <c r="H212" s="416"/>
      <c r="I212" s="156">
        <v>1</v>
      </c>
      <c r="J212" s="156">
        <v>1</v>
      </c>
      <c r="K212" s="156">
        <v>1</v>
      </c>
      <c r="L212" s="156">
        <v>1</v>
      </c>
      <c r="M212" s="156">
        <v>1</v>
      </c>
      <c r="N212" s="156">
        <v>1</v>
      </c>
      <c r="O212" s="156">
        <v>1</v>
      </c>
      <c r="P212" s="156">
        <v>1</v>
      </c>
      <c r="Q212" s="156">
        <v>1</v>
      </c>
      <c r="R212" s="156">
        <v>1</v>
      </c>
      <c r="S212" s="156">
        <v>1</v>
      </c>
      <c r="T212" s="156">
        <v>1</v>
      </c>
      <c r="U212" s="156">
        <v>1</v>
      </c>
      <c r="V212" s="156">
        <v>1</v>
      </c>
      <c r="W212" s="156">
        <v>1</v>
      </c>
      <c r="X212" s="156">
        <v>1</v>
      </c>
      <c r="Y212" s="156">
        <v>1</v>
      </c>
      <c r="Z212" s="156">
        <v>1</v>
      </c>
      <c r="AA212" s="156">
        <v>1</v>
      </c>
      <c r="AB212" s="156">
        <v>1</v>
      </c>
      <c r="AC212" s="156">
        <v>1</v>
      </c>
      <c r="AD212" s="156">
        <v>1</v>
      </c>
      <c r="AE212" s="156">
        <v>1</v>
      </c>
      <c r="AF212" s="156">
        <v>1</v>
      </c>
      <c r="AG212" s="156">
        <v>1</v>
      </c>
      <c r="AH212" s="156">
        <v>1</v>
      </c>
      <c r="AI212" s="156">
        <v>1</v>
      </c>
      <c r="AJ212" s="156">
        <v>1</v>
      </c>
      <c r="AL212"/>
    </row>
    <row r="213" spans="1:38" x14ac:dyDescent="0.2">
      <c r="AK213" s="405"/>
      <c r="AL213" s="384"/>
    </row>
    <row r="214" spans="1:38" ht="15.75" x14ac:dyDescent="0.25">
      <c r="B214"/>
      <c r="C214"/>
      <c r="D214"/>
      <c r="E214"/>
      <c r="F214"/>
      <c r="G214"/>
      <c r="H214" s="341"/>
      <c r="I214" s="412"/>
      <c r="J214" s="412"/>
      <c r="K214" s="412"/>
      <c r="L214" s="412"/>
      <c r="M214" s="412"/>
      <c r="N214" s="412"/>
      <c r="O214" s="412"/>
      <c r="P214" s="412"/>
      <c r="Q214" s="412"/>
      <c r="R214" s="412"/>
      <c r="S214" s="412"/>
      <c r="T214" s="412"/>
      <c r="U214" s="412"/>
      <c r="V214" s="412"/>
      <c r="W214" s="412"/>
      <c r="X214" s="412"/>
      <c r="Y214" s="412"/>
      <c r="Z214" s="412"/>
      <c r="AA214" s="412"/>
      <c r="AB214" s="412"/>
      <c r="AC214" s="412"/>
      <c r="AD214" s="412"/>
      <c r="AE214" s="412"/>
      <c r="AF214" s="412"/>
      <c r="AG214" s="412"/>
      <c r="AH214" s="412"/>
      <c r="AI214" s="412"/>
      <c r="AJ214" s="412"/>
      <c r="AK214" s="405"/>
      <c r="AL214" s="341"/>
    </row>
    <row r="215" spans="1:38" ht="27" thickBot="1" x14ac:dyDescent="0.25">
      <c r="B215" s="4" t="s">
        <v>490</v>
      </c>
      <c r="C215" s="4" t="s">
        <v>217</v>
      </c>
      <c r="H215" s="341"/>
      <c r="I215" s="377"/>
      <c r="J215" s="377"/>
      <c r="K215" s="377"/>
      <c r="L215" s="377"/>
      <c r="N215" s="377"/>
      <c r="O215" s="377"/>
      <c r="P215" s="377"/>
      <c r="Q215" s="377"/>
      <c r="R215" s="377"/>
      <c r="S215" s="377"/>
      <c r="T215" s="377"/>
      <c r="U215" s="377"/>
      <c r="V215" s="377"/>
      <c r="W215" s="377"/>
      <c r="X215" s="377"/>
      <c r="Y215" s="377"/>
      <c r="Z215" s="377"/>
      <c r="AA215" s="377"/>
      <c r="AB215" s="377"/>
      <c r="AC215" s="377"/>
      <c r="AD215" s="377"/>
      <c r="AE215" s="377"/>
      <c r="AF215" s="377"/>
      <c r="AG215" s="377"/>
      <c r="AH215" s="377"/>
      <c r="AI215" s="377"/>
      <c r="AJ215" s="377"/>
      <c r="AK215" s="405"/>
      <c r="AL215" s="341"/>
    </row>
    <row r="216" spans="1:38" x14ac:dyDescent="0.2">
      <c r="B216" s="57" t="s">
        <v>96</v>
      </c>
      <c r="C216" s="57"/>
      <c r="D216" s="57"/>
      <c r="E216" s="57"/>
      <c r="F216" s="56" t="s">
        <v>46</v>
      </c>
      <c r="G216" s="56"/>
      <c r="H216" s="56"/>
      <c r="I216" s="334" t="s">
        <v>314</v>
      </c>
      <c r="J216" s="334" t="s">
        <v>315</v>
      </c>
      <c r="K216" s="334" t="s">
        <v>317</v>
      </c>
      <c r="L216" s="334" t="s">
        <v>316</v>
      </c>
      <c r="M216" s="334" t="s">
        <v>318</v>
      </c>
      <c r="N216" s="334" t="s">
        <v>319</v>
      </c>
      <c r="O216" s="334" t="s">
        <v>320</v>
      </c>
      <c r="P216" s="334" t="s">
        <v>321</v>
      </c>
      <c r="Q216" s="334" t="s">
        <v>1</v>
      </c>
      <c r="R216" s="334" t="s">
        <v>2</v>
      </c>
      <c r="S216" s="334" t="s">
        <v>416</v>
      </c>
      <c r="T216" s="334" t="s">
        <v>3</v>
      </c>
      <c r="U216" s="334" t="s">
        <v>322</v>
      </c>
      <c r="V216" s="334" t="s">
        <v>323</v>
      </c>
      <c r="W216" s="334" t="s">
        <v>324</v>
      </c>
      <c r="X216" s="334" t="s">
        <v>417</v>
      </c>
      <c r="Y216" s="334" t="s">
        <v>325</v>
      </c>
      <c r="Z216" s="334" t="s">
        <v>4</v>
      </c>
      <c r="AA216" s="334" t="s">
        <v>5</v>
      </c>
      <c r="AB216" s="334" t="s">
        <v>6</v>
      </c>
      <c r="AC216" s="334" t="s">
        <v>7</v>
      </c>
      <c r="AD216" s="334" t="s">
        <v>418</v>
      </c>
      <c r="AE216" s="334" t="s">
        <v>8</v>
      </c>
      <c r="AF216" s="334" t="s">
        <v>9</v>
      </c>
      <c r="AG216" s="334" t="s">
        <v>419</v>
      </c>
      <c r="AH216" s="334" t="s">
        <v>10</v>
      </c>
      <c r="AI216" s="334" t="s">
        <v>420</v>
      </c>
      <c r="AJ216" s="334" t="s">
        <v>11</v>
      </c>
      <c r="AK216" s="405"/>
      <c r="AL216" s="46"/>
    </row>
    <row r="217" spans="1:38" ht="16.5" thickBot="1" x14ac:dyDescent="0.25">
      <c r="B217" s="58" t="s">
        <v>27</v>
      </c>
      <c r="C217" s="58" t="s">
        <v>32</v>
      </c>
      <c r="D217" s="58"/>
      <c r="E217" s="58"/>
      <c r="F217" s="58"/>
      <c r="G217" s="58"/>
      <c r="H217" s="58"/>
      <c r="I217" s="378" t="s">
        <v>327</v>
      </c>
      <c r="J217" s="378" t="s">
        <v>328</v>
      </c>
      <c r="K217" s="378" t="s">
        <v>330</v>
      </c>
      <c r="L217" s="378" t="s">
        <v>329</v>
      </c>
      <c r="M217" s="378" t="s">
        <v>331</v>
      </c>
      <c r="N217" s="378" t="s">
        <v>332</v>
      </c>
      <c r="O217" s="378" t="s">
        <v>333</v>
      </c>
      <c r="P217" s="378" t="s">
        <v>334</v>
      </c>
      <c r="Q217" s="378" t="s">
        <v>87</v>
      </c>
      <c r="R217" s="378" t="s">
        <v>88</v>
      </c>
      <c r="S217" s="378" t="s">
        <v>425</v>
      </c>
      <c r="T217" s="378" t="s">
        <v>463</v>
      </c>
      <c r="U217" s="378" t="s">
        <v>335</v>
      </c>
      <c r="V217" s="378" t="s">
        <v>336</v>
      </c>
      <c r="W217" s="378" t="s">
        <v>337</v>
      </c>
      <c r="X217" s="378" t="s">
        <v>427</v>
      </c>
      <c r="Y217" s="378" t="s">
        <v>338</v>
      </c>
      <c r="Z217" s="378" t="s">
        <v>464</v>
      </c>
      <c r="AA217" s="378" t="s">
        <v>89</v>
      </c>
      <c r="AB217" s="378" t="s">
        <v>90</v>
      </c>
      <c r="AC217" s="378" t="s">
        <v>91</v>
      </c>
      <c r="AD217" s="378" t="s">
        <v>429</v>
      </c>
      <c r="AE217" s="378" t="s">
        <v>465</v>
      </c>
      <c r="AF217" s="378" t="s">
        <v>92</v>
      </c>
      <c r="AG217" s="378" t="s">
        <v>431</v>
      </c>
      <c r="AH217" s="378" t="s">
        <v>466</v>
      </c>
      <c r="AI217" s="378" t="s">
        <v>587</v>
      </c>
      <c r="AJ217" s="378" t="s">
        <v>339</v>
      </c>
      <c r="AK217" s="405"/>
      <c r="AL217" s="46"/>
    </row>
    <row r="218" spans="1:38" x14ac:dyDescent="0.2">
      <c r="B218" s="46" t="str">
        <f>Legend!A$63&amp;" %"</f>
        <v>Biogas %</v>
      </c>
      <c r="C218" s="46" t="str">
        <f>Legend!B$63&amp;"/"&amp;Legend!B$71</f>
        <v>RSDBGS/RSDGAS</v>
      </c>
      <c r="D218" s="46"/>
      <c r="E218" s="46"/>
      <c r="F218" s="97" t="s">
        <v>174</v>
      </c>
      <c r="G218" s="341"/>
      <c r="I218" s="157">
        <f>IFERROR(SUMIFS('OMNIA - Key Inputs_EB'!H$6:H$17,'OMNIA - Key Inputs_EB'!$E$6:$E$17,Legend!$B$63)/(SUMIFS('OMNIA - Key Inputs_EB'!H$6:H$17,'OMNIA - Key Inputs_EB'!$E$6:$E$17,Legend!$B$63)+SUMIFS('OMNIA - Key Inputs_EB'!H$6:H$17,'OMNIA - Key Inputs_EB'!$E$6:$E$17,Legend!$B$71)+SUMIFS('OMNIA - Key Inputs_EB'!H$6:H$17,'OMNIA - Key Inputs_EB'!$E$6:$E$17,Legend!$B$72)),0)</f>
        <v>0</v>
      </c>
      <c r="J218" s="157">
        <f>IFERROR(SUMIFS('OMNIA - Key Inputs_EB'!I$6:I$17,'OMNIA - Key Inputs_EB'!$E$6:$E$17,Legend!$B$63)/(SUMIFS('OMNIA - Key Inputs_EB'!I$6:I$17,'OMNIA - Key Inputs_EB'!$E$6:$E$17,Legend!$B$63)+SUMIFS('OMNIA - Key Inputs_EB'!I$6:I$17,'OMNIA - Key Inputs_EB'!$E$6:$E$17,Legend!$B$71)+SUMIFS('OMNIA - Key Inputs_EB'!I$6:I$17,'OMNIA - Key Inputs_EB'!$E$6:$E$17,Legend!$B$72)),0)</f>
        <v>0</v>
      </c>
      <c r="K218" s="157">
        <f>IFERROR(SUMIFS('OMNIA - Key Inputs_EB'!J$6:J$17,'OMNIA - Key Inputs_EB'!$E$6:$E$17,Legend!$B$63)/(SUMIFS('OMNIA - Key Inputs_EB'!J$6:J$17,'OMNIA - Key Inputs_EB'!$E$6:$E$17,Legend!$B$63)+SUMIFS('OMNIA - Key Inputs_EB'!J$6:J$17,'OMNIA - Key Inputs_EB'!$E$6:$E$17,Legend!$B$71)+SUMIFS('OMNIA - Key Inputs_EB'!J$6:J$17,'OMNIA - Key Inputs_EB'!$E$6:$E$17,Legend!$B$72)),0)</f>
        <v>0</v>
      </c>
      <c r="L218" s="157">
        <f>IFERROR(SUMIFS('OMNIA - Key Inputs_EB'!K$6:K$17,'OMNIA - Key Inputs_EB'!$E$6:$E$17,Legend!$B$63)/(SUMIFS('OMNIA - Key Inputs_EB'!K$6:K$17,'OMNIA - Key Inputs_EB'!$E$6:$E$17,Legend!$B$63)+SUMIFS('OMNIA - Key Inputs_EB'!K$6:K$17,'OMNIA - Key Inputs_EB'!$E$6:$E$17,Legend!$B$71)+SUMIFS('OMNIA - Key Inputs_EB'!K$6:K$17,'OMNIA - Key Inputs_EB'!$E$6:$E$17,Legend!$B$72)),0)</f>
        <v>0</v>
      </c>
      <c r="M218" s="157">
        <f>IFERROR(SUMIFS('OMNIA - Key Inputs_EB'!L$6:L$17,'OMNIA - Key Inputs_EB'!$E$6:$E$17,Legend!$B$63)/(SUMIFS('OMNIA - Key Inputs_EB'!L$6:L$17,'OMNIA - Key Inputs_EB'!$E$6:$E$17,Legend!$B$63)+SUMIFS('OMNIA - Key Inputs_EB'!L$6:L$17,'OMNIA - Key Inputs_EB'!$E$6:$E$17,Legend!$B$71)+SUMIFS('OMNIA - Key Inputs_EB'!L$6:L$17,'OMNIA - Key Inputs_EB'!$E$6:$E$17,Legend!$B$72)),0)</f>
        <v>0</v>
      </c>
      <c r="N218" s="157">
        <f>IFERROR(SUMIFS('OMNIA - Key Inputs_EB'!M$6:M$17,'OMNIA - Key Inputs_EB'!$E$6:$E$17,Legend!$B$63)/(SUMIFS('OMNIA - Key Inputs_EB'!M$6:M$17,'OMNIA - Key Inputs_EB'!$E$6:$E$17,Legend!$B$63)+SUMIFS('OMNIA - Key Inputs_EB'!M$6:M$17,'OMNIA - Key Inputs_EB'!$E$6:$E$17,Legend!$B$71)+SUMIFS('OMNIA - Key Inputs_EB'!M$6:M$17,'OMNIA - Key Inputs_EB'!$E$6:$E$17,Legend!$B$72)),0)</f>
        <v>0</v>
      </c>
      <c r="O218" s="157">
        <f>IFERROR(SUMIFS('OMNIA - Key Inputs_EB'!N$6:N$17,'OMNIA - Key Inputs_EB'!$E$6:$E$17,Legend!$B$63)/(SUMIFS('OMNIA - Key Inputs_EB'!N$6:N$17,'OMNIA - Key Inputs_EB'!$E$6:$E$17,Legend!$B$63)+SUMIFS('OMNIA - Key Inputs_EB'!N$6:N$17,'OMNIA - Key Inputs_EB'!$E$6:$E$17,Legend!$B$71)+SUMIFS('OMNIA - Key Inputs_EB'!N$6:N$17,'OMNIA - Key Inputs_EB'!$E$6:$E$17,Legend!$B$72)),0)</f>
        <v>3.1210986267166043E-4</v>
      </c>
      <c r="P218" s="157">
        <f>IFERROR(SUMIFS('OMNIA - Key Inputs_EB'!O$6:O$17,'OMNIA - Key Inputs_EB'!$E$6:$E$17,Legend!$B$63)/(SUMIFS('OMNIA - Key Inputs_EB'!O$6:O$17,'OMNIA - Key Inputs_EB'!$E$6:$E$17,Legend!$B$63)+SUMIFS('OMNIA - Key Inputs_EB'!O$6:O$17,'OMNIA - Key Inputs_EB'!$E$6:$E$17,Legend!$B$71)+SUMIFS('OMNIA - Key Inputs_EB'!O$6:O$17,'OMNIA - Key Inputs_EB'!$E$6:$E$17,Legend!$B$72)),0)</f>
        <v>1.5788763536334832E-2</v>
      </c>
      <c r="Q218" s="157">
        <f>IFERROR(SUMIFS('OMNIA - Key Inputs_EB'!P$6:P$17,'OMNIA - Key Inputs_EB'!$E$6:$E$17,Legend!$B$63)/(SUMIFS('OMNIA - Key Inputs_EB'!P$6:P$17,'OMNIA - Key Inputs_EB'!$E$6:$E$17,Legend!$B$63)+SUMIFS('OMNIA - Key Inputs_EB'!P$6:P$17,'OMNIA - Key Inputs_EB'!$E$6:$E$17,Legend!$B$71)+SUMIFS('OMNIA - Key Inputs_EB'!P$6:P$17,'OMNIA - Key Inputs_EB'!$E$6:$E$17,Legend!$B$72)),0)</f>
        <v>0</v>
      </c>
      <c r="R218" s="157">
        <f>IFERROR(SUMIFS('OMNIA - Key Inputs_EB'!Q$6:Q$17,'OMNIA - Key Inputs_EB'!$E$6:$E$17,Legend!$B$63)/(SUMIFS('OMNIA - Key Inputs_EB'!Q$6:Q$17,'OMNIA - Key Inputs_EB'!$E$6:$E$17,Legend!$B$63)+SUMIFS('OMNIA - Key Inputs_EB'!Q$6:Q$17,'OMNIA - Key Inputs_EB'!$E$6:$E$17,Legend!$B$71)+SUMIFS('OMNIA - Key Inputs_EB'!Q$6:Q$17,'OMNIA - Key Inputs_EB'!$E$6:$E$17,Legend!$B$72)),0)</f>
        <v>0</v>
      </c>
      <c r="S218" s="157">
        <f>IFERROR(SUMIFS('OMNIA - Key Inputs_EB'!R$6:R$17,'OMNIA - Key Inputs_EB'!$E$6:$E$17,Legend!$B$63)/(SUMIFS('OMNIA - Key Inputs_EB'!R$6:R$17,'OMNIA - Key Inputs_EB'!$E$6:$E$17,Legend!$B$63)+SUMIFS('OMNIA - Key Inputs_EB'!R$6:R$17,'OMNIA - Key Inputs_EB'!$E$6:$E$17,Legend!$B$71)+SUMIFS('OMNIA - Key Inputs_EB'!R$6:R$17,'OMNIA - Key Inputs_EB'!$E$6:$E$17,Legend!$B$72)),0)</f>
        <v>5.7200057200057204E-4</v>
      </c>
      <c r="T218" s="157">
        <f>IFERROR(SUMIFS('OMNIA - Key Inputs_EB'!S$6:S$17,'OMNIA - Key Inputs_EB'!$E$6:$E$17,Legend!$B$63)/(SUMIFS('OMNIA - Key Inputs_EB'!S$6:S$17,'OMNIA - Key Inputs_EB'!$E$6:$E$17,Legend!$B$63)+SUMIFS('OMNIA - Key Inputs_EB'!S$6:S$17,'OMNIA - Key Inputs_EB'!$E$6:$E$17,Legend!$B$71)+SUMIFS('OMNIA - Key Inputs_EB'!S$6:S$17,'OMNIA - Key Inputs_EB'!$E$6:$E$17,Legend!$B$72)),0)</f>
        <v>0</v>
      </c>
      <c r="U218" s="157">
        <f>IFERROR(SUMIFS('OMNIA - Key Inputs_EB'!T$6:T$17,'OMNIA - Key Inputs_EB'!$E$6:$E$17,Legend!$B$63)/(SUMIFS('OMNIA - Key Inputs_EB'!T$6:T$17,'OMNIA - Key Inputs_EB'!$E$6:$E$17,Legend!$B$63)+SUMIFS('OMNIA - Key Inputs_EB'!T$6:T$17,'OMNIA - Key Inputs_EB'!$E$6:$E$17,Legend!$B$71)+SUMIFS('OMNIA - Key Inputs_EB'!T$6:T$17,'OMNIA - Key Inputs_EB'!$E$6:$E$17,Legend!$B$72)),0)</f>
        <v>0</v>
      </c>
      <c r="V218" s="157">
        <f>IFERROR(SUMIFS('OMNIA - Key Inputs_EB'!U$6:U$17,'OMNIA - Key Inputs_EB'!$E$6:$E$17,Legend!$B$63)/(SUMIFS('OMNIA - Key Inputs_EB'!U$6:U$17,'OMNIA - Key Inputs_EB'!$E$6:$E$17,Legend!$B$63)+SUMIFS('OMNIA - Key Inputs_EB'!U$6:U$17,'OMNIA - Key Inputs_EB'!$E$6:$E$17,Legend!$B$71)+SUMIFS('OMNIA - Key Inputs_EB'!U$6:U$17,'OMNIA - Key Inputs_EB'!$E$6:$E$17,Legend!$B$72)),0)</f>
        <v>0</v>
      </c>
      <c r="W218" s="157">
        <f>IFERROR(SUMIFS('OMNIA - Key Inputs_EB'!V$6:V$17,'OMNIA - Key Inputs_EB'!$E$6:$E$17,Legend!$B$63)/(SUMIFS('OMNIA - Key Inputs_EB'!V$6:V$17,'OMNIA - Key Inputs_EB'!$E$6:$E$17,Legend!$B$63)+SUMIFS('OMNIA - Key Inputs_EB'!V$6:V$17,'OMNIA - Key Inputs_EB'!$E$6:$E$17,Legend!$B$71)+SUMIFS('OMNIA - Key Inputs_EB'!V$6:V$17,'OMNIA - Key Inputs_EB'!$E$6:$E$17,Legend!$B$72)),0)</f>
        <v>0</v>
      </c>
      <c r="X218" s="157">
        <f>IFERROR(SUMIFS('OMNIA - Key Inputs_EB'!W$6:W$17,'OMNIA - Key Inputs_EB'!$E$6:$E$17,Legend!$B$63)/(SUMIFS('OMNIA - Key Inputs_EB'!W$6:W$17,'OMNIA - Key Inputs_EB'!$E$6:$E$17,Legend!$B$63)+SUMIFS('OMNIA - Key Inputs_EB'!W$6:W$17,'OMNIA - Key Inputs_EB'!$E$6:$E$17,Legend!$B$71)+SUMIFS('OMNIA - Key Inputs_EB'!W$6:W$17,'OMNIA - Key Inputs_EB'!$E$6:$E$17,Legend!$B$72)),0)</f>
        <v>0</v>
      </c>
      <c r="Y218" s="157">
        <f>IFERROR(SUMIFS('OMNIA - Key Inputs_EB'!X$6:X$17,'OMNIA - Key Inputs_EB'!$E$6:$E$17,Legend!$B$63)/(SUMIFS('OMNIA - Key Inputs_EB'!X$6:X$17,'OMNIA - Key Inputs_EB'!$E$6:$E$17,Legend!$B$63)+SUMIFS('OMNIA - Key Inputs_EB'!X$6:X$17,'OMNIA - Key Inputs_EB'!$E$6:$E$17,Legend!$B$71)+SUMIFS('OMNIA - Key Inputs_EB'!X$6:X$17,'OMNIA - Key Inputs_EB'!$E$6:$E$17,Legend!$B$72)),0)</f>
        <v>5.4885009113709495E-3</v>
      </c>
      <c r="Z218" s="157">
        <f>IFERROR(SUMIFS('OMNIA - Key Inputs_EB'!Y$6:Y$17,'OMNIA - Key Inputs_EB'!$E$6:$E$17,Legend!$B$63)/(SUMIFS('OMNIA - Key Inputs_EB'!Y$6:Y$17,'OMNIA - Key Inputs_EB'!$E$6:$E$17,Legend!$B$63)+SUMIFS('OMNIA - Key Inputs_EB'!Y$6:Y$17,'OMNIA - Key Inputs_EB'!$E$6:$E$17,Legend!$B$71)+SUMIFS('OMNIA - Key Inputs_EB'!Y$6:Y$17,'OMNIA - Key Inputs_EB'!$E$6:$E$17,Legend!$B$72)),0)</f>
        <v>0.35714285714285715</v>
      </c>
      <c r="AA218" s="157">
        <f>IFERROR(SUMIFS('OMNIA - Key Inputs_EB'!Z$6:Z$17,'OMNIA - Key Inputs_EB'!$E$6:$E$17,Legend!$B$63)/(SUMIFS('OMNIA - Key Inputs_EB'!Z$6:Z$17,'OMNIA - Key Inputs_EB'!$E$6:$E$17,Legend!$B$63)+SUMIFS('OMNIA - Key Inputs_EB'!Z$6:Z$17,'OMNIA - Key Inputs_EB'!$E$6:$E$17,Legend!$B$71)+SUMIFS('OMNIA - Key Inputs_EB'!Z$6:Z$17,'OMNIA - Key Inputs_EB'!$E$6:$E$17,Legend!$B$72)),0)</f>
        <v>0</v>
      </c>
      <c r="AB218" s="157">
        <f>IFERROR(SUMIFS('OMNIA - Key Inputs_EB'!AA$6:AA$17,'OMNIA - Key Inputs_EB'!$E$6:$E$17,Legend!$B$63)/(SUMIFS('OMNIA - Key Inputs_EB'!AA$6:AA$17,'OMNIA - Key Inputs_EB'!$E$6:$E$17,Legend!$B$63)+SUMIFS('OMNIA - Key Inputs_EB'!AA$6:AA$17,'OMNIA - Key Inputs_EB'!$E$6:$E$17,Legend!$B$71)+SUMIFS('OMNIA - Key Inputs_EB'!AA$6:AA$17,'OMNIA - Key Inputs_EB'!$E$6:$E$17,Legend!$B$72)),0)</f>
        <v>0</v>
      </c>
      <c r="AC218" s="157">
        <f>IFERROR(SUMIFS('OMNIA - Key Inputs_EB'!AB$6:AB$17,'OMNIA - Key Inputs_EB'!$E$6:$E$17,Legend!$B$63)/(SUMIFS('OMNIA - Key Inputs_EB'!AB$6:AB$17,'OMNIA - Key Inputs_EB'!$E$6:$E$17,Legend!$B$63)+SUMIFS('OMNIA - Key Inputs_EB'!AB$6:AB$17,'OMNIA - Key Inputs_EB'!$E$6:$E$17,Legend!$B$71)+SUMIFS('OMNIA - Key Inputs_EB'!AB$6:AB$17,'OMNIA - Key Inputs_EB'!$E$6:$E$17,Legend!$B$72)),0)</f>
        <v>5.222150272596244E-6</v>
      </c>
      <c r="AD218" s="157">
        <f>IFERROR(SUMIFS('OMNIA - Key Inputs_EB'!AC$6:AC$17,'OMNIA - Key Inputs_EB'!$E$6:$E$17,Legend!$B$63)/(SUMIFS('OMNIA - Key Inputs_EB'!AC$6:AC$17,'OMNIA - Key Inputs_EB'!$E$6:$E$17,Legend!$B$63)+SUMIFS('OMNIA - Key Inputs_EB'!AC$6:AC$17,'OMNIA - Key Inputs_EB'!$E$6:$E$17,Legend!$B$71)+SUMIFS('OMNIA - Key Inputs_EB'!AC$6:AC$17,'OMNIA - Key Inputs_EB'!$E$6:$E$17,Legend!$B$72)),0)</f>
        <v>0</v>
      </c>
      <c r="AE218" s="157">
        <f>IFERROR(SUMIFS('OMNIA - Key Inputs_EB'!AD$6:AD$17,'OMNIA - Key Inputs_EB'!$E$6:$E$17,Legend!$B$63)/(SUMIFS('OMNIA - Key Inputs_EB'!AD$6:AD$17,'OMNIA - Key Inputs_EB'!$E$6:$E$17,Legend!$B$63)+SUMIFS('OMNIA - Key Inputs_EB'!AD$6:AD$17,'OMNIA - Key Inputs_EB'!$E$6:$E$17,Legend!$B$71)+SUMIFS('OMNIA - Key Inputs_EB'!AD$6:AD$17,'OMNIA - Key Inputs_EB'!$E$6:$E$17,Legend!$B$72)),0)</f>
        <v>0</v>
      </c>
      <c r="AF218" s="157">
        <f>IFERROR(SUMIFS('OMNIA - Key Inputs_EB'!AE$6:AE$17,'OMNIA - Key Inputs_EB'!$E$6:$E$17,Legend!$B$63)/(SUMIFS('OMNIA - Key Inputs_EB'!AE$6:AE$17,'OMNIA - Key Inputs_EB'!$E$6:$E$17,Legend!$B$63)+SUMIFS('OMNIA - Key Inputs_EB'!AE$6:AE$17,'OMNIA - Key Inputs_EB'!$E$6:$E$17,Legend!$B$71)+SUMIFS('OMNIA - Key Inputs_EB'!AE$6:AE$17,'OMNIA - Key Inputs_EB'!$E$6:$E$17,Legend!$B$72)),0)</f>
        <v>0</v>
      </c>
      <c r="AG218" s="157">
        <f>IFERROR(SUMIFS('OMNIA - Key Inputs_EB'!AF$6:AF$17,'OMNIA - Key Inputs_EB'!$E$6:$E$17,Legend!$B$63)/(SUMIFS('OMNIA - Key Inputs_EB'!AF$6:AF$17,'OMNIA - Key Inputs_EB'!$E$6:$E$17,Legend!$B$63)+SUMIFS('OMNIA - Key Inputs_EB'!AF$6:AF$17,'OMNIA - Key Inputs_EB'!$E$6:$E$17,Legend!$B$71)+SUMIFS('OMNIA - Key Inputs_EB'!AF$6:AF$17,'OMNIA - Key Inputs_EB'!$E$6:$E$17,Legend!$B$72)),0)</f>
        <v>0</v>
      </c>
      <c r="AH218" s="157">
        <f>IFERROR(SUMIFS('OMNIA - Key Inputs_EB'!AG$6:AG$17,'OMNIA - Key Inputs_EB'!$E$6:$E$17,Legend!$B$63)/(SUMIFS('OMNIA - Key Inputs_EB'!AG$6:AG$17,'OMNIA - Key Inputs_EB'!$E$6:$E$17,Legend!$B$63)+SUMIFS('OMNIA - Key Inputs_EB'!AG$6:AG$17,'OMNIA - Key Inputs_EB'!$E$6:$E$17,Legend!$B$71)+SUMIFS('OMNIA - Key Inputs_EB'!AG$6:AG$17,'OMNIA - Key Inputs_EB'!$E$6:$E$17,Legend!$B$72)),0)</f>
        <v>0</v>
      </c>
      <c r="AI218" s="157">
        <f>IFERROR(SUMIFS('OMNIA - Key Inputs_EB'!AH$6:AH$17,'OMNIA - Key Inputs_EB'!$E$6:$E$17,Legend!$B$63)/(SUMIFS('OMNIA - Key Inputs_EB'!AH$6:AH$17,'OMNIA - Key Inputs_EB'!$E$6:$E$17,Legend!$B$63)+SUMIFS('OMNIA - Key Inputs_EB'!AH$6:AH$17,'OMNIA - Key Inputs_EB'!$E$6:$E$17,Legend!$B$71)+SUMIFS('OMNIA - Key Inputs_EB'!AH$6:AH$17,'OMNIA - Key Inputs_EB'!$E$6:$E$17,Legend!$B$72)),0)</f>
        <v>0</v>
      </c>
      <c r="AJ218" s="157">
        <f>IFERROR(SUMIFS('OMNIA - Key Inputs_EB'!AI$6:AI$17,'OMNIA - Key Inputs_EB'!$E$6:$E$17,Legend!$B$63)/(SUMIFS('OMNIA - Key Inputs_EB'!AI$6:AI$17,'OMNIA - Key Inputs_EB'!$E$6:$E$17,Legend!$B$63)+SUMIFS('OMNIA - Key Inputs_EB'!AI$6:AI$17,'OMNIA - Key Inputs_EB'!$E$6:$E$17,Legend!$B$71)+SUMIFS('OMNIA - Key Inputs_EB'!AI$6:AI$17,'OMNIA - Key Inputs_EB'!$E$6:$E$17,Legend!$B$72)),0)</f>
        <v>0</v>
      </c>
      <c r="AK218" s="405"/>
      <c r="AL218" s="46"/>
    </row>
    <row r="219" spans="1:38" x14ac:dyDescent="0.2">
      <c r="B219" s="46" t="str">
        <f>Legend!A$72&amp;" %"</f>
        <v>Manufactured gas %</v>
      </c>
      <c r="C219" s="46" t="str">
        <f>Legend!B$72&amp;"/"&amp;Legend!B$71</f>
        <v>RSDGAM/RSDGAS</v>
      </c>
      <c r="D219" s="46"/>
      <c r="E219" s="46"/>
      <c r="F219" s="341" t="s">
        <v>174</v>
      </c>
      <c r="G219" s="341"/>
      <c r="I219" s="157">
        <f>IFERROR(SUMIFS('OMNIA - Key Inputs_EB'!H$6:H$17,'OMNIA - Key Inputs_EB'!$E$6:$E$17,Legend!$B$72)/(SUMIFS('OMNIA - Key Inputs_EB'!H$6:H$17,'OMNIA - Key Inputs_EB'!$E$6:$E$17,Legend!$B$63)+SUMIFS('OMNIA - Key Inputs_EB'!H$6:H$17,'OMNIA - Key Inputs_EB'!$E$6:$E$17,Legend!$B$71)+SUMIFS('OMNIA - Key Inputs_EB'!H$6:H$17,'OMNIA - Key Inputs_EB'!$E$6:$E$17,Legend!$B$72)),0)</f>
        <v>0</v>
      </c>
      <c r="J219" s="157">
        <f>IFERROR(SUMIFS('OMNIA - Key Inputs_EB'!I$6:I$17,'OMNIA - Key Inputs_EB'!$E$6:$E$17,Legend!$B$72)/(SUMIFS('OMNIA - Key Inputs_EB'!I$6:I$17,'OMNIA - Key Inputs_EB'!$E$6:$E$17,Legend!$B$63)+SUMIFS('OMNIA - Key Inputs_EB'!I$6:I$17,'OMNIA - Key Inputs_EB'!$E$6:$E$17,Legend!$B$71)+SUMIFS('OMNIA - Key Inputs_EB'!I$6:I$17,'OMNIA - Key Inputs_EB'!$E$6:$E$17,Legend!$B$72)),0)</f>
        <v>0</v>
      </c>
      <c r="K219" s="157">
        <f>IFERROR(SUMIFS('OMNIA - Key Inputs_EB'!J$6:J$17,'OMNIA - Key Inputs_EB'!$E$6:$E$17,Legend!$B$72)/(SUMIFS('OMNIA - Key Inputs_EB'!J$6:J$17,'OMNIA - Key Inputs_EB'!$E$6:$E$17,Legend!$B$63)+SUMIFS('OMNIA - Key Inputs_EB'!J$6:J$17,'OMNIA - Key Inputs_EB'!$E$6:$E$17,Legend!$B$71)+SUMIFS('OMNIA - Key Inputs_EB'!J$6:J$17,'OMNIA - Key Inputs_EB'!$E$6:$E$17,Legend!$B$72)),0)</f>
        <v>0</v>
      </c>
      <c r="L219" s="157">
        <f>IFERROR(SUMIFS('OMNIA - Key Inputs_EB'!K$6:K$17,'OMNIA - Key Inputs_EB'!$E$6:$E$17,Legend!$B$72)/(SUMIFS('OMNIA - Key Inputs_EB'!K$6:K$17,'OMNIA - Key Inputs_EB'!$E$6:$E$17,Legend!$B$63)+SUMIFS('OMNIA - Key Inputs_EB'!K$6:K$17,'OMNIA - Key Inputs_EB'!$E$6:$E$17,Legend!$B$71)+SUMIFS('OMNIA - Key Inputs_EB'!K$6:K$17,'OMNIA - Key Inputs_EB'!$E$6:$E$17,Legend!$B$72)),0)</f>
        <v>0</v>
      </c>
      <c r="M219" s="157">
        <f>IFERROR(SUMIFS('OMNIA - Key Inputs_EB'!L$6:L$17,'OMNIA - Key Inputs_EB'!$E$6:$E$17,Legend!$B$72)/(SUMIFS('OMNIA - Key Inputs_EB'!L$6:L$17,'OMNIA - Key Inputs_EB'!$E$6:$E$17,Legend!$B$63)+SUMIFS('OMNIA - Key Inputs_EB'!L$6:L$17,'OMNIA - Key Inputs_EB'!$E$6:$E$17,Legend!$B$71)+SUMIFS('OMNIA - Key Inputs_EB'!L$6:L$17,'OMNIA - Key Inputs_EB'!$E$6:$E$17,Legend!$B$72)),0)</f>
        <v>0</v>
      </c>
      <c r="N219" s="157">
        <f>IFERROR(SUMIFS('OMNIA - Key Inputs_EB'!M$6:M$17,'OMNIA - Key Inputs_EB'!$E$6:$E$17,Legend!$B$72)/(SUMIFS('OMNIA - Key Inputs_EB'!M$6:M$17,'OMNIA - Key Inputs_EB'!$E$6:$E$17,Legend!$B$63)+SUMIFS('OMNIA - Key Inputs_EB'!M$6:M$17,'OMNIA - Key Inputs_EB'!$E$6:$E$17,Legend!$B$71)+SUMIFS('OMNIA - Key Inputs_EB'!M$6:M$17,'OMNIA - Key Inputs_EB'!$E$6:$E$17,Legend!$B$72)),0)</f>
        <v>0</v>
      </c>
      <c r="O219" s="157">
        <f>IFERROR(SUMIFS('OMNIA - Key Inputs_EB'!N$6:N$17,'OMNIA - Key Inputs_EB'!$E$6:$E$17,Legend!$B$72)/(SUMIFS('OMNIA - Key Inputs_EB'!N$6:N$17,'OMNIA - Key Inputs_EB'!$E$6:$E$17,Legend!$B$63)+SUMIFS('OMNIA - Key Inputs_EB'!N$6:N$17,'OMNIA - Key Inputs_EB'!$E$6:$E$17,Legend!$B$71)+SUMIFS('OMNIA - Key Inputs_EB'!N$6:N$17,'OMNIA - Key Inputs_EB'!$E$6:$E$17,Legend!$B$72)),0)</f>
        <v>0</v>
      </c>
      <c r="P219" s="157">
        <f>IFERROR(SUMIFS('OMNIA - Key Inputs_EB'!O$6:O$17,'OMNIA - Key Inputs_EB'!$E$6:$E$17,Legend!$B$72)/(SUMIFS('OMNIA - Key Inputs_EB'!O$6:O$17,'OMNIA - Key Inputs_EB'!$E$6:$E$17,Legend!$B$63)+SUMIFS('OMNIA - Key Inputs_EB'!O$6:O$17,'OMNIA - Key Inputs_EB'!$E$6:$E$17,Legend!$B$71)+SUMIFS('OMNIA - Key Inputs_EB'!O$6:O$17,'OMNIA - Key Inputs_EB'!$E$6:$E$17,Legend!$B$72)),0)</f>
        <v>0</v>
      </c>
      <c r="Q219" s="157">
        <f>IFERROR(SUMIFS('OMNIA - Key Inputs_EB'!P$6:P$17,'OMNIA - Key Inputs_EB'!$E$6:$E$17,Legend!$B$72)/(SUMIFS('OMNIA - Key Inputs_EB'!P$6:P$17,'OMNIA - Key Inputs_EB'!$E$6:$E$17,Legend!$B$63)+SUMIFS('OMNIA - Key Inputs_EB'!P$6:P$17,'OMNIA - Key Inputs_EB'!$E$6:$E$17,Legend!$B$71)+SUMIFS('OMNIA - Key Inputs_EB'!P$6:P$17,'OMNIA - Key Inputs_EB'!$E$6:$E$17,Legend!$B$72)),0)</f>
        <v>0</v>
      </c>
      <c r="R219" s="157">
        <f>IFERROR(SUMIFS('OMNIA - Key Inputs_EB'!Q$6:Q$17,'OMNIA - Key Inputs_EB'!$E$6:$E$17,Legend!$B$72)/(SUMIFS('OMNIA - Key Inputs_EB'!Q$6:Q$17,'OMNIA - Key Inputs_EB'!$E$6:$E$17,Legend!$B$63)+SUMIFS('OMNIA - Key Inputs_EB'!Q$6:Q$17,'OMNIA - Key Inputs_EB'!$E$6:$E$17,Legend!$B$71)+SUMIFS('OMNIA - Key Inputs_EB'!Q$6:Q$17,'OMNIA - Key Inputs_EB'!$E$6:$E$17,Legend!$B$72)),0)</f>
        <v>0</v>
      </c>
      <c r="S219" s="157">
        <f>IFERROR(SUMIFS('OMNIA - Key Inputs_EB'!R$6:R$17,'OMNIA - Key Inputs_EB'!$E$6:$E$17,Legend!$B$72)/(SUMIFS('OMNIA - Key Inputs_EB'!R$6:R$17,'OMNIA - Key Inputs_EB'!$E$6:$E$17,Legend!$B$63)+SUMIFS('OMNIA - Key Inputs_EB'!R$6:R$17,'OMNIA - Key Inputs_EB'!$E$6:$E$17,Legend!$B$71)+SUMIFS('OMNIA - Key Inputs_EB'!R$6:R$17,'OMNIA - Key Inputs_EB'!$E$6:$E$17,Legend!$B$72)),0)</f>
        <v>0</v>
      </c>
      <c r="T219" s="157">
        <f>IFERROR(SUMIFS('OMNIA - Key Inputs_EB'!S$6:S$17,'OMNIA - Key Inputs_EB'!$E$6:$E$17,Legend!$B$72)/(SUMIFS('OMNIA - Key Inputs_EB'!S$6:S$17,'OMNIA - Key Inputs_EB'!$E$6:$E$17,Legend!$B$63)+SUMIFS('OMNIA - Key Inputs_EB'!S$6:S$17,'OMNIA - Key Inputs_EB'!$E$6:$E$17,Legend!$B$71)+SUMIFS('OMNIA - Key Inputs_EB'!S$6:S$17,'OMNIA - Key Inputs_EB'!$E$6:$E$17,Legend!$B$72)),0)</f>
        <v>7.2837675474756117E-3</v>
      </c>
      <c r="U219" s="157">
        <f>IFERROR(SUMIFS('OMNIA - Key Inputs_EB'!T$6:T$17,'OMNIA - Key Inputs_EB'!$E$6:$E$17,Legend!$B$72)/(SUMIFS('OMNIA - Key Inputs_EB'!T$6:T$17,'OMNIA - Key Inputs_EB'!$E$6:$E$17,Legend!$B$63)+SUMIFS('OMNIA - Key Inputs_EB'!T$6:T$17,'OMNIA - Key Inputs_EB'!$E$6:$E$17,Legend!$B$71)+SUMIFS('OMNIA - Key Inputs_EB'!T$6:T$17,'OMNIA - Key Inputs_EB'!$E$6:$E$17,Legend!$B$72)),0)</f>
        <v>0</v>
      </c>
      <c r="V219" s="157">
        <f>IFERROR(SUMIFS('OMNIA - Key Inputs_EB'!U$6:U$17,'OMNIA - Key Inputs_EB'!$E$6:$E$17,Legend!$B$72)/(SUMIFS('OMNIA - Key Inputs_EB'!U$6:U$17,'OMNIA - Key Inputs_EB'!$E$6:$E$17,Legend!$B$63)+SUMIFS('OMNIA - Key Inputs_EB'!U$6:U$17,'OMNIA - Key Inputs_EB'!$E$6:$E$17,Legend!$B$71)+SUMIFS('OMNIA - Key Inputs_EB'!U$6:U$17,'OMNIA - Key Inputs_EB'!$E$6:$E$17,Legend!$B$72)),0)</f>
        <v>0</v>
      </c>
      <c r="W219" s="157">
        <f>IFERROR(SUMIFS('OMNIA - Key Inputs_EB'!V$6:V$17,'OMNIA - Key Inputs_EB'!$E$6:$E$17,Legend!$B$72)/(SUMIFS('OMNIA - Key Inputs_EB'!V$6:V$17,'OMNIA - Key Inputs_EB'!$E$6:$E$17,Legend!$B$63)+SUMIFS('OMNIA - Key Inputs_EB'!V$6:V$17,'OMNIA - Key Inputs_EB'!$E$6:$E$17,Legend!$B$71)+SUMIFS('OMNIA - Key Inputs_EB'!V$6:V$17,'OMNIA - Key Inputs_EB'!$E$6:$E$17,Legend!$B$72)),0)</f>
        <v>0</v>
      </c>
      <c r="X219" s="157">
        <f>IFERROR(SUMIFS('OMNIA - Key Inputs_EB'!W$6:W$17,'OMNIA - Key Inputs_EB'!$E$6:$E$17,Legend!$B$72)/(SUMIFS('OMNIA - Key Inputs_EB'!W$6:W$17,'OMNIA - Key Inputs_EB'!$E$6:$E$17,Legend!$B$63)+SUMIFS('OMNIA - Key Inputs_EB'!W$6:W$17,'OMNIA - Key Inputs_EB'!$E$6:$E$17,Legend!$B$71)+SUMIFS('OMNIA - Key Inputs_EB'!W$6:W$17,'OMNIA - Key Inputs_EB'!$E$6:$E$17,Legend!$B$72)),0)</f>
        <v>0</v>
      </c>
      <c r="Y219" s="157">
        <f>IFERROR(SUMIFS('OMNIA - Key Inputs_EB'!X$6:X$17,'OMNIA - Key Inputs_EB'!$E$6:$E$17,Legend!$B$72)/(SUMIFS('OMNIA - Key Inputs_EB'!X$6:X$17,'OMNIA - Key Inputs_EB'!$E$6:$E$17,Legend!$B$63)+SUMIFS('OMNIA - Key Inputs_EB'!X$6:X$17,'OMNIA - Key Inputs_EB'!$E$6:$E$17,Legend!$B$71)+SUMIFS('OMNIA - Key Inputs_EB'!X$6:X$17,'OMNIA - Key Inputs_EB'!$E$6:$E$17,Legend!$B$72)),0)</f>
        <v>0</v>
      </c>
      <c r="Z219" s="157">
        <f>IFERROR(SUMIFS('OMNIA - Key Inputs_EB'!Y$6:Y$17,'OMNIA - Key Inputs_EB'!$E$6:$E$17,Legend!$B$72)/(SUMIFS('OMNIA - Key Inputs_EB'!Y$6:Y$17,'OMNIA - Key Inputs_EB'!$E$6:$E$17,Legend!$B$63)+SUMIFS('OMNIA - Key Inputs_EB'!Y$6:Y$17,'OMNIA - Key Inputs_EB'!$E$6:$E$17,Legend!$B$71)+SUMIFS('OMNIA - Key Inputs_EB'!Y$6:Y$17,'OMNIA - Key Inputs_EB'!$E$6:$E$17,Legend!$B$72)),0)</f>
        <v>0</v>
      </c>
      <c r="AA219" s="157">
        <f>IFERROR(SUMIFS('OMNIA - Key Inputs_EB'!Z$6:Z$17,'OMNIA - Key Inputs_EB'!$E$6:$E$17,Legend!$B$72)/(SUMIFS('OMNIA - Key Inputs_EB'!Z$6:Z$17,'OMNIA - Key Inputs_EB'!$E$6:$E$17,Legend!$B$63)+SUMIFS('OMNIA - Key Inputs_EB'!Z$6:Z$17,'OMNIA - Key Inputs_EB'!$E$6:$E$17,Legend!$B$71)+SUMIFS('OMNIA - Key Inputs_EB'!Z$6:Z$17,'OMNIA - Key Inputs_EB'!$E$6:$E$17,Legend!$B$72)),0)</f>
        <v>0</v>
      </c>
      <c r="AB219" s="157">
        <f>IFERROR(SUMIFS('OMNIA - Key Inputs_EB'!AA$6:AA$17,'OMNIA - Key Inputs_EB'!$E$6:$E$17,Legend!$B$72)/(SUMIFS('OMNIA - Key Inputs_EB'!AA$6:AA$17,'OMNIA - Key Inputs_EB'!$E$6:$E$17,Legend!$B$63)+SUMIFS('OMNIA - Key Inputs_EB'!AA$6:AA$17,'OMNIA - Key Inputs_EB'!$E$6:$E$17,Legend!$B$71)+SUMIFS('OMNIA - Key Inputs_EB'!AA$6:AA$17,'OMNIA - Key Inputs_EB'!$E$6:$E$17,Legend!$B$72)),0)</f>
        <v>0</v>
      </c>
      <c r="AC219" s="157">
        <f>IFERROR(SUMIFS('OMNIA - Key Inputs_EB'!AB$6:AB$17,'OMNIA - Key Inputs_EB'!$E$6:$E$17,Legend!$B$72)/(SUMIFS('OMNIA - Key Inputs_EB'!AB$6:AB$17,'OMNIA - Key Inputs_EB'!$E$6:$E$17,Legend!$B$63)+SUMIFS('OMNIA - Key Inputs_EB'!AB$6:AB$17,'OMNIA - Key Inputs_EB'!$E$6:$E$17,Legend!$B$71)+SUMIFS('OMNIA - Key Inputs_EB'!AB$6:AB$17,'OMNIA - Key Inputs_EB'!$E$6:$E$17,Legend!$B$72)),0)</f>
        <v>0</v>
      </c>
      <c r="AD219" s="157">
        <f>IFERROR(SUMIFS('OMNIA - Key Inputs_EB'!AC$6:AC$17,'OMNIA - Key Inputs_EB'!$E$6:$E$17,Legend!$B$72)/(SUMIFS('OMNIA - Key Inputs_EB'!AC$6:AC$17,'OMNIA - Key Inputs_EB'!$E$6:$E$17,Legend!$B$63)+SUMIFS('OMNIA - Key Inputs_EB'!AC$6:AC$17,'OMNIA - Key Inputs_EB'!$E$6:$E$17,Legend!$B$71)+SUMIFS('OMNIA - Key Inputs_EB'!AC$6:AC$17,'OMNIA - Key Inputs_EB'!$E$6:$E$17,Legend!$B$72)),0)</f>
        <v>0</v>
      </c>
      <c r="AE219" s="157">
        <f>IFERROR(SUMIFS('OMNIA - Key Inputs_EB'!AD$6:AD$17,'OMNIA - Key Inputs_EB'!$E$6:$E$17,Legend!$B$72)/(SUMIFS('OMNIA - Key Inputs_EB'!AD$6:AD$17,'OMNIA - Key Inputs_EB'!$E$6:$E$17,Legend!$B$63)+SUMIFS('OMNIA - Key Inputs_EB'!AD$6:AD$17,'OMNIA - Key Inputs_EB'!$E$6:$E$17,Legend!$B$71)+SUMIFS('OMNIA - Key Inputs_EB'!AD$6:AD$17,'OMNIA - Key Inputs_EB'!$E$6:$E$17,Legend!$B$72)),0)</f>
        <v>0</v>
      </c>
      <c r="AF219" s="157">
        <f>IFERROR(SUMIFS('OMNIA - Key Inputs_EB'!AE$6:AE$17,'OMNIA - Key Inputs_EB'!$E$6:$E$17,Legend!$B$72)/(SUMIFS('OMNIA - Key Inputs_EB'!AE$6:AE$17,'OMNIA - Key Inputs_EB'!$E$6:$E$17,Legend!$B$63)+SUMIFS('OMNIA - Key Inputs_EB'!AE$6:AE$17,'OMNIA - Key Inputs_EB'!$E$6:$E$17,Legend!$B$71)+SUMIFS('OMNIA - Key Inputs_EB'!AE$6:AE$17,'OMNIA - Key Inputs_EB'!$E$6:$E$17,Legend!$B$72)),0)</f>
        <v>0</v>
      </c>
      <c r="AG219" s="157">
        <f>IFERROR(SUMIFS('OMNIA - Key Inputs_EB'!AF$6:AF$17,'OMNIA - Key Inputs_EB'!$E$6:$E$17,Legend!$B$72)/(SUMIFS('OMNIA - Key Inputs_EB'!AF$6:AF$17,'OMNIA - Key Inputs_EB'!$E$6:$E$17,Legend!$B$63)+SUMIFS('OMNIA - Key Inputs_EB'!AF$6:AF$17,'OMNIA - Key Inputs_EB'!$E$6:$E$17,Legend!$B$71)+SUMIFS('OMNIA - Key Inputs_EB'!AF$6:AF$17,'OMNIA - Key Inputs_EB'!$E$6:$E$17,Legend!$B$72)),0)</f>
        <v>0</v>
      </c>
      <c r="AH219" s="157">
        <f>IFERROR(SUMIFS('OMNIA - Key Inputs_EB'!AG$6:AG$17,'OMNIA - Key Inputs_EB'!$E$6:$E$17,Legend!$B$72)/(SUMIFS('OMNIA - Key Inputs_EB'!AG$6:AG$17,'OMNIA - Key Inputs_EB'!$E$6:$E$17,Legend!$B$63)+SUMIFS('OMNIA - Key Inputs_EB'!AG$6:AG$17,'OMNIA - Key Inputs_EB'!$E$6:$E$17,Legend!$B$71)+SUMIFS('OMNIA - Key Inputs_EB'!AG$6:AG$17,'OMNIA - Key Inputs_EB'!$E$6:$E$17,Legend!$B$72)),0)</f>
        <v>0</v>
      </c>
      <c r="AI219" s="157">
        <f>IFERROR(SUMIFS('OMNIA - Key Inputs_EB'!AH$6:AH$17,'OMNIA - Key Inputs_EB'!$E$6:$E$17,Legend!$B$72)/(SUMIFS('OMNIA - Key Inputs_EB'!AH$6:AH$17,'OMNIA - Key Inputs_EB'!$E$6:$E$17,Legend!$B$63)+SUMIFS('OMNIA - Key Inputs_EB'!AH$6:AH$17,'OMNIA - Key Inputs_EB'!$E$6:$E$17,Legend!$B$71)+SUMIFS('OMNIA - Key Inputs_EB'!AH$6:AH$17,'OMNIA - Key Inputs_EB'!$E$6:$E$17,Legend!$B$72)),0)</f>
        <v>0</v>
      </c>
      <c r="AJ219" s="157">
        <f>IFERROR(SUMIFS('OMNIA - Key Inputs_EB'!AI$6:AI$17,'OMNIA - Key Inputs_EB'!$E$6:$E$17,Legend!$B$72)/(SUMIFS('OMNIA - Key Inputs_EB'!AI$6:AI$17,'OMNIA - Key Inputs_EB'!$E$6:$E$17,Legend!$B$63)+SUMIFS('OMNIA - Key Inputs_EB'!AI$6:AI$17,'OMNIA - Key Inputs_EB'!$E$6:$E$17,Legend!$B$71)+SUMIFS('OMNIA - Key Inputs_EB'!AI$6:AI$17,'OMNIA - Key Inputs_EB'!$E$6:$E$17,Legend!$B$72)),0)</f>
        <v>0</v>
      </c>
      <c r="AK219" s="405"/>
      <c r="AL219" s="46"/>
    </row>
    <row r="220" spans="1:38" x14ac:dyDescent="0.25">
      <c r="B220" s="48" t="str">
        <f>Legend!A$69&amp;" %"</f>
        <v>Liquid biofuels %</v>
      </c>
      <c r="C220" s="48" t="str">
        <f>Legend!B$69&amp;"/"&amp;Legend!B$73</f>
        <v>RSDBLQ/RSDOIL</v>
      </c>
      <c r="D220" s="48"/>
      <c r="E220" s="48"/>
      <c r="F220" s="98" t="s">
        <v>174</v>
      </c>
      <c r="G220" s="380"/>
      <c r="H220" s="379"/>
      <c r="I220" s="158">
        <f>IFERROR(SUMIFS('OMNIA - Key Inputs_EB'!H$6:H$17,'OMNIA - Key Inputs_EB'!$E$6:$E$17,Legend!$B$69)/(SUMIFS('OMNIA - Key Inputs_EB'!H$6:H$17,'OMNIA - Key Inputs_EB'!$E$6:$E$17,Legend!$B$73)+SUMIFS('OMNIA - Key Inputs_EB'!H$6:H$17,'OMNIA - Key Inputs_EB'!$E$6:$E$17,Legend!$B$69)),0)</f>
        <v>0</v>
      </c>
      <c r="J220" s="158">
        <f>IFERROR(SUMIFS('OMNIA - Key Inputs_EB'!I$6:I$17,'OMNIA - Key Inputs_EB'!$E$6:$E$17,Legend!$B$69)/(SUMIFS('OMNIA - Key Inputs_EB'!I$6:I$17,'OMNIA - Key Inputs_EB'!$E$6:$E$17,Legend!$B$73)+SUMIFS('OMNIA - Key Inputs_EB'!I$6:I$17,'OMNIA - Key Inputs_EB'!$E$6:$E$17,Legend!$B$69)),0)</f>
        <v>0</v>
      </c>
      <c r="K220" s="158">
        <f>IFERROR(SUMIFS('OMNIA - Key Inputs_EB'!J$6:J$17,'OMNIA - Key Inputs_EB'!$E$6:$E$17,Legend!$B$69)/(SUMIFS('OMNIA - Key Inputs_EB'!J$6:J$17,'OMNIA - Key Inputs_EB'!$E$6:$E$17,Legend!$B$73)+SUMIFS('OMNIA - Key Inputs_EB'!J$6:J$17,'OMNIA - Key Inputs_EB'!$E$6:$E$17,Legend!$B$69)),0)</f>
        <v>0</v>
      </c>
      <c r="L220" s="158">
        <f>IFERROR(SUMIFS('OMNIA - Key Inputs_EB'!K$6:K$17,'OMNIA - Key Inputs_EB'!$E$6:$E$17,Legend!$B$69)/(SUMIFS('OMNIA - Key Inputs_EB'!K$6:K$17,'OMNIA - Key Inputs_EB'!$E$6:$E$17,Legend!$B$73)+SUMIFS('OMNIA - Key Inputs_EB'!K$6:K$17,'OMNIA - Key Inputs_EB'!$E$6:$E$17,Legend!$B$69)),0)</f>
        <v>0</v>
      </c>
      <c r="M220" s="158">
        <f>IFERROR(SUMIFS('OMNIA - Key Inputs_EB'!L$6:L$17,'OMNIA - Key Inputs_EB'!$E$6:$E$17,Legend!$B$69)/(SUMIFS('OMNIA - Key Inputs_EB'!L$6:L$17,'OMNIA - Key Inputs_EB'!$E$6:$E$17,Legend!$B$73)+SUMIFS('OMNIA - Key Inputs_EB'!L$6:L$17,'OMNIA - Key Inputs_EB'!$E$6:$E$17,Legend!$B$69)),0)</f>
        <v>0</v>
      </c>
      <c r="N220" s="158">
        <f>IFERROR(SUMIFS('OMNIA - Key Inputs_EB'!M$6:M$17,'OMNIA - Key Inputs_EB'!$E$6:$E$17,Legend!$B$69)/(SUMIFS('OMNIA - Key Inputs_EB'!M$6:M$17,'OMNIA - Key Inputs_EB'!$E$6:$E$17,Legend!$B$73)+SUMIFS('OMNIA - Key Inputs_EB'!M$6:M$17,'OMNIA - Key Inputs_EB'!$E$6:$E$17,Legend!$B$69)),0)</f>
        <v>0</v>
      </c>
      <c r="O220" s="158">
        <f>IFERROR(SUMIFS('OMNIA - Key Inputs_EB'!N$6:N$17,'OMNIA - Key Inputs_EB'!$E$6:$E$17,Legend!$B$69)/(SUMIFS('OMNIA - Key Inputs_EB'!N$6:N$17,'OMNIA - Key Inputs_EB'!$E$6:$E$17,Legend!$B$73)+SUMIFS('OMNIA - Key Inputs_EB'!N$6:N$17,'OMNIA - Key Inputs_EB'!$E$6:$E$17,Legend!$B$69)),0)</f>
        <v>0</v>
      </c>
      <c r="P220" s="158">
        <f>IFERROR(SUMIFS('OMNIA - Key Inputs_EB'!O$6:O$17,'OMNIA - Key Inputs_EB'!$E$6:$E$17,Legend!$B$69)/(SUMIFS('OMNIA - Key Inputs_EB'!O$6:O$17,'OMNIA - Key Inputs_EB'!$E$6:$E$17,Legend!$B$73)+SUMIFS('OMNIA - Key Inputs_EB'!O$6:O$17,'OMNIA - Key Inputs_EB'!$E$6:$E$17,Legend!$B$69)),0)</f>
        <v>0</v>
      </c>
      <c r="Q220" s="158">
        <f>IFERROR(SUMIFS('OMNIA - Key Inputs_EB'!P$6:P$17,'OMNIA - Key Inputs_EB'!$E$6:$E$17,Legend!$B$69)/(SUMIFS('OMNIA - Key Inputs_EB'!P$6:P$17,'OMNIA - Key Inputs_EB'!$E$6:$E$17,Legend!$B$73)+SUMIFS('OMNIA - Key Inputs_EB'!P$6:P$17,'OMNIA - Key Inputs_EB'!$E$6:$E$17,Legend!$B$69)),0)</f>
        <v>0</v>
      </c>
      <c r="R220" s="158">
        <f>IFERROR(SUMIFS('OMNIA - Key Inputs_EB'!Q$6:Q$17,'OMNIA - Key Inputs_EB'!$E$6:$E$17,Legend!$B$69)/(SUMIFS('OMNIA - Key Inputs_EB'!Q$6:Q$17,'OMNIA - Key Inputs_EB'!$E$6:$E$17,Legend!$B$73)+SUMIFS('OMNIA - Key Inputs_EB'!Q$6:Q$17,'OMNIA - Key Inputs_EB'!$E$6:$E$17,Legend!$B$69)),0)</f>
        <v>0</v>
      </c>
      <c r="S220" s="158">
        <f>IFERROR(SUMIFS('OMNIA - Key Inputs_EB'!R$6:R$17,'OMNIA - Key Inputs_EB'!$E$6:$E$17,Legend!$B$69)/(SUMIFS('OMNIA - Key Inputs_EB'!R$6:R$17,'OMNIA - Key Inputs_EB'!$E$6:$E$17,Legend!$B$73)+SUMIFS('OMNIA - Key Inputs_EB'!R$6:R$17,'OMNIA - Key Inputs_EB'!$E$6:$E$17,Legend!$B$69)),0)</f>
        <v>0</v>
      </c>
      <c r="T220" s="158">
        <f>IFERROR(SUMIFS('OMNIA - Key Inputs_EB'!S$6:S$17,'OMNIA - Key Inputs_EB'!$E$6:$E$17,Legend!$B$69)/(SUMIFS('OMNIA - Key Inputs_EB'!S$6:S$17,'OMNIA - Key Inputs_EB'!$E$6:$E$17,Legend!$B$73)+SUMIFS('OMNIA - Key Inputs_EB'!S$6:S$17,'OMNIA - Key Inputs_EB'!$E$6:$E$17,Legend!$B$69)),0)</f>
        <v>2.1995103143777766E-2</v>
      </c>
      <c r="U220" s="158">
        <f>IFERROR(SUMIFS('OMNIA - Key Inputs_EB'!T$6:T$17,'OMNIA - Key Inputs_EB'!$E$6:$E$17,Legend!$B$69)/(SUMIFS('OMNIA - Key Inputs_EB'!T$6:T$17,'OMNIA - Key Inputs_EB'!$E$6:$E$17,Legend!$B$73)+SUMIFS('OMNIA - Key Inputs_EB'!T$6:T$17,'OMNIA - Key Inputs_EB'!$E$6:$E$17,Legend!$B$69)),0)</f>
        <v>0</v>
      </c>
      <c r="V220" s="158">
        <f>IFERROR(SUMIFS('OMNIA - Key Inputs_EB'!U$6:U$17,'OMNIA - Key Inputs_EB'!$E$6:$E$17,Legend!$B$69)/(SUMIFS('OMNIA - Key Inputs_EB'!U$6:U$17,'OMNIA - Key Inputs_EB'!$E$6:$E$17,Legend!$B$73)+SUMIFS('OMNIA - Key Inputs_EB'!U$6:U$17,'OMNIA - Key Inputs_EB'!$E$6:$E$17,Legend!$B$69)),0)</f>
        <v>0</v>
      </c>
      <c r="W220" s="158">
        <f>IFERROR(SUMIFS('OMNIA - Key Inputs_EB'!V$6:V$17,'OMNIA - Key Inputs_EB'!$E$6:$E$17,Legend!$B$69)/(SUMIFS('OMNIA - Key Inputs_EB'!V$6:V$17,'OMNIA - Key Inputs_EB'!$E$6:$E$17,Legend!$B$73)+SUMIFS('OMNIA - Key Inputs_EB'!V$6:V$17,'OMNIA - Key Inputs_EB'!$E$6:$E$17,Legend!$B$69)),0)</f>
        <v>0</v>
      </c>
      <c r="X220" s="158">
        <f>IFERROR(SUMIFS('OMNIA - Key Inputs_EB'!W$6:W$17,'OMNIA - Key Inputs_EB'!$E$6:$E$17,Legend!$B$69)/(SUMIFS('OMNIA - Key Inputs_EB'!W$6:W$17,'OMNIA - Key Inputs_EB'!$E$6:$E$17,Legend!$B$73)+SUMIFS('OMNIA - Key Inputs_EB'!W$6:W$17,'OMNIA - Key Inputs_EB'!$E$6:$E$17,Legend!$B$69)),0)</f>
        <v>0</v>
      </c>
      <c r="Y220" s="158">
        <f>IFERROR(SUMIFS('OMNIA - Key Inputs_EB'!X$6:X$17,'OMNIA - Key Inputs_EB'!$E$6:$E$17,Legend!$B$69)/(SUMIFS('OMNIA - Key Inputs_EB'!X$6:X$17,'OMNIA - Key Inputs_EB'!$E$6:$E$17,Legend!$B$73)+SUMIFS('OMNIA - Key Inputs_EB'!X$6:X$17,'OMNIA - Key Inputs_EB'!$E$6:$E$17,Legend!$B$69)),0)</f>
        <v>1.0084240841615767E-3</v>
      </c>
      <c r="Z220" s="158">
        <f>IFERROR(SUMIFS('OMNIA - Key Inputs_EB'!Y$6:Y$17,'OMNIA - Key Inputs_EB'!$E$6:$E$17,Legend!$B$69)/(SUMIFS('OMNIA - Key Inputs_EB'!Y$6:Y$17,'OMNIA - Key Inputs_EB'!$E$6:$E$17,Legend!$B$73)+SUMIFS('OMNIA - Key Inputs_EB'!Y$6:Y$17,'OMNIA - Key Inputs_EB'!$E$6:$E$17,Legend!$B$69)),0)</f>
        <v>0</v>
      </c>
      <c r="AA220" s="158">
        <f>IFERROR(SUMIFS('OMNIA - Key Inputs_EB'!Z$6:Z$17,'OMNIA - Key Inputs_EB'!$E$6:$E$17,Legend!$B$69)/(SUMIFS('OMNIA - Key Inputs_EB'!Z$6:Z$17,'OMNIA - Key Inputs_EB'!$E$6:$E$17,Legend!$B$73)+SUMIFS('OMNIA - Key Inputs_EB'!Z$6:Z$17,'OMNIA - Key Inputs_EB'!$E$6:$E$17,Legend!$B$69)),0)</f>
        <v>0</v>
      </c>
      <c r="AB220" s="158">
        <f>IFERROR(SUMIFS('OMNIA - Key Inputs_EB'!AA$6:AA$17,'OMNIA - Key Inputs_EB'!$E$6:$E$17,Legend!$B$69)/(SUMIFS('OMNIA - Key Inputs_EB'!AA$6:AA$17,'OMNIA - Key Inputs_EB'!$E$6:$E$17,Legend!$B$73)+SUMIFS('OMNIA - Key Inputs_EB'!AA$6:AA$17,'OMNIA - Key Inputs_EB'!$E$6:$E$17,Legend!$B$69)),0)</f>
        <v>0</v>
      </c>
      <c r="AC220" s="158">
        <f>IFERROR(SUMIFS('OMNIA - Key Inputs_EB'!AB$6:AB$17,'OMNIA - Key Inputs_EB'!$E$6:$E$17,Legend!$B$69)/(SUMIFS('OMNIA - Key Inputs_EB'!AB$6:AB$17,'OMNIA - Key Inputs_EB'!$E$6:$E$17,Legend!$B$73)+SUMIFS('OMNIA - Key Inputs_EB'!AB$6:AB$17,'OMNIA - Key Inputs_EB'!$E$6:$E$17,Legend!$B$69)),0)</f>
        <v>3.4642460170433494E-2</v>
      </c>
      <c r="AD220" s="158">
        <f>IFERROR(SUMIFS('OMNIA - Key Inputs_EB'!AC$6:AC$17,'OMNIA - Key Inputs_EB'!$E$6:$E$17,Legend!$B$69)/(SUMIFS('OMNIA - Key Inputs_EB'!AC$6:AC$17,'OMNIA - Key Inputs_EB'!$E$6:$E$17,Legend!$B$73)+SUMIFS('OMNIA - Key Inputs_EB'!AC$6:AC$17,'OMNIA - Key Inputs_EB'!$E$6:$E$17,Legend!$B$69)),0)</f>
        <v>0</v>
      </c>
      <c r="AE220" s="158">
        <f>IFERROR(SUMIFS('OMNIA - Key Inputs_EB'!AD$6:AD$17,'OMNIA - Key Inputs_EB'!$E$6:$E$17,Legend!$B$69)/(SUMIFS('OMNIA - Key Inputs_EB'!AD$6:AD$17,'OMNIA - Key Inputs_EB'!$E$6:$E$17,Legend!$B$73)+SUMIFS('OMNIA - Key Inputs_EB'!AD$6:AD$17,'OMNIA - Key Inputs_EB'!$E$6:$E$17,Legend!$B$69)),0)</f>
        <v>0</v>
      </c>
      <c r="AF220" s="158">
        <f>IFERROR(SUMIFS('OMNIA - Key Inputs_EB'!AE$6:AE$17,'OMNIA - Key Inputs_EB'!$E$6:$E$17,Legend!$B$69)/(SUMIFS('OMNIA - Key Inputs_EB'!AE$6:AE$17,'OMNIA - Key Inputs_EB'!$E$6:$E$17,Legend!$B$73)+SUMIFS('OMNIA - Key Inputs_EB'!AE$6:AE$17,'OMNIA - Key Inputs_EB'!$E$6:$E$17,Legend!$B$69)),0)</f>
        <v>0</v>
      </c>
      <c r="AG220" s="158">
        <f>IFERROR(SUMIFS('OMNIA - Key Inputs_EB'!AF$6:AF$17,'OMNIA - Key Inputs_EB'!$E$6:$E$17,Legend!$B$69)/(SUMIFS('OMNIA - Key Inputs_EB'!AF$6:AF$17,'OMNIA - Key Inputs_EB'!$E$6:$E$17,Legend!$B$73)+SUMIFS('OMNIA - Key Inputs_EB'!AF$6:AF$17,'OMNIA - Key Inputs_EB'!$E$6:$E$17,Legend!$B$69)),0)</f>
        <v>0</v>
      </c>
      <c r="AH220" s="158">
        <f>IFERROR(SUMIFS('OMNIA - Key Inputs_EB'!AG$6:AG$17,'OMNIA - Key Inputs_EB'!$E$6:$E$17,Legend!$B$69)/(SUMIFS('OMNIA - Key Inputs_EB'!AG$6:AG$17,'OMNIA - Key Inputs_EB'!$E$6:$E$17,Legend!$B$73)+SUMIFS('OMNIA - Key Inputs_EB'!AG$6:AG$17,'OMNIA - Key Inputs_EB'!$E$6:$E$17,Legend!$B$69)),0)</f>
        <v>0</v>
      </c>
      <c r="AI220" s="158">
        <f>IFERROR(SUMIFS('OMNIA - Key Inputs_EB'!AH$6:AH$17,'OMNIA - Key Inputs_EB'!$E$6:$E$17,Legend!$B$69)/(SUMIFS('OMNIA - Key Inputs_EB'!AH$6:AH$17,'OMNIA - Key Inputs_EB'!$E$6:$E$17,Legend!$B$73)+SUMIFS('OMNIA - Key Inputs_EB'!AH$6:AH$17,'OMNIA - Key Inputs_EB'!$E$6:$E$17,Legend!$B$69)),0)</f>
        <v>0</v>
      </c>
      <c r="AJ220" s="158">
        <f>IFERROR(SUMIFS('OMNIA - Key Inputs_EB'!AI$6:AI$17,'OMNIA - Key Inputs_EB'!$E$6:$E$17,Legend!$B$69)/(SUMIFS('OMNIA - Key Inputs_EB'!AI$6:AI$17,'OMNIA - Key Inputs_EB'!$E$6:$E$17,Legend!$B$73)+SUMIFS('OMNIA - Key Inputs_EB'!AI$6:AI$17,'OMNIA - Key Inputs_EB'!$E$6:$E$17,Legend!$B$69)),0)</f>
        <v>1.9109558794010197E-2</v>
      </c>
      <c r="AK220" s="221"/>
      <c r="AL220" s="342"/>
    </row>
    <row r="221" spans="1:38" x14ac:dyDescent="0.25">
      <c r="B221" s="46"/>
      <c r="C221" s="46"/>
      <c r="D221" s="46"/>
      <c r="E221" s="46"/>
      <c r="F221" s="341"/>
      <c r="G221" s="341"/>
      <c r="I221" s="405"/>
      <c r="J221" s="405"/>
      <c r="K221" s="405"/>
      <c r="L221" s="405"/>
      <c r="M221" s="405"/>
      <c r="N221" s="405"/>
      <c r="O221" s="405"/>
      <c r="P221" s="405"/>
      <c r="Q221" s="405"/>
      <c r="R221" s="405"/>
      <c r="S221" s="405"/>
      <c r="T221" s="405"/>
      <c r="U221" s="405"/>
      <c r="V221" s="405"/>
      <c r="W221" s="405"/>
      <c r="X221" s="405"/>
      <c r="Y221" s="405"/>
      <c r="Z221" s="405"/>
      <c r="AA221" s="405"/>
      <c r="AB221" s="405"/>
      <c r="AC221" s="405"/>
      <c r="AD221" s="405"/>
      <c r="AE221" s="405"/>
      <c r="AF221" s="405"/>
      <c r="AG221" s="405"/>
      <c r="AH221" s="405"/>
      <c r="AI221" s="405"/>
      <c r="AJ221" s="405"/>
      <c r="AK221" s="221"/>
      <c r="AL221" s="342"/>
    </row>
    <row r="222" spans="1:38" x14ac:dyDescent="0.25">
      <c r="B222" s="46"/>
      <c r="C222" s="46"/>
      <c r="D222" s="46"/>
      <c r="E222" s="46"/>
      <c r="F222" s="341"/>
      <c r="G222" s="341"/>
      <c r="I222" s="221"/>
      <c r="J222" s="221"/>
      <c r="K222" s="221"/>
      <c r="L222" s="221"/>
      <c r="M222" s="221"/>
      <c r="N222" s="221"/>
      <c r="O222" s="221"/>
      <c r="P222" s="221"/>
      <c r="Q222" s="221"/>
      <c r="R222" s="221"/>
      <c r="S222" s="221"/>
      <c r="T222" s="221"/>
      <c r="U222" s="221"/>
      <c r="V222" s="221"/>
      <c r="W222" s="221"/>
      <c r="X222" s="221"/>
      <c r="Y222" s="221"/>
      <c r="Z222" s="221"/>
      <c r="AA222" s="221"/>
      <c r="AB222" s="221"/>
      <c r="AC222" s="221"/>
      <c r="AD222" s="221"/>
      <c r="AE222" s="221"/>
      <c r="AF222" s="221"/>
      <c r="AG222" s="221"/>
      <c r="AH222" s="221"/>
      <c r="AI222" s="221"/>
      <c r="AJ222" s="221"/>
      <c r="AK222" s="221"/>
      <c r="AL222" s="342"/>
    </row>
    <row r="223" spans="1:38" x14ac:dyDescent="0.25">
      <c r="AL223" s="342"/>
    </row>
    <row r="224" spans="1:38" x14ac:dyDescent="0.25">
      <c r="AL224" s="342"/>
    </row>
    <row r="225" spans="1:70" ht="15.75" x14ac:dyDescent="0.25">
      <c r="A225" s="341"/>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row>
    <row r="226" spans="1:70" ht="15.75" x14ac:dyDescent="0.25">
      <c r="A226" s="341"/>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row>
    <row r="227" spans="1:70" ht="15.75" x14ac:dyDescent="0.25">
      <c r="A227" s="341"/>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row>
    <row r="228" spans="1:70" ht="15.75" x14ac:dyDescent="0.25">
      <c r="A228" s="46"/>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row>
    <row r="229" spans="1:70" ht="15.75" x14ac:dyDescent="0.25">
      <c r="A229" s="46"/>
      <c r="B229"/>
      <c r="C229" s="333"/>
      <c r="D229" s="333"/>
      <c r="E229" s="333"/>
      <c r="F229" s="333"/>
      <c r="G229" s="333"/>
      <c r="H229" s="333"/>
      <c r="I229" s="333"/>
      <c r="J229" s="333"/>
      <c r="K229" s="333"/>
      <c r="L229" s="333"/>
      <c r="M229" s="333"/>
      <c r="N229" s="333"/>
      <c r="O229" s="333"/>
      <c r="P229" s="333"/>
      <c r="Q229" s="333"/>
      <c r="R229" s="333"/>
      <c r="S229" s="333"/>
      <c r="T229" s="333"/>
      <c r="U229" s="333"/>
      <c r="V229" s="333"/>
      <c r="W229" s="333"/>
      <c r="X229" s="333"/>
      <c r="Y229" s="333"/>
      <c r="Z229" s="333"/>
      <c r="AA229" s="333"/>
      <c r="AB229" s="333"/>
      <c r="AC229" s="333"/>
      <c r="AD229" s="333"/>
      <c r="AE229" s="333"/>
      <c r="AF229" s="333"/>
      <c r="AG229" s="333"/>
      <c r="AH229" s="333"/>
      <c r="AI229" s="333"/>
      <c r="AJ229" s="333"/>
      <c r="AK229" s="333"/>
      <c r="AL229" s="333"/>
      <c r="AM229" s="333"/>
      <c r="AN229" s="333"/>
      <c r="AO229" s="333"/>
      <c r="AP229" s="333"/>
      <c r="AQ229" s="333"/>
      <c r="AR229" s="333"/>
      <c r="AS229" s="333"/>
      <c r="AT229" s="333"/>
      <c r="AU229" s="333"/>
      <c r="AV229" s="333"/>
      <c r="AW229" s="333"/>
      <c r="AX229" s="333"/>
      <c r="AY229" s="333"/>
      <c r="AZ229" s="333"/>
      <c r="BA229" s="333"/>
      <c r="BB229" s="333"/>
      <c r="BC229" s="333"/>
      <c r="BD229" s="333"/>
      <c r="BE229" s="333"/>
      <c r="BF229" s="333"/>
      <c r="BG229" s="333"/>
      <c r="BH229" s="333"/>
      <c r="BI229" s="333"/>
      <c r="BJ229" s="333"/>
      <c r="BK229" s="333"/>
      <c r="BL229" s="333"/>
      <c r="BM229" s="333"/>
      <c r="BN229" s="333"/>
      <c r="BO229" s="333"/>
      <c r="BP229" s="333"/>
      <c r="BQ229" s="333"/>
      <c r="BR229" s="333"/>
    </row>
    <row r="230" spans="1:70" ht="15.75" x14ac:dyDescent="0.25">
      <c r="A230" s="341"/>
      <c r="B230"/>
      <c r="C230" s="333"/>
      <c r="D230" s="333"/>
      <c r="E230" s="333"/>
      <c r="F230" s="333"/>
      <c r="G230" s="333"/>
      <c r="H230" s="333"/>
      <c r="I230" s="333"/>
      <c r="J230" s="333"/>
      <c r="K230" s="333"/>
      <c r="L230" s="333"/>
      <c r="M230" s="333"/>
      <c r="N230" s="333"/>
      <c r="O230" s="333"/>
      <c r="P230" s="333"/>
      <c r="Q230" s="333"/>
      <c r="R230" s="333"/>
      <c r="S230" s="333"/>
      <c r="T230" s="333"/>
      <c r="U230" s="333"/>
      <c r="V230" s="333"/>
      <c r="W230" s="333"/>
      <c r="X230" s="333"/>
      <c r="Y230" s="333"/>
      <c r="Z230" s="333"/>
      <c r="AA230" s="333"/>
      <c r="AB230" s="333"/>
      <c r="AC230" s="333"/>
      <c r="AD230" s="333"/>
      <c r="AE230" s="333"/>
      <c r="AF230" s="333"/>
      <c r="AG230" s="333"/>
      <c r="AH230" s="333"/>
      <c r="AI230" s="333"/>
      <c r="AJ230" s="333"/>
      <c r="AK230" s="333"/>
      <c r="AL230" s="333"/>
      <c r="AM230" s="333"/>
      <c r="AN230" s="333"/>
      <c r="AO230" s="333"/>
      <c r="AP230" s="333"/>
      <c r="AQ230" s="333"/>
      <c r="AR230" s="333"/>
      <c r="AS230" s="333"/>
      <c r="AT230" s="333"/>
      <c r="AU230" s="333"/>
      <c r="AV230" s="333"/>
      <c r="AW230" s="333"/>
      <c r="AX230" s="333"/>
      <c r="AY230" s="333"/>
      <c r="AZ230" s="333"/>
      <c r="BA230" s="333"/>
      <c r="BB230" s="333"/>
      <c r="BC230" s="333"/>
      <c r="BD230" s="333"/>
      <c r="BE230" s="333"/>
      <c r="BF230" s="333"/>
      <c r="BG230" s="333"/>
      <c r="BH230" s="333"/>
      <c r="BI230" s="333"/>
      <c r="BJ230" s="333"/>
      <c r="BK230" s="333"/>
      <c r="BL230" s="333"/>
      <c r="BM230" s="333"/>
      <c r="BN230" s="333"/>
      <c r="BO230" s="333"/>
      <c r="BP230" s="333"/>
      <c r="BQ230" s="333"/>
      <c r="BR230" s="333"/>
    </row>
    <row r="231" spans="1:70" ht="15.75" x14ac:dyDescent="0.25">
      <c r="A231" s="341"/>
      <c r="B231"/>
      <c r="C231" s="333"/>
      <c r="D231" s="333"/>
      <c r="E231" s="333"/>
      <c r="F231" s="333"/>
      <c r="G231" s="333"/>
      <c r="H231" s="333"/>
      <c r="I231" s="333"/>
      <c r="J231" s="333"/>
      <c r="K231" s="333"/>
      <c r="L231" s="333"/>
      <c r="M231" s="333"/>
      <c r="N231" s="333"/>
      <c r="O231" s="333"/>
      <c r="P231" s="333"/>
      <c r="Q231" s="333"/>
      <c r="R231" s="333"/>
      <c r="S231" s="333"/>
      <c r="T231" s="333"/>
      <c r="U231" s="333"/>
      <c r="V231" s="333"/>
      <c r="W231" s="333"/>
      <c r="X231" s="333"/>
      <c r="Y231" s="333"/>
      <c r="Z231" s="333"/>
      <c r="AA231" s="333"/>
      <c r="AB231" s="333"/>
      <c r="AC231" s="333"/>
      <c r="AD231" s="333"/>
      <c r="AE231" s="333"/>
      <c r="AF231" s="333"/>
      <c r="AG231" s="333"/>
      <c r="AH231" s="333"/>
      <c r="AI231" s="333"/>
      <c r="AJ231" s="333"/>
      <c r="AK231" s="333"/>
      <c r="AL231" s="333"/>
      <c r="AM231" s="333"/>
      <c r="AN231" s="333"/>
      <c r="AO231" s="333"/>
      <c r="AP231" s="333"/>
      <c r="AQ231" s="333"/>
      <c r="AR231" s="333"/>
      <c r="AS231" s="333"/>
      <c r="AT231" s="333"/>
      <c r="AU231" s="333"/>
      <c r="AV231" s="333"/>
      <c r="AW231" s="333"/>
      <c r="AX231" s="333"/>
      <c r="AY231" s="333"/>
      <c r="AZ231" s="333"/>
      <c r="BA231" s="333"/>
      <c r="BB231" s="333"/>
      <c r="BC231" s="333"/>
      <c r="BD231" s="333"/>
      <c r="BE231" s="333"/>
      <c r="BF231" s="333"/>
      <c r="BG231" s="333"/>
      <c r="BH231" s="333"/>
      <c r="BI231" s="333"/>
      <c r="BJ231" s="333"/>
      <c r="BK231" s="333"/>
      <c r="BL231" s="333"/>
      <c r="BM231" s="333"/>
      <c r="BN231" s="333"/>
      <c r="BO231" s="333"/>
      <c r="BP231" s="333"/>
      <c r="BQ231" s="333"/>
      <c r="BR231" s="333"/>
    </row>
    <row r="232" spans="1:70" ht="15.75" x14ac:dyDescent="0.25">
      <c r="B232"/>
      <c r="C232" s="333"/>
      <c r="D232" s="333"/>
      <c r="E232" s="333"/>
      <c r="F232" s="333"/>
      <c r="G232" s="333"/>
      <c r="H232" s="333"/>
      <c r="I232" s="333"/>
      <c r="J232" s="333"/>
      <c r="K232" s="333"/>
      <c r="L232" s="333"/>
      <c r="M232" s="333"/>
      <c r="N232" s="333"/>
      <c r="O232" s="333"/>
      <c r="P232" s="333"/>
      <c r="Q232" s="333"/>
      <c r="R232" s="333"/>
      <c r="S232" s="333"/>
      <c r="T232" s="333"/>
      <c r="U232" s="333"/>
      <c r="V232" s="333"/>
      <c r="W232" s="333"/>
      <c r="X232" s="333"/>
      <c r="Y232" s="333"/>
      <c r="Z232" s="333"/>
      <c r="AA232" s="333"/>
      <c r="AB232" s="333"/>
      <c r="AC232" s="333"/>
      <c r="AD232" s="333"/>
      <c r="AE232" s="333"/>
      <c r="AF232" s="333"/>
      <c r="AG232" s="333"/>
      <c r="AH232" s="333"/>
      <c r="AI232" s="333"/>
      <c r="AJ232" s="333"/>
      <c r="AK232" s="333"/>
      <c r="AL232" s="333"/>
      <c r="AM232" s="333"/>
      <c r="AN232" s="333"/>
      <c r="AO232" s="333"/>
      <c r="AP232" s="333"/>
      <c r="AQ232" s="333"/>
      <c r="AR232" s="333"/>
      <c r="AS232" s="333"/>
      <c r="AT232" s="333"/>
      <c r="AU232" s="333"/>
      <c r="AV232" s="333"/>
      <c r="AW232" s="333"/>
      <c r="AX232" s="333"/>
      <c r="AY232" s="333"/>
      <c r="AZ232" s="333"/>
      <c r="BA232" s="333"/>
      <c r="BB232" s="333"/>
      <c r="BC232" s="333"/>
      <c r="BD232" s="333"/>
      <c r="BE232" s="333"/>
      <c r="BF232" s="333"/>
      <c r="BG232" s="333"/>
      <c r="BH232" s="333"/>
      <c r="BI232" s="333"/>
      <c r="BJ232" s="333"/>
      <c r="BK232" s="333"/>
      <c r="BL232" s="333"/>
      <c r="BM232" s="333"/>
      <c r="BN232" s="333"/>
      <c r="BO232" s="333"/>
      <c r="BP232" s="333"/>
      <c r="BQ232" s="333"/>
      <c r="BR232" s="333"/>
    </row>
    <row r="233" spans="1:70" ht="15.75" x14ac:dyDescent="0.25">
      <c r="B233"/>
      <c r="C233" s="333"/>
      <c r="D233" s="333"/>
      <c r="E233" s="333"/>
      <c r="F233" s="333"/>
      <c r="G233" s="333"/>
      <c r="H233" s="333"/>
      <c r="I233" s="333"/>
      <c r="J233" s="333"/>
      <c r="K233" s="333"/>
      <c r="L233" s="333"/>
      <c r="M233" s="333"/>
      <c r="N233" s="333"/>
      <c r="O233" s="333"/>
      <c r="P233" s="333"/>
      <c r="Q233" s="333"/>
      <c r="R233" s="333"/>
      <c r="S233" s="333"/>
      <c r="T233" s="333"/>
      <c r="U233" s="333"/>
      <c r="V233" s="333"/>
      <c r="W233" s="333"/>
      <c r="X233" s="333"/>
      <c r="Y233" s="333"/>
      <c r="Z233" s="333"/>
      <c r="AA233" s="333"/>
      <c r="AB233" s="333"/>
      <c r="AC233" s="333"/>
      <c r="AD233" s="333"/>
      <c r="AE233" s="333"/>
      <c r="AF233" s="333"/>
      <c r="AG233" s="333"/>
      <c r="AH233" s="333"/>
      <c r="AI233" s="333"/>
      <c r="AJ233" s="333"/>
      <c r="AK233" s="333"/>
      <c r="AL233" s="333"/>
      <c r="AM233" s="333"/>
      <c r="AN233" s="333"/>
      <c r="AO233" s="333"/>
      <c r="AP233" s="333"/>
      <c r="AQ233" s="333"/>
      <c r="AR233" s="333"/>
      <c r="AS233" s="333"/>
      <c r="AT233" s="333"/>
      <c r="AU233" s="333"/>
      <c r="AV233" s="333"/>
      <c r="AW233" s="333"/>
      <c r="AX233" s="333"/>
      <c r="AY233" s="333"/>
      <c r="AZ233" s="333"/>
      <c r="BA233" s="333"/>
      <c r="BB233" s="333"/>
      <c r="BC233" s="333"/>
      <c r="BD233" s="333"/>
      <c r="BE233" s="333"/>
      <c r="BF233" s="333"/>
      <c r="BG233" s="333"/>
      <c r="BH233" s="333"/>
      <c r="BI233" s="333"/>
      <c r="BJ233" s="333"/>
      <c r="BK233" s="333"/>
      <c r="BL233" s="333"/>
      <c r="BM233" s="333"/>
      <c r="BN233" s="333"/>
      <c r="BO233" s="333"/>
      <c r="BP233" s="333"/>
      <c r="BQ233" s="333"/>
      <c r="BR233" s="333"/>
    </row>
    <row r="234" spans="1:70" ht="15.75" x14ac:dyDescent="0.25">
      <c r="B234"/>
      <c r="C234" s="333"/>
      <c r="D234" s="333"/>
      <c r="E234" s="333"/>
      <c r="F234" s="333"/>
      <c r="G234" s="333"/>
      <c r="H234" s="333"/>
      <c r="I234" s="333"/>
      <c r="J234" s="333"/>
      <c r="K234" s="333"/>
      <c r="L234" s="333"/>
      <c r="M234" s="333"/>
      <c r="N234" s="333"/>
      <c r="O234" s="333"/>
      <c r="P234" s="333"/>
      <c r="Q234" s="333"/>
      <c r="R234" s="333"/>
      <c r="S234" s="333"/>
      <c r="T234" s="333"/>
      <c r="U234" s="333"/>
      <c r="V234" s="333"/>
      <c r="W234" s="333"/>
      <c r="X234" s="333"/>
      <c r="Y234" s="333"/>
      <c r="Z234" s="333"/>
      <c r="AA234" s="333"/>
      <c r="AB234" s="333"/>
      <c r="AC234" s="333"/>
      <c r="AD234" s="333"/>
      <c r="AE234" s="333"/>
      <c r="AF234" s="333"/>
      <c r="AG234" s="333"/>
      <c r="AH234" s="333"/>
      <c r="AI234" s="333"/>
      <c r="AJ234" s="333"/>
      <c r="AK234" s="333"/>
      <c r="AL234" s="333"/>
      <c r="AM234" s="333"/>
      <c r="AN234" s="333"/>
      <c r="AO234" s="333"/>
      <c r="AP234" s="333"/>
      <c r="AQ234" s="333"/>
      <c r="AR234" s="333"/>
      <c r="AS234" s="333"/>
      <c r="AT234" s="333"/>
      <c r="AU234" s="333"/>
      <c r="AV234" s="333"/>
      <c r="AW234" s="333"/>
      <c r="AX234" s="333"/>
      <c r="AY234" s="333"/>
      <c r="AZ234" s="333"/>
      <c r="BA234" s="333"/>
      <c r="BB234" s="333"/>
      <c r="BC234" s="333"/>
      <c r="BD234" s="333"/>
      <c r="BE234" s="333"/>
      <c r="BF234" s="333"/>
      <c r="BG234" s="333"/>
      <c r="BH234" s="333"/>
      <c r="BI234" s="333"/>
      <c r="BJ234" s="333"/>
      <c r="BK234" s="333"/>
      <c r="BL234" s="333"/>
      <c r="BM234" s="333"/>
      <c r="BN234" s="333"/>
      <c r="BO234" s="333"/>
      <c r="BP234" s="333"/>
      <c r="BQ234" s="333"/>
      <c r="BR234" s="333"/>
    </row>
    <row r="235" spans="1:70" ht="15.75" x14ac:dyDescent="0.25">
      <c r="B235"/>
      <c r="C235" s="333"/>
      <c r="D235" s="333"/>
      <c r="E235" s="333"/>
      <c r="F235" s="333"/>
      <c r="G235" s="333"/>
      <c r="H235" s="333"/>
      <c r="I235" s="333"/>
      <c r="J235" s="333"/>
      <c r="K235" s="333"/>
      <c r="L235" s="333"/>
      <c r="M235" s="333"/>
      <c r="N235" s="333"/>
      <c r="O235" s="333"/>
      <c r="P235" s="333"/>
      <c r="Q235" s="333"/>
      <c r="R235" s="333"/>
      <c r="S235" s="333"/>
      <c r="T235" s="333"/>
      <c r="U235" s="333"/>
      <c r="V235" s="333"/>
      <c r="W235" s="333"/>
      <c r="X235" s="333"/>
      <c r="Y235" s="333"/>
      <c r="Z235" s="333"/>
      <c r="AA235" s="333"/>
      <c r="AB235" s="333"/>
      <c r="AC235" s="333"/>
      <c r="AD235" s="333"/>
      <c r="AE235" s="333"/>
      <c r="AF235" s="333"/>
      <c r="AG235" s="333"/>
      <c r="AH235" s="333"/>
      <c r="AI235" s="333"/>
      <c r="AJ235" s="333"/>
      <c r="AK235" s="333"/>
      <c r="AL235" s="333"/>
      <c r="AM235" s="333"/>
      <c r="AN235" s="333"/>
      <c r="AO235" s="333"/>
      <c r="AP235" s="333"/>
      <c r="AQ235" s="333"/>
      <c r="AR235" s="333"/>
      <c r="AS235" s="333"/>
      <c r="AT235" s="333"/>
      <c r="AU235" s="333"/>
      <c r="AV235" s="333"/>
      <c r="AW235" s="333"/>
      <c r="AX235" s="333"/>
      <c r="AY235" s="333"/>
      <c r="AZ235" s="333"/>
      <c r="BA235" s="333"/>
      <c r="BB235" s="333"/>
      <c r="BC235" s="333"/>
      <c r="BD235" s="333"/>
      <c r="BE235" s="333"/>
      <c r="BF235" s="333"/>
      <c r="BG235" s="333"/>
      <c r="BH235" s="333"/>
      <c r="BI235" s="333"/>
      <c r="BJ235" s="333"/>
      <c r="BK235" s="333"/>
      <c r="BL235" s="333"/>
      <c r="BM235" s="333"/>
      <c r="BN235" s="333"/>
      <c r="BO235" s="333"/>
      <c r="BP235" s="333"/>
      <c r="BQ235" s="333"/>
      <c r="BR235" s="333"/>
    </row>
    <row r="236" spans="1:70" ht="15.75" x14ac:dyDescent="0.25">
      <c r="B236"/>
      <c r="C236" s="333"/>
      <c r="D236" s="333"/>
      <c r="E236" s="333"/>
      <c r="F236" s="333"/>
      <c r="G236" s="333"/>
      <c r="H236" s="333"/>
      <c r="I236" s="333"/>
      <c r="J236" s="333"/>
      <c r="K236" s="333"/>
      <c r="L236" s="333"/>
      <c r="M236" s="333"/>
      <c r="N236" s="333"/>
      <c r="O236" s="333"/>
      <c r="P236" s="333"/>
      <c r="Q236" s="333"/>
      <c r="R236" s="333"/>
      <c r="S236" s="333"/>
      <c r="T236" s="333"/>
      <c r="U236" s="333"/>
      <c r="V236" s="333"/>
      <c r="W236" s="333"/>
      <c r="X236" s="333"/>
      <c r="Y236" s="333"/>
      <c r="Z236" s="333"/>
      <c r="AA236" s="333"/>
      <c r="AB236" s="333"/>
      <c r="AC236" s="333"/>
      <c r="AD236" s="333"/>
      <c r="AE236" s="333"/>
      <c r="AF236" s="333"/>
      <c r="AG236" s="333"/>
      <c r="AH236" s="333"/>
      <c r="AI236" s="333"/>
      <c r="AJ236" s="333"/>
      <c r="AK236" s="333"/>
      <c r="AL236" s="333"/>
      <c r="AM236" s="333"/>
      <c r="AN236" s="333"/>
      <c r="AO236" s="333"/>
      <c r="AP236" s="333"/>
      <c r="AQ236" s="333"/>
      <c r="AR236" s="333"/>
      <c r="AS236" s="333"/>
      <c r="AT236" s="333"/>
      <c r="AU236" s="333"/>
      <c r="AV236" s="333"/>
      <c r="AW236" s="333"/>
      <c r="AX236" s="333"/>
      <c r="AY236" s="333"/>
      <c r="AZ236" s="333"/>
      <c r="BA236" s="333"/>
      <c r="BB236" s="333"/>
      <c r="BC236" s="333"/>
      <c r="BD236" s="333"/>
      <c r="BE236" s="333"/>
      <c r="BF236" s="333"/>
      <c r="BG236" s="333"/>
      <c r="BH236" s="333"/>
      <c r="BI236" s="333"/>
      <c r="BJ236" s="333"/>
      <c r="BK236" s="333"/>
      <c r="BL236" s="333"/>
      <c r="BM236" s="333"/>
      <c r="BN236" s="333"/>
      <c r="BO236" s="333"/>
      <c r="BP236" s="333"/>
      <c r="BQ236" s="333"/>
      <c r="BR236" s="333"/>
    </row>
    <row r="237" spans="1:70" ht="15.75" x14ac:dyDescent="0.25">
      <c r="B237"/>
      <c r="C237" s="333"/>
      <c r="D237" s="333"/>
      <c r="E237" s="333"/>
      <c r="F237" s="333"/>
      <c r="G237" s="333"/>
      <c r="H237" s="333"/>
      <c r="I237" s="333"/>
      <c r="J237" s="333"/>
      <c r="K237" s="333"/>
      <c r="L237" s="333"/>
      <c r="M237" s="333"/>
      <c r="N237" s="333"/>
      <c r="O237" s="333"/>
      <c r="P237" s="333"/>
      <c r="Q237" s="333"/>
      <c r="R237" s="333"/>
      <c r="S237" s="333"/>
      <c r="T237" s="333"/>
      <c r="U237" s="333"/>
      <c r="V237" s="333"/>
      <c r="W237" s="333"/>
      <c r="X237" s="333"/>
      <c r="Y237" s="333"/>
      <c r="Z237" s="333"/>
      <c r="AA237" s="333"/>
      <c r="AB237" s="333"/>
      <c r="AC237" s="333"/>
      <c r="AD237" s="333"/>
      <c r="AE237" s="333"/>
      <c r="AF237" s="333"/>
      <c r="AG237" s="333"/>
      <c r="AH237" s="333"/>
      <c r="AI237" s="333"/>
      <c r="AJ237" s="333"/>
      <c r="AK237" s="333"/>
      <c r="AL237" s="333"/>
      <c r="AM237" s="333"/>
      <c r="AN237" s="333"/>
      <c r="AO237" s="333"/>
      <c r="AP237" s="333"/>
      <c r="AQ237" s="333"/>
      <c r="AR237" s="333"/>
      <c r="AS237" s="333"/>
      <c r="AT237" s="333"/>
      <c r="AU237" s="333"/>
      <c r="AV237" s="333"/>
      <c r="AW237" s="333"/>
      <c r="AX237" s="333"/>
      <c r="AY237" s="333"/>
      <c r="AZ237" s="333"/>
      <c r="BA237" s="333"/>
      <c r="BB237" s="333"/>
      <c r="BC237" s="333"/>
      <c r="BD237" s="333"/>
      <c r="BE237" s="333"/>
      <c r="BF237" s="333"/>
      <c r="BG237" s="333"/>
      <c r="BH237" s="333"/>
      <c r="BI237" s="333"/>
      <c r="BJ237" s="333"/>
      <c r="BK237" s="333"/>
      <c r="BL237" s="333"/>
      <c r="BM237" s="333"/>
      <c r="BN237" s="333"/>
      <c r="BO237" s="333"/>
      <c r="BP237" s="333"/>
      <c r="BQ237" s="333"/>
      <c r="BR237" s="333"/>
    </row>
    <row r="238" spans="1:70" ht="15.75" x14ac:dyDescent="0.25">
      <c r="B238"/>
      <c r="C238" s="333"/>
      <c r="D238" s="333"/>
      <c r="E238" s="333"/>
      <c r="F238" s="333"/>
      <c r="G238" s="333"/>
      <c r="H238" s="333"/>
      <c r="I238" s="333"/>
      <c r="J238" s="333"/>
      <c r="K238" s="333"/>
      <c r="L238" s="333"/>
      <c r="M238" s="333"/>
      <c r="N238" s="333"/>
      <c r="O238" s="333"/>
      <c r="P238" s="333"/>
      <c r="Q238" s="333"/>
      <c r="R238" s="333"/>
      <c r="S238" s="333"/>
      <c r="T238" s="333"/>
      <c r="U238" s="333"/>
      <c r="V238" s="333"/>
      <c r="W238" s="333"/>
      <c r="X238" s="333"/>
      <c r="Y238" s="333"/>
      <c r="Z238" s="333"/>
      <c r="AA238" s="333"/>
      <c r="AB238" s="333"/>
      <c r="AC238" s="333"/>
      <c r="AD238" s="333"/>
      <c r="AE238" s="333"/>
      <c r="AF238" s="333"/>
      <c r="AG238" s="333"/>
      <c r="AH238" s="333"/>
      <c r="AI238" s="333"/>
      <c r="AJ238" s="333"/>
      <c r="AK238" s="333"/>
      <c r="AL238" s="333"/>
      <c r="AM238" s="333"/>
      <c r="AN238" s="333"/>
      <c r="AO238" s="333"/>
      <c r="AP238" s="333"/>
      <c r="AQ238" s="333"/>
      <c r="AR238" s="333"/>
      <c r="AS238" s="333"/>
      <c r="AT238" s="333"/>
      <c r="AU238" s="333"/>
      <c r="AV238" s="333"/>
      <c r="AW238" s="333"/>
      <c r="AX238" s="333"/>
      <c r="AY238" s="333"/>
      <c r="AZ238" s="333"/>
      <c r="BA238" s="333"/>
      <c r="BB238" s="333"/>
      <c r="BC238" s="333"/>
      <c r="BD238" s="333"/>
      <c r="BE238" s="333"/>
      <c r="BF238" s="333"/>
      <c r="BG238" s="333"/>
      <c r="BH238" s="333"/>
      <c r="BI238" s="333"/>
      <c r="BJ238" s="333"/>
      <c r="BK238" s="333"/>
      <c r="BL238" s="333"/>
      <c r="BM238" s="333"/>
      <c r="BN238" s="333"/>
      <c r="BO238" s="333"/>
      <c r="BP238" s="333"/>
      <c r="BQ238" s="333"/>
      <c r="BR238" s="333"/>
    </row>
    <row r="239" spans="1:70" ht="15.75" x14ac:dyDescent="0.25">
      <c r="B239"/>
      <c r="C239" s="333"/>
      <c r="D239" s="333"/>
      <c r="E239" s="333"/>
      <c r="F239" s="333"/>
      <c r="G239" s="333"/>
      <c r="H239" s="333"/>
      <c r="I239" s="333"/>
      <c r="J239" s="333"/>
      <c r="K239" s="333"/>
      <c r="L239" s="333"/>
      <c r="M239" s="333"/>
      <c r="N239" s="333"/>
      <c r="O239" s="333"/>
      <c r="P239" s="333"/>
      <c r="Q239" s="333"/>
      <c r="R239" s="333"/>
      <c r="S239" s="333"/>
      <c r="T239" s="333"/>
      <c r="U239" s="333"/>
      <c r="V239" s="333"/>
      <c r="W239" s="333"/>
      <c r="X239" s="333"/>
      <c r="Y239" s="333"/>
      <c r="Z239" s="333"/>
      <c r="AA239" s="333"/>
      <c r="AB239" s="333"/>
      <c r="AC239" s="333"/>
      <c r="AD239" s="333"/>
      <c r="AE239" s="333"/>
      <c r="AF239" s="333"/>
      <c r="AG239" s="333"/>
      <c r="AH239" s="333"/>
      <c r="AI239" s="333"/>
      <c r="AJ239" s="333"/>
      <c r="AK239" s="333"/>
      <c r="AL239" s="333"/>
      <c r="AM239" s="333"/>
      <c r="AN239" s="333"/>
      <c r="AO239" s="333"/>
      <c r="AP239" s="333"/>
      <c r="AQ239" s="333"/>
      <c r="AR239" s="333"/>
      <c r="AS239" s="333"/>
      <c r="AT239" s="333"/>
      <c r="AU239" s="333"/>
      <c r="AV239" s="333"/>
      <c r="AW239" s="333"/>
      <c r="AX239" s="333"/>
      <c r="AY239" s="333"/>
      <c r="AZ239" s="333"/>
      <c r="BA239" s="333"/>
      <c r="BB239" s="333"/>
      <c r="BC239" s="333"/>
      <c r="BD239" s="333"/>
      <c r="BE239" s="333"/>
      <c r="BF239" s="333"/>
      <c r="BG239" s="333"/>
      <c r="BH239" s="333"/>
      <c r="BI239" s="333"/>
      <c r="BJ239" s="333"/>
      <c r="BK239" s="333"/>
      <c r="BL239" s="333"/>
      <c r="BM239" s="333"/>
      <c r="BN239" s="333"/>
      <c r="BO239" s="333"/>
      <c r="BP239" s="333"/>
      <c r="BQ239" s="333"/>
      <c r="BR239" s="333"/>
    </row>
    <row r="240" spans="1:70" ht="15.75" x14ac:dyDescent="0.25">
      <c r="B240"/>
      <c r="C240" s="333"/>
      <c r="D240" s="333"/>
      <c r="E240" s="333"/>
      <c r="F240" s="333"/>
      <c r="G240" s="333"/>
      <c r="H240" s="333"/>
      <c r="I240" s="333"/>
      <c r="J240" s="333"/>
      <c r="K240" s="333"/>
      <c r="L240" s="333"/>
      <c r="M240" s="333"/>
      <c r="N240" s="333"/>
      <c r="O240" s="333"/>
      <c r="P240" s="333"/>
      <c r="Q240" s="333"/>
      <c r="R240" s="333"/>
      <c r="S240" s="333"/>
      <c r="T240" s="333"/>
      <c r="U240" s="333"/>
      <c r="V240" s="333"/>
      <c r="W240" s="333"/>
      <c r="X240" s="333"/>
      <c r="Y240" s="333"/>
      <c r="Z240" s="333"/>
      <c r="AA240" s="333"/>
      <c r="AB240" s="333"/>
      <c r="AC240" s="333"/>
      <c r="AD240" s="333"/>
      <c r="AE240" s="333"/>
      <c r="AF240" s="333"/>
      <c r="AG240" s="333"/>
      <c r="AH240" s="333"/>
      <c r="AI240" s="333"/>
      <c r="AJ240" s="333"/>
      <c r="AK240" s="333"/>
      <c r="AL240" s="333"/>
      <c r="AM240" s="333"/>
      <c r="AN240" s="333"/>
      <c r="AO240" s="333"/>
      <c r="AP240" s="333"/>
      <c r="AQ240" s="333"/>
      <c r="AR240" s="333"/>
      <c r="AS240" s="333"/>
      <c r="AT240" s="333"/>
      <c r="AU240" s="333"/>
      <c r="AV240" s="333"/>
      <c r="AW240" s="333"/>
      <c r="AX240" s="333"/>
      <c r="AY240" s="333"/>
      <c r="AZ240" s="333"/>
      <c r="BA240" s="333"/>
      <c r="BB240" s="333"/>
      <c r="BC240" s="333"/>
      <c r="BD240" s="333"/>
      <c r="BE240" s="333"/>
      <c r="BF240" s="333"/>
      <c r="BG240" s="333"/>
      <c r="BH240" s="333"/>
      <c r="BI240" s="333"/>
      <c r="BJ240" s="333"/>
      <c r="BK240" s="333"/>
      <c r="BL240" s="333"/>
      <c r="BM240" s="333"/>
      <c r="BN240" s="333"/>
      <c r="BO240" s="333"/>
      <c r="BP240" s="333"/>
      <c r="BQ240" s="333"/>
      <c r="BR240" s="333"/>
    </row>
    <row r="241" spans="1:38" ht="15.75" x14ac:dyDescent="0.25">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row>
    <row r="242" spans="1:38" ht="15.75" x14ac:dyDescent="0.25">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row>
    <row r="243" spans="1:38" ht="15.75" x14ac:dyDescent="0.25">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row>
    <row r="244" spans="1:38" ht="15.75" x14ac:dyDescent="0.25">
      <c r="A244" s="46"/>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row>
    <row r="245" spans="1:38" ht="15.75" x14ac:dyDescent="0.25">
      <c r="A245" s="46"/>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row>
    <row r="246" spans="1:38" ht="15.75" x14ac:dyDescent="0.25">
      <c r="A246" s="46"/>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row>
    <row r="247" spans="1:38" ht="15.75" x14ac:dyDescent="0.25">
      <c r="A247" s="46"/>
      <c r="B247"/>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row>
    <row r="248" spans="1:38" ht="15.75" x14ac:dyDescent="0.25">
      <c r="A248" s="46"/>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row>
    <row r="249" spans="1:38" ht="15.75" x14ac:dyDescent="0.25">
      <c r="A249" s="46"/>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row>
    <row r="250" spans="1:38" ht="15.75" x14ac:dyDescent="0.25">
      <c r="A250" s="46"/>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row>
    <row r="251" spans="1:38" ht="15.75" x14ac:dyDescent="0.25">
      <c r="A251" s="46"/>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row>
    <row r="252" spans="1:38" ht="15.75" x14ac:dyDescent="0.25">
      <c r="A252" s="46"/>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row>
    <row r="253" spans="1:38" ht="15.75" x14ac:dyDescent="0.25">
      <c r="A253" s="46"/>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row>
    <row r="254" spans="1:38" ht="15.75" x14ac:dyDescent="0.25">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row>
    <row r="255" spans="1:38" ht="15.75" x14ac:dyDescent="0.25">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row>
    <row r="256" spans="1:38" ht="15.75" x14ac:dyDescent="0.25">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row>
    <row r="257" spans="1:38" ht="15.75" x14ac:dyDescent="0.25">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row>
    <row r="258" spans="1:38" ht="15.75" x14ac:dyDescent="0.25">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row>
    <row r="259" spans="1:38" ht="15.75" x14ac:dyDescent="0.25">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row>
    <row r="260" spans="1:38" ht="15.75" x14ac:dyDescent="0.25">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row>
    <row r="261" spans="1:38" ht="15.75" x14ac:dyDescent="0.25">
      <c r="A261"/>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row>
    <row r="262" spans="1:38" ht="15.75" x14ac:dyDescent="0.25">
      <c r="A262"/>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row>
    <row r="263" spans="1:38" ht="15.75" x14ac:dyDescent="0.25">
      <c r="A263"/>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row>
    <row r="264" spans="1:38" ht="15.75" x14ac:dyDescent="0.25">
      <c r="A264"/>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row>
    <row r="265" spans="1:38" ht="15.75" x14ac:dyDescent="0.25">
      <c r="A265" s="46"/>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row>
    <row r="266" spans="1:38" ht="15.75" x14ac:dyDescent="0.25">
      <c r="A266" s="46"/>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row>
    <row r="267" spans="1:38" ht="15.75" x14ac:dyDescent="0.25">
      <c r="A267" s="46"/>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row>
    <row r="268" spans="1:38" ht="15.75" x14ac:dyDescent="0.25">
      <c r="A268" s="46"/>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row>
    <row r="269" spans="1:38" ht="15.75" x14ac:dyDescent="0.25">
      <c r="A269" s="46"/>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row>
    <row r="270" spans="1:38" ht="15.75" x14ac:dyDescent="0.25">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row>
    <row r="271" spans="1:38" ht="15.75" x14ac:dyDescent="0.25">
      <c r="A271" s="46"/>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row>
    <row r="272" spans="1:38" ht="15.75" x14ac:dyDescent="0.25">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row>
    <row r="273" spans="1:38" ht="15.75" x14ac:dyDescent="0.25">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row>
    <row r="274" spans="1:38" ht="15.75" x14ac:dyDescent="0.25">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row>
    <row r="275" spans="1:38" ht="15.75" x14ac:dyDescent="0.25">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row>
    <row r="276" spans="1:38" ht="15.75" x14ac:dyDescent="0.25">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row>
    <row r="277" spans="1:38" ht="15.75" x14ac:dyDescent="0.25">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row>
    <row r="278" spans="1:38" ht="15.75" x14ac:dyDescent="0.25">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row>
    <row r="279" spans="1:38" ht="15.75" x14ac:dyDescent="0.25">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row>
    <row r="280" spans="1:38" ht="15.75" x14ac:dyDescent="0.25">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row>
    <row r="281" spans="1:38" ht="15.75" x14ac:dyDescent="0.25">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row>
    <row r="282" spans="1:38" ht="15.75" x14ac:dyDescent="0.25">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row>
    <row r="283" spans="1:38" ht="15.75" x14ac:dyDescent="0.25">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row>
    <row r="284" spans="1:38" ht="15.75" x14ac:dyDescent="0.25">
      <c r="A284" s="341"/>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row>
    <row r="285" spans="1:38" ht="15.75" x14ac:dyDescent="0.25">
      <c r="A285" s="341"/>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row>
    <row r="286" spans="1:38" ht="15.75" x14ac:dyDescent="0.25">
      <c r="A286" s="341"/>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row>
    <row r="287" spans="1:38" ht="15.75" x14ac:dyDescent="0.25">
      <c r="A287" s="341"/>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row>
    <row r="288" spans="1:38" ht="15.75" x14ac:dyDescent="0.25">
      <c r="A288" s="341"/>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row>
    <row r="289" spans="1:38" ht="15.75" x14ac:dyDescent="0.25">
      <c r="A289" s="341"/>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row>
    <row r="290" spans="1:38" ht="15.75" x14ac:dyDescent="0.25">
      <c r="A290" s="341"/>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row>
    <row r="291" spans="1:38" ht="15.75" x14ac:dyDescent="0.25">
      <c r="A291" s="341"/>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row>
    <row r="292" spans="1:38" ht="15.75" x14ac:dyDescent="0.25">
      <c r="A292" s="341"/>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row>
    <row r="293" spans="1:38" ht="15.75" x14ac:dyDescent="0.25">
      <c r="A293" s="341"/>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row>
    <row r="294" spans="1:38" ht="15.75" x14ac:dyDescent="0.25">
      <c r="A294" s="341"/>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row>
    <row r="295" spans="1:38" ht="15.75" x14ac:dyDescent="0.25">
      <c r="A295" s="341"/>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row>
    <row r="296" spans="1:38" ht="15.75" x14ac:dyDescent="0.25">
      <c r="A296" s="341"/>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row>
    <row r="297" spans="1:38" ht="15.75" x14ac:dyDescent="0.25">
      <c r="A297" s="341"/>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row>
    <row r="298" spans="1:38" ht="15.75" x14ac:dyDescent="0.25">
      <c r="A298" s="341"/>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row>
    <row r="299" spans="1:38" ht="15.75" x14ac:dyDescent="0.25">
      <c r="A299" s="341"/>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row>
    <row r="300" spans="1:38" ht="15.75" x14ac:dyDescent="0.25">
      <c r="A300" s="341"/>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row>
    <row r="301" spans="1:38" ht="15.75" x14ac:dyDescent="0.25">
      <c r="A301" s="341"/>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row>
    <row r="302" spans="1:38" ht="15.75" x14ac:dyDescent="0.25">
      <c r="A302" s="341"/>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row>
    <row r="303" spans="1:38" ht="15.75" x14ac:dyDescent="0.25">
      <c r="A303" s="341"/>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row>
    <row r="304" spans="1:38" ht="15.75" x14ac:dyDescent="0.25">
      <c r="A304" s="341"/>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row>
    <row r="305" spans="2:38" ht="15.75" x14ac:dyDescent="0.25">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row>
    <row r="306" spans="2:38" ht="15.75" x14ac:dyDescent="0.25">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row>
    <row r="307" spans="2:38" ht="15.75" x14ac:dyDescent="0.25">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row>
    <row r="308" spans="2:38" ht="15.75" x14ac:dyDescent="0.25">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row>
    <row r="309" spans="2:38" ht="15.75" x14ac:dyDescent="0.25">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row>
    <row r="310" spans="2:38" ht="15.75" x14ac:dyDescent="0.25">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row>
    <row r="311" spans="2:38" ht="15.75" x14ac:dyDescent="0.25">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row>
    <row r="312" spans="2:38" ht="15.75" x14ac:dyDescent="0.25">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row>
    <row r="313" spans="2:38" ht="15.75" x14ac:dyDescent="0.25">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row>
    <row r="314" spans="2:38" ht="15.75" x14ac:dyDescent="0.25">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row>
    <row r="315" spans="2:38" ht="15.75" x14ac:dyDescent="0.25">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row>
    <row r="316" spans="2:38" ht="15.75" x14ac:dyDescent="0.25">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row>
    <row r="317" spans="2:38" ht="15.75" x14ac:dyDescent="0.25">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row>
    <row r="318" spans="2:38" ht="15.75" x14ac:dyDescent="0.25">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row>
    <row r="319" spans="2:38" ht="15.75" x14ac:dyDescent="0.25">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row>
    <row r="320" spans="2:38" ht="15.75" x14ac:dyDescent="0.25">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row>
    <row r="321" spans="1:38" ht="15.75" x14ac:dyDescent="0.25">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row>
    <row r="322" spans="1:38" ht="15.75" x14ac:dyDescent="0.25">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row>
    <row r="323" spans="1:38" ht="15.75" x14ac:dyDescent="0.25">
      <c r="A323" s="341"/>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row>
    <row r="324" spans="1:38" ht="15.75" x14ac:dyDescent="0.25">
      <c r="A324" s="341"/>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row>
    <row r="325" spans="1:38" ht="15.75" x14ac:dyDescent="0.25">
      <c r="A325" s="341"/>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row>
    <row r="326" spans="1:38" ht="15.75" x14ac:dyDescent="0.25">
      <c r="A326" s="341"/>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row>
    <row r="327" spans="1:38" ht="15.75" x14ac:dyDescent="0.25">
      <c r="A327" s="341"/>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row>
    <row r="328" spans="1:38" ht="15.75" x14ac:dyDescent="0.25">
      <c r="A328" s="341"/>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row>
    <row r="329" spans="1:38" ht="15.75" x14ac:dyDescent="0.25">
      <c r="A329" s="341"/>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row>
    <row r="330" spans="1:38" ht="15.75" x14ac:dyDescent="0.25">
      <c r="A330" s="341"/>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row>
    <row r="331" spans="1:38" ht="15.75" x14ac:dyDescent="0.25">
      <c r="A331" s="341"/>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row>
    <row r="332" spans="1:38" ht="15.75" x14ac:dyDescent="0.25">
      <c r="A332" s="341"/>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row>
    <row r="333" spans="1:38" ht="15.75" x14ac:dyDescent="0.25">
      <c r="A333" s="341"/>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row>
    <row r="334" spans="1:38" ht="15.75" x14ac:dyDescent="0.25">
      <c r="A334" s="341"/>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row>
    <row r="335" spans="1:38" ht="15.75" x14ac:dyDescent="0.25">
      <c r="A335" s="341"/>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row>
    <row r="336" spans="1:38" ht="15.75" x14ac:dyDescent="0.25">
      <c r="A336" s="341"/>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row>
    <row r="337" spans="1:38" ht="15.75" x14ac:dyDescent="0.25">
      <c r="A337" s="341"/>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row>
    <row r="338" spans="1:38" ht="15.75" x14ac:dyDescent="0.25">
      <c r="A338" s="341"/>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row>
    <row r="339" spans="1:38" ht="15.75" x14ac:dyDescent="0.25">
      <c r="A339" s="341"/>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row>
    <row r="340" spans="1:38" ht="15.75" x14ac:dyDescent="0.25">
      <c r="A340" s="341"/>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row>
    <row r="341" spans="1:38" ht="15.75" x14ac:dyDescent="0.25">
      <c r="A341" s="341"/>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row>
    <row r="342" spans="1:38" ht="15.75" x14ac:dyDescent="0.25">
      <c r="A342" s="341"/>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row>
    <row r="343" spans="1:38" ht="15.75" x14ac:dyDescent="0.25">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row>
    <row r="344" spans="1:38" ht="15.75" x14ac:dyDescent="0.25">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row>
    <row r="345" spans="1:38" ht="15.75" x14ac:dyDescent="0.25">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row>
    <row r="346" spans="1:38" ht="15.75" x14ac:dyDescent="0.25">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row>
    <row r="347" spans="1:38" ht="15.75" x14ac:dyDescent="0.25">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row>
    <row r="348" spans="1:38" ht="15.75" x14ac:dyDescent="0.25">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row>
    <row r="349" spans="1:38" ht="15.75" x14ac:dyDescent="0.25">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row>
    <row r="350" spans="1:38" ht="15.75" x14ac:dyDescent="0.25">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row>
    <row r="351" spans="1:38" ht="15.75" x14ac:dyDescent="0.25">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row>
    <row r="352" spans="1:38" ht="15.75" x14ac:dyDescent="0.25">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row>
    <row r="353" spans="1:38" ht="15.75" x14ac:dyDescent="0.25">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row>
    <row r="354" spans="1:38" ht="15.75" x14ac:dyDescent="0.25">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row>
    <row r="355" spans="1:38" ht="15.75" x14ac:dyDescent="0.25">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row>
    <row r="356" spans="1:38" ht="15.75" x14ac:dyDescent="0.25">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row>
    <row r="357" spans="1:38" ht="15.75" x14ac:dyDescent="0.25">
      <c r="A357" s="341"/>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row>
    <row r="358" spans="1:38" ht="15.75" x14ac:dyDescent="0.25">
      <c r="A358" s="341"/>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row>
    <row r="359" spans="1:38" ht="15.75" x14ac:dyDescent="0.25">
      <c r="A359" s="341"/>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row>
    <row r="360" spans="1:38" ht="15.75" x14ac:dyDescent="0.25">
      <c r="A360" s="341"/>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row>
    <row r="361" spans="1:38" ht="15.75" x14ac:dyDescent="0.25">
      <c r="A361" s="341"/>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row>
    <row r="362" spans="1:38" ht="15.75" x14ac:dyDescent="0.25">
      <c r="A362" s="341"/>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row>
    <row r="363" spans="1:38" ht="15.75" x14ac:dyDescent="0.25">
      <c r="A363" s="341"/>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row>
    <row r="364" spans="1:38" ht="15.75" x14ac:dyDescent="0.25">
      <c r="A364" s="341"/>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row>
    <row r="365" spans="1:38" ht="15.75" x14ac:dyDescent="0.25">
      <c r="A365" s="341"/>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row>
    <row r="366" spans="1:38" ht="15.75" x14ac:dyDescent="0.25">
      <c r="A366" s="341"/>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row>
    <row r="367" spans="1:38" ht="15.75" x14ac:dyDescent="0.25">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row>
    <row r="368" spans="1:38" ht="15.75" x14ac:dyDescent="0.25">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row>
    <row r="369" spans="2:38" ht="15.75" x14ac:dyDescent="0.25">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row>
    <row r="370" spans="2:38" ht="15.75" x14ac:dyDescent="0.25">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row>
    <row r="371" spans="2:38" ht="15.75" x14ac:dyDescent="0.25">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row>
    <row r="372" spans="2:38" ht="15.75" x14ac:dyDescent="0.25">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row>
    <row r="373" spans="2:38" ht="15.75" x14ac:dyDescent="0.25">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row>
    <row r="374" spans="2:38" ht="15.75" x14ac:dyDescent="0.25">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row>
    <row r="375" spans="2:38" ht="15.75" x14ac:dyDescent="0.25">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row>
    <row r="376" spans="2:38" ht="15.75" x14ac:dyDescent="0.25">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row>
    <row r="377" spans="2:38" ht="15.75" x14ac:dyDescent="0.25">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row>
    <row r="378" spans="2:38" ht="15.75" x14ac:dyDescent="0.25">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row>
    <row r="379" spans="2:38" ht="15.75" x14ac:dyDescent="0.25">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row>
    <row r="380" spans="2:38" ht="15.75" x14ac:dyDescent="0.25">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row>
    <row r="381" spans="2:38" ht="15.75" x14ac:dyDescent="0.25">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row>
    <row r="382" spans="2:38" ht="15.75" x14ac:dyDescent="0.25">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row>
    <row r="383" spans="2:38" ht="15.75" x14ac:dyDescent="0.25">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row>
    <row r="384" spans="2:38" ht="15.75" x14ac:dyDescent="0.25">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row>
    <row r="385" spans="1:38" ht="15.75" x14ac:dyDescent="0.25">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row>
    <row r="386" spans="1:38" ht="15.75" x14ac:dyDescent="0.25">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row>
    <row r="387" spans="1:38" ht="15.75" x14ac:dyDescent="0.25">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row>
    <row r="388" spans="1:38" ht="15.75" x14ac:dyDescent="0.25">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row>
    <row r="389" spans="1:38" ht="15.75" x14ac:dyDescent="0.25">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row>
    <row r="390" spans="1:38" ht="15.75" x14ac:dyDescent="0.25">
      <c r="A390" s="400"/>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row>
    <row r="391" spans="1:38" ht="15.75" x14ac:dyDescent="0.25">
      <c r="A391" s="400"/>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row>
    <row r="392" spans="1:38" ht="15.75" x14ac:dyDescent="0.25">
      <c r="A392" s="400"/>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row>
    <row r="393" spans="1:38" ht="15.75" x14ac:dyDescent="0.25">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row>
    <row r="394" spans="1:38" ht="15.75" x14ac:dyDescent="0.25">
      <c r="A394"/>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row>
    <row r="395" spans="1:38" ht="15.75" x14ac:dyDescent="0.25">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row>
    <row r="396" spans="1:38" ht="15.75" x14ac:dyDescent="0.25">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row>
    <row r="397" spans="1:38" ht="15.75" x14ac:dyDescent="0.25">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row>
    <row r="398" spans="1:38" ht="15.75" x14ac:dyDescent="0.25">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row>
    <row r="399" spans="1:38" ht="15.75" x14ac:dyDescent="0.25">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row>
    <row r="400" spans="1:38" ht="15.75" x14ac:dyDescent="0.25">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row>
    <row r="401" spans="2:38" ht="15.75" x14ac:dyDescent="0.25">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row>
    <row r="402" spans="2:38" ht="15.75" x14ac:dyDescent="0.25">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row>
    <row r="403" spans="2:38" ht="15.75" x14ac:dyDescent="0.25">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row>
    <row r="404" spans="2:38" ht="15.75" x14ac:dyDescent="0.25">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row>
    <row r="405" spans="2:38" ht="15.75" x14ac:dyDescent="0.25">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row>
    <row r="406" spans="2:38" ht="15.75" x14ac:dyDescent="0.25">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row>
    <row r="407" spans="2:38" ht="15.75" x14ac:dyDescent="0.25">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row>
    <row r="408" spans="2:38" ht="15.75" x14ac:dyDescent="0.25">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row>
    <row r="409" spans="2:38" ht="15.75" x14ac:dyDescent="0.25">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row>
    <row r="410" spans="2:38" ht="15.75" x14ac:dyDescent="0.25">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row>
    <row r="411" spans="2:38" ht="15.75" x14ac:dyDescent="0.25">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row>
    <row r="412" spans="2:38" ht="15.75" x14ac:dyDescent="0.25">
      <c r="B41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row>
    <row r="413" spans="2:38" ht="15.75" x14ac:dyDescent="0.25">
      <c r="B41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row>
    <row r="414" spans="2:38" ht="15.75" x14ac:dyDescent="0.25">
      <c r="B414"/>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row>
    <row r="415" spans="2:38" ht="15.75" x14ac:dyDescent="0.25">
      <c r="B415"/>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row>
    <row r="416" spans="2:38" ht="15.75" x14ac:dyDescent="0.25">
      <c r="B416"/>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row>
    <row r="417" spans="2:38" ht="15.75" x14ac:dyDescent="0.25">
      <c r="B417"/>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row>
    <row r="418" spans="2:38" ht="15.75" x14ac:dyDescent="0.25">
      <c r="B418"/>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row>
    <row r="419" spans="2:38" ht="15.75" x14ac:dyDescent="0.25">
      <c r="B419"/>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row>
    <row r="420" spans="2:38" ht="15.75" x14ac:dyDescent="0.25">
      <c r="B420"/>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row>
    <row r="421" spans="2:38" ht="15.75" x14ac:dyDescent="0.25">
      <c r="B421"/>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row>
    <row r="422" spans="2:38" ht="15.75" x14ac:dyDescent="0.25">
      <c r="B422"/>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row>
    <row r="423" spans="2:38" ht="15.75" x14ac:dyDescent="0.25">
      <c r="B42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row>
    <row r="424" spans="2:38" ht="15.75" x14ac:dyDescent="0.25">
      <c r="B424"/>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row>
    <row r="425" spans="2:38" ht="15.75" x14ac:dyDescent="0.25">
      <c r="B425"/>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row>
    <row r="426" spans="2:38" ht="15.75" x14ac:dyDescent="0.25">
      <c r="B426"/>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row>
    <row r="427" spans="2:38" ht="15.75" x14ac:dyDescent="0.25">
      <c r="B427"/>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row>
    <row r="428" spans="2:38" ht="15.75" x14ac:dyDescent="0.25">
      <c r="B428"/>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row>
    <row r="429" spans="2:38" ht="15.75" x14ac:dyDescent="0.25">
      <c r="B429"/>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row>
    <row r="430" spans="2:38" ht="15.75" x14ac:dyDescent="0.25">
      <c r="B430"/>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row>
    <row r="431" spans="2:38" ht="15.75" x14ac:dyDescent="0.25">
      <c r="B431"/>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row>
    <row r="432" spans="2:38" ht="15.75" x14ac:dyDescent="0.25">
      <c r="B432"/>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row>
    <row r="433" spans="2:38" ht="15.75" x14ac:dyDescent="0.25">
      <c r="B43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row>
    <row r="434" spans="2:38" ht="15.75" x14ac:dyDescent="0.25">
      <c r="B434"/>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row>
    <row r="435" spans="2:38" ht="15.75" x14ac:dyDescent="0.25">
      <c r="B435"/>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row>
    <row r="436" spans="2:38" ht="15.75" x14ac:dyDescent="0.25">
      <c r="B436"/>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row>
    <row r="437" spans="2:38" ht="15.75" x14ac:dyDescent="0.25">
      <c r="B437"/>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row>
    <row r="438" spans="2:38" ht="15.75" x14ac:dyDescent="0.25">
      <c r="B438"/>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row>
    <row r="439" spans="2:38" ht="15.75" x14ac:dyDescent="0.25">
      <c r="B439"/>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row>
    <row r="440" spans="2:38" ht="15.75" x14ac:dyDescent="0.25">
      <c r="B440"/>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row>
    <row r="441" spans="2:38" ht="15.75" x14ac:dyDescent="0.25">
      <c r="B441"/>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row>
    <row r="442" spans="2:38" ht="15.75" x14ac:dyDescent="0.25">
      <c r="B442"/>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row>
    <row r="443" spans="2:38" ht="15.75" x14ac:dyDescent="0.25">
      <c r="B44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row>
    <row r="444" spans="2:38" ht="15.75" x14ac:dyDescent="0.25">
      <c r="B444"/>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row>
    <row r="445" spans="2:38" ht="15.75" x14ac:dyDescent="0.25">
      <c r="B445"/>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row>
    <row r="446" spans="2:38" ht="15.75" x14ac:dyDescent="0.25">
      <c r="B446"/>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row>
    <row r="447" spans="2:38" ht="15.75" x14ac:dyDescent="0.25">
      <c r="B447"/>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row>
    <row r="448" spans="2:38" ht="15.75" x14ac:dyDescent="0.25">
      <c r="B448"/>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row>
    <row r="449" spans="2:38" ht="15.75" x14ac:dyDescent="0.25">
      <c r="B449"/>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row>
    <row r="450" spans="2:38" ht="15.75" x14ac:dyDescent="0.25">
      <c r="B450"/>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row>
    <row r="451" spans="2:38" ht="15.75" x14ac:dyDescent="0.25">
      <c r="B451"/>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row>
    <row r="452" spans="2:38" ht="15.75" x14ac:dyDescent="0.25">
      <c r="B452"/>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row>
    <row r="453" spans="2:38" ht="15.75" x14ac:dyDescent="0.25">
      <c r="B453"/>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row>
    <row r="454" spans="2:38" ht="15.75" x14ac:dyDescent="0.25">
      <c r="B454"/>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row>
    <row r="455" spans="2:38" ht="15.75" x14ac:dyDescent="0.25">
      <c r="B455"/>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row>
    <row r="456" spans="2:38" ht="15.75" x14ac:dyDescent="0.25">
      <c r="B456"/>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row>
    <row r="457" spans="2:38" ht="15.75" x14ac:dyDescent="0.25">
      <c r="B457"/>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row>
    <row r="458" spans="2:38" ht="15.75" x14ac:dyDescent="0.25">
      <c r="B458"/>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row>
    <row r="459" spans="2:38" ht="15.75" x14ac:dyDescent="0.25">
      <c r="B459"/>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row>
    <row r="460" spans="2:38" ht="15.75" x14ac:dyDescent="0.25">
      <c r="B460"/>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row>
    <row r="461" spans="2:38" ht="15.75" x14ac:dyDescent="0.25">
      <c r="B461"/>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row>
    <row r="462" spans="2:38" ht="15.75" x14ac:dyDescent="0.25">
      <c r="B462"/>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row>
    <row r="463" spans="2:38" ht="15.75" x14ac:dyDescent="0.25">
      <c r="B463"/>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row>
    <row r="464" spans="2:38" ht="15.75" x14ac:dyDescent="0.25">
      <c r="B464"/>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row>
    <row r="465" spans="2:38" ht="15.75" x14ac:dyDescent="0.25">
      <c r="B465"/>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row>
    <row r="466" spans="2:38" ht="15.75" x14ac:dyDescent="0.25">
      <c r="B466"/>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row>
    <row r="467" spans="2:38" ht="15.75" x14ac:dyDescent="0.25">
      <c r="B467"/>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row>
    <row r="468" spans="2:38" ht="15.75" x14ac:dyDescent="0.25">
      <c r="B468"/>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row>
    <row r="469" spans="2:38" ht="15.75" x14ac:dyDescent="0.25">
      <c r="B469"/>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row>
    <row r="470" spans="2:38" ht="15.75" x14ac:dyDescent="0.25">
      <c r="B470"/>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row>
    <row r="471" spans="2:38" ht="15.75" x14ac:dyDescent="0.25">
      <c r="B471"/>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row>
    <row r="472" spans="2:38" ht="15.75" x14ac:dyDescent="0.25">
      <c r="B472"/>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row>
    <row r="473" spans="2:38" ht="15.75" x14ac:dyDescent="0.25">
      <c r="B473"/>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row>
    <row r="474" spans="2:38" ht="15.75" x14ac:dyDescent="0.25">
      <c r="B474"/>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row>
    <row r="475" spans="2:38" ht="15.75" x14ac:dyDescent="0.25">
      <c r="B475"/>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row>
    <row r="476" spans="2:38" ht="15.75" x14ac:dyDescent="0.25">
      <c r="B476"/>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row>
    <row r="477" spans="2:38" ht="15.75" x14ac:dyDescent="0.25">
      <c r="B477"/>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row>
    <row r="478" spans="2:38" ht="15.75" x14ac:dyDescent="0.25">
      <c r="B478"/>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row>
    <row r="479" spans="2:38" ht="15.75" x14ac:dyDescent="0.25">
      <c r="B479"/>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row>
    <row r="480" spans="2:38" ht="15.75" x14ac:dyDescent="0.25">
      <c r="B480"/>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row>
    <row r="481" spans="2:38" ht="15.75" x14ac:dyDescent="0.25">
      <c r="B481"/>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row>
    <row r="482" spans="2:38" ht="15.75" x14ac:dyDescent="0.25">
      <c r="B482"/>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row>
    <row r="483" spans="2:38" ht="15.75" x14ac:dyDescent="0.25">
      <c r="B483"/>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row>
    <row r="484" spans="2:38" ht="15.75" x14ac:dyDescent="0.25">
      <c r="B484"/>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row>
    <row r="485" spans="2:38" ht="15.75" x14ac:dyDescent="0.25">
      <c r="B485"/>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row>
    <row r="486" spans="2:38" ht="15.75" x14ac:dyDescent="0.25">
      <c r="B486"/>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row>
    <row r="487" spans="2:38" ht="15.75" x14ac:dyDescent="0.25">
      <c r="B487"/>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row>
    <row r="488" spans="2:38" ht="15.75" x14ac:dyDescent="0.25">
      <c r="B488"/>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row>
    <row r="489" spans="2:38" ht="15.75" x14ac:dyDescent="0.25">
      <c r="B489"/>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row>
    <row r="490" spans="2:38" ht="15.75" x14ac:dyDescent="0.25">
      <c r="B490"/>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row>
    <row r="491" spans="2:38" ht="15.75" x14ac:dyDescent="0.25">
      <c r="B491"/>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row>
    <row r="492" spans="2:38" ht="15.75" x14ac:dyDescent="0.25">
      <c r="B492"/>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row>
    <row r="493" spans="2:38" ht="15.75" x14ac:dyDescent="0.25">
      <c r="B493"/>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row>
    <row r="494" spans="2:38" ht="15.75" x14ac:dyDescent="0.25">
      <c r="B494"/>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row>
    <row r="495" spans="2:38" ht="15.75" x14ac:dyDescent="0.25">
      <c r="B495"/>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row>
    <row r="496" spans="2:38" ht="15.75" x14ac:dyDescent="0.25">
      <c r="B496"/>
      <c r="C496"/>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row>
    <row r="497" spans="2:38" ht="15.75" x14ac:dyDescent="0.25">
      <c r="B497"/>
      <c r="C497"/>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row>
    <row r="498" spans="2:38" ht="15.75" x14ac:dyDescent="0.25">
      <c r="B498"/>
      <c r="C498"/>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row>
    <row r="499" spans="2:38" ht="15.75" x14ac:dyDescent="0.25">
      <c r="B499"/>
      <c r="C499"/>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row>
    <row r="500" spans="2:38" ht="15.75" x14ac:dyDescent="0.25">
      <c r="B500"/>
      <c r="C50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row>
    <row r="501" spans="2:38" ht="15.75" x14ac:dyDescent="0.25">
      <c r="B501"/>
      <c r="C501"/>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row>
    <row r="502" spans="2:38" ht="15.75" x14ac:dyDescent="0.25">
      <c r="B502"/>
      <c r="C502"/>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row>
    <row r="503" spans="2:38" ht="15.75" x14ac:dyDescent="0.25">
      <c r="B503"/>
      <c r="C503"/>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row>
    <row r="504" spans="2:38" ht="15.75" x14ac:dyDescent="0.25">
      <c r="B504"/>
      <c r="C50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row>
    <row r="505" spans="2:38" ht="15.75" x14ac:dyDescent="0.25">
      <c r="B505"/>
      <c r="C505"/>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row>
    <row r="506" spans="2:38" ht="15.75" x14ac:dyDescent="0.25">
      <c r="B506"/>
      <c r="C506"/>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row>
    <row r="507" spans="2:38" ht="15.75" x14ac:dyDescent="0.25">
      <c r="B507"/>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row>
    <row r="508" spans="2:38" ht="15.75" x14ac:dyDescent="0.25">
      <c r="B508"/>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row>
    <row r="509" spans="2:38" ht="15.75" x14ac:dyDescent="0.25">
      <c r="B509"/>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row>
    <row r="510" spans="2:38" ht="15.75" x14ac:dyDescent="0.25">
      <c r="B510"/>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row>
    <row r="511" spans="2:38" ht="15.75" x14ac:dyDescent="0.25">
      <c r="B51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row>
    <row r="512" spans="2:38" ht="15.75" x14ac:dyDescent="0.25">
      <c r="B512"/>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row>
    <row r="513" spans="2:38" ht="15.75" x14ac:dyDescent="0.25">
      <c r="B513"/>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row>
    <row r="514" spans="2:38" ht="15.75" x14ac:dyDescent="0.25">
      <c r="B514"/>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row>
    <row r="515" spans="2:38" ht="15.75" x14ac:dyDescent="0.25">
      <c r="B515"/>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row>
    <row r="516" spans="2:38" ht="15.75" x14ac:dyDescent="0.25">
      <c r="B516"/>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row>
    <row r="517" spans="2:38" ht="15.75" x14ac:dyDescent="0.25">
      <c r="B517"/>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row>
    <row r="518" spans="2:38" ht="15.75" x14ac:dyDescent="0.25">
      <c r="B518"/>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row>
    <row r="519" spans="2:38" ht="15.75" x14ac:dyDescent="0.25">
      <c r="B519"/>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row>
    <row r="520" spans="2:38" ht="15.75" x14ac:dyDescent="0.25">
      <c r="B520"/>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row>
    <row r="521" spans="2:38" ht="15.75" x14ac:dyDescent="0.25">
      <c r="B521"/>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row>
    <row r="522" spans="2:38" ht="15.75" x14ac:dyDescent="0.25">
      <c r="B522"/>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row>
    <row r="523" spans="2:38" ht="15.75" x14ac:dyDescent="0.25">
      <c r="B523"/>
      <c r="C523"/>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row>
    <row r="524" spans="2:38" ht="15.75" x14ac:dyDescent="0.25">
      <c r="B524"/>
      <c r="C52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row>
    <row r="525" spans="2:38" ht="15.75" x14ac:dyDescent="0.25">
      <c r="B525"/>
      <c r="C525"/>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row>
    <row r="526" spans="2:38" ht="15.75" x14ac:dyDescent="0.25">
      <c r="B526"/>
      <c r="C526"/>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row>
    <row r="527" spans="2:38" ht="15.75" x14ac:dyDescent="0.25">
      <c r="B527"/>
      <c r="C527"/>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row>
    <row r="528" spans="2:38" ht="15.75" x14ac:dyDescent="0.25">
      <c r="B528"/>
      <c r="C528"/>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row>
    <row r="529" spans="2:38" ht="15.75" x14ac:dyDescent="0.25">
      <c r="B529"/>
      <c r="C529"/>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row>
    <row r="530" spans="2:38" ht="15.75" x14ac:dyDescent="0.25">
      <c r="B530"/>
      <c r="C5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row>
    <row r="531" spans="2:38" ht="15.75" x14ac:dyDescent="0.25">
      <c r="B531"/>
      <c r="C531"/>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row>
    <row r="532" spans="2:38" ht="15.75" x14ac:dyDescent="0.25">
      <c r="B532"/>
      <c r="C532"/>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row>
    <row r="533" spans="2:38" ht="15.75" x14ac:dyDescent="0.25">
      <c r="B533"/>
      <c r="C533"/>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row>
    <row r="534" spans="2:38" ht="15.75" x14ac:dyDescent="0.25">
      <c r="B534"/>
      <c r="C53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row>
    <row r="535" spans="2:38" ht="15.75" x14ac:dyDescent="0.25">
      <c r="B535"/>
      <c r="C535"/>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row>
    <row r="536" spans="2:38" ht="15.75" x14ac:dyDescent="0.25">
      <c r="B536"/>
      <c r="C536"/>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row>
    <row r="537" spans="2:38" ht="15.75" x14ac:dyDescent="0.25">
      <c r="B537"/>
      <c r="C537"/>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row>
    <row r="538" spans="2:38" ht="15.75" x14ac:dyDescent="0.25">
      <c r="B538"/>
      <c r="C538"/>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row>
    <row r="539" spans="2:38" ht="15.75" x14ac:dyDescent="0.25">
      <c r="B539"/>
      <c r="C539"/>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row>
    <row r="540" spans="2:38" ht="15.75" x14ac:dyDescent="0.25">
      <c r="B540"/>
      <c r="C540"/>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row>
    <row r="541" spans="2:38" ht="15.75" x14ac:dyDescent="0.25">
      <c r="B541"/>
      <c r="C541"/>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row>
    <row r="542" spans="2:38" ht="15.75" x14ac:dyDescent="0.25">
      <c r="B542"/>
      <c r="C542"/>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row>
    <row r="543" spans="2:38" ht="15.75" x14ac:dyDescent="0.25">
      <c r="B543"/>
      <c r="C543"/>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row>
    <row r="544" spans="2:38" ht="15.75" x14ac:dyDescent="0.25">
      <c r="B544"/>
      <c r="C544"/>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row>
    <row r="545" spans="2:38" ht="15.75" x14ac:dyDescent="0.25">
      <c r="B545"/>
      <c r="C545"/>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row>
    <row r="546" spans="2:38" ht="15.75" x14ac:dyDescent="0.25">
      <c r="B546"/>
      <c r="C546"/>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row>
    <row r="547" spans="2:38" ht="15.75" x14ac:dyDescent="0.25">
      <c r="B547"/>
      <c r="C547"/>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row>
    <row r="548" spans="2:38" ht="15.75" x14ac:dyDescent="0.25">
      <c r="B548"/>
      <c r="C548"/>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row>
    <row r="549" spans="2:38" ht="15.75" x14ac:dyDescent="0.25">
      <c r="B549"/>
      <c r="C549"/>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row>
    <row r="550" spans="2:38" ht="15.75" x14ac:dyDescent="0.25">
      <c r="B550"/>
      <c r="C550"/>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row>
    <row r="551" spans="2:38" ht="15.75" x14ac:dyDescent="0.25">
      <c r="B551"/>
      <c r="C551"/>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row>
    <row r="552" spans="2:38" ht="15.75" x14ac:dyDescent="0.25">
      <c r="B552"/>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row>
    <row r="553" spans="2:38" ht="15.75" x14ac:dyDescent="0.25">
      <c r="B553"/>
      <c r="C553"/>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row>
    <row r="554" spans="2:38" ht="15.75" x14ac:dyDescent="0.25">
      <c r="B554"/>
      <c r="C554"/>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row>
    <row r="555" spans="2:38" ht="15.75" x14ac:dyDescent="0.25">
      <c r="B555"/>
      <c r="C555"/>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row>
    <row r="556" spans="2:38" ht="15.75" x14ac:dyDescent="0.25">
      <c r="B556"/>
      <c r="C556"/>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row>
    <row r="557" spans="2:38" ht="15.75" x14ac:dyDescent="0.25">
      <c r="B557"/>
      <c r="C557"/>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row>
    <row r="558" spans="2:38" ht="15.75" x14ac:dyDescent="0.25">
      <c r="B558"/>
      <c r="C558"/>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row>
    <row r="559" spans="2:38" ht="15.75" x14ac:dyDescent="0.25">
      <c r="B559"/>
      <c r="C559"/>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row>
    <row r="560" spans="2:38" ht="15.75" x14ac:dyDescent="0.25">
      <c r="B560"/>
      <c r="C560"/>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row>
    <row r="561" spans="2:38" ht="15.75" x14ac:dyDescent="0.25">
      <c r="B561"/>
      <c r="C561"/>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row>
    <row r="562" spans="2:38" ht="15.75" x14ac:dyDescent="0.25">
      <c r="B562"/>
      <c r="C562"/>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row>
    <row r="563" spans="2:38" ht="15.75" x14ac:dyDescent="0.25">
      <c r="B563"/>
      <c r="C563"/>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row>
    <row r="564" spans="2:38" ht="15.75" x14ac:dyDescent="0.25">
      <c r="B564"/>
      <c r="C564"/>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row>
    <row r="565" spans="2:38" ht="15.75" x14ac:dyDescent="0.25">
      <c r="B565"/>
      <c r="C565"/>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row>
    <row r="566" spans="2:38" ht="15.75" x14ac:dyDescent="0.25">
      <c r="B566"/>
      <c r="C566"/>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row>
    <row r="567" spans="2:38" ht="15.75" x14ac:dyDescent="0.25">
      <c r="B567"/>
      <c r="C567"/>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row>
    <row r="568" spans="2:38" ht="15.75" x14ac:dyDescent="0.25">
      <c r="B568"/>
      <c r="C568"/>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row>
    <row r="569" spans="2:38" ht="15.75" x14ac:dyDescent="0.25">
      <c r="B569"/>
      <c r="C569"/>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row>
    <row r="570" spans="2:38" ht="15.75" x14ac:dyDescent="0.25">
      <c r="B570"/>
      <c r="C570"/>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row>
    <row r="571" spans="2:38" ht="15.75" x14ac:dyDescent="0.25">
      <c r="B571"/>
      <c r="C571"/>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row>
    <row r="572" spans="2:38" ht="15.75" x14ac:dyDescent="0.25">
      <c r="B572"/>
      <c r="C572"/>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row>
    <row r="573" spans="2:38" ht="15.75" x14ac:dyDescent="0.25">
      <c r="B573"/>
      <c r="C573"/>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row>
    <row r="574" spans="2:38" ht="15.75" x14ac:dyDescent="0.25">
      <c r="B574"/>
      <c r="C574"/>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row>
    <row r="575" spans="2:38" ht="15.75" x14ac:dyDescent="0.25">
      <c r="B575"/>
      <c r="C575"/>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row>
    <row r="576" spans="2:38" ht="15.75" x14ac:dyDescent="0.25">
      <c r="B576"/>
      <c r="C576"/>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C27F-2C9E-473B-A4F4-339FABB2065F}">
  <sheetPr>
    <tabColor theme="4" tint="0.39997558519241921"/>
  </sheetPr>
  <dimension ref="A2:BZ453"/>
  <sheetViews>
    <sheetView showGridLines="0" zoomScale="94" zoomScaleNormal="85" workbookViewId="0">
      <pane ySplit="1" topLeftCell="A70" activePane="bottomLeft" state="frozen"/>
      <selection sqref="A1:XFD1048576"/>
      <selection pane="bottomLeft" activeCell="B96" sqref="B96"/>
    </sheetView>
  </sheetViews>
  <sheetFormatPr defaultColWidth="8.25" defaultRowHeight="15" x14ac:dyDescent="0.25"/>
  <cols>
    <col min="1" max="1" width="19.25" style="424" customWidth="1"/>
    <col min="2" max="2" width="17.25" style="424" customWidth="1"/>
    <col min="3" max="3" width="15.125" style="425" bestFit="1" customWidth="1"/>
    <col min="4" max="4" width="13.75" style="425" bestFit="1" customWidth="1"/>
    <col min="5" max="5" width="20.125" style="425" customWidth="1"/>
    <col min="6" max="9" width="12" style="425" customWidth="1"/>
    <col min="10" max="10" width="12.25" style="425" bestFit="1" customWidth="1"/>
    <col min="11" max="11" width="8.5" style="425" customWidth="1"/>
    <col min="12" max="33" width="8.5" style="424" customWidth="1"/>
    <col min="34" max="16384" width="8.25" style="424"/>
  </cols>
  <sheetData>
    <row r="2" spans="1:51" ht="23.25" x14ac:dyDescent="0.25">
      <c r="A2" s="54" t="s">
        <v>298</v>
      </c>
      <c r="B2" s="427"/>
      <c r="G2" s="428"/>
      <c r="H2" s="428"/>
      <c r="I2" s="428"/>
      <c r="J2" s="426"/>
      <c r="K2" s="426"/>
      <c r="L2" s="426"/>
      <c r="M2" s="426"/>
      <c r="N2" s="426"/>
      <c r="O2" s="426"/>
      <c r="P2" s="426"/>
      <c r="Q2" s="426"/>
      <c r="R2" s="426"/>
      <c r="S2" s="426"/>
      <c r="T2" s="426"/>
      <c r="U2" s="426"/>
      <c r="V2" s="426"/>
      <c r="W2" s="426"/>
      <c r="X2" s="426"/>
      <c r="Y2" s="426"/>
      <c r="Z2" s="426"/>
      <c r="AA2" s="426"/>
      <c r="AB2" s="426"/>
      <c r="AC2" s="426"/>
      <c r="AD2" s="426"/>
      <c r="AE2" s="426"/>
      <c r="AF2" s="426"/>
      <c r="AG2" s="426"/>
      <c r="AH2" s="426"/>
      <c r="AI2" s="426"/>
      <c r="AJ2" s="426"/>
      <c r="AK2" s="426"/>
      <c r="AL2" s="426"/>
      <c r="AM2" s="426"/>
      <c r="AN2" s="426"/>
      <c r="AO2" s="426"/>
      <c r="AP2" s="426"/>
      <c r="AQ2" s="426"/>
      <c r="AR2" s="426"/>
      <c r="AS2" s="426"/>
      <c r="AT2" s="426"/>
      <c r="AU2" s="426"/>
      <c r="AV2" s="426"/>
      <c r="AW2" s="426"/>
      <c r="AX2" s="426"/>
      <c r="AY2" s="426"/>
    </row>
    <row r="3" spans="1:51" ht="15.75" x14ac:dyDescent="0.25">
      <c r="B3" s="429"/>
      <c r="G3" s="430"/>
      <c r="H3" s="430"/>
      <c r="I3" s="430"/>
      <c r="J3" s="426"/>
      <c r="K3" s="426"/>
      <c r="L3" s="426"/>
      <c r="M3" s="426"/>
      <c r="N3" s="426"/>
      <c r="O3" s="426"/>
      <c r="P3" s="426"/>
      <c r="Q3" s="426"/>
      <c r="R3" s="426"/>
      <c r="S3" s="426"/>
      <c r="T3" s="426"/>
      <c r="U3" s="426"/>
      <c r="V3" s="426"/>
      <c r="W3" s="426"/>
      <c r="X3" s="426"/>
      <c r="Y3" s="426"/>
      <c r="Z3" s="426"/>
      <c r="AA3" s="426"/>
      <c r="AB3" s="426"/>
      <c r="AC3" s="426"/>
      <c r="AD3" s="426"/>
      <c r="AE3" s="426"/>
      <c r="AF3" s="426"/>
      <c r="AG3" s="426"/>
      <c r="AH3" s="426"/>
      <c r="AI3" s="426"/>
      <c r="AJ3" s="426"/>
      <c r="AK3" s="426"/>
      <c r="AL3" s="426"/>
      <c r="AM3" s="426"/>
      <c r="AN3" s="426"/>
      <c r="AO3" s="426"/>
      <c r="AP3" s="426"/>
      <c r="AQ3" s="426"/>
      <c r="AR3" s="426"/>
      <c r="AS3" s="426"/>
      <c r="AT3" s="426"/>
      <c r="AU3" s="426"/>
      <c r="AV3" s="426"/>
      <c r="AW3" s="426"/>
      <c r="AX3" s="426"/>
      <c r="AY3" s="426"/>
    </row>
    <row r="4" spans="1:51" ht="26.25" x14ac:dyDescent="0.25">
      <c r="A4" s="4" t="s">
        <v>503</v>
      </c>
      <c r="B4" s="4" t="s">
        <v>299</v>
      </c>
      <c r="C4" s="431"/>
      <c r="J4" s="426"/>
      <c r="K4" s="426"/>
      <c r="L4" s="426"/>
      <c r="M4" s="426"/>
      <c r="N4" s="426"/>
      <c r="O4" s="426"/>
      <c r="P4" s="426"/>
      <c r="Q4" s="426"/>
      <c r="R4" s="426"/>
      <c r="S4" s="426"/>
      <c r="T4" s="426"/>
      <c r="U4" s="426"/>
      <c r="V4" s="426"/>
      <c r="W4" s="426"/>
      <c r="X4" s="426"/>
      <c r="Y4" s="426"/>
      <c r="Z4" s="426"/>
      <c r="AA4" s="426"/>
      <c r="AB4" s="426"/>
      <c r="AC4" s="426"/>
      <c r="AD4" s="426"/>
      <c r="AE4" s="426"/>
      <c r="AF4" s="426"/>
      <c r="AG4" s="426"/>
      <c r="AH4" s="426"/>
      <c r="AI4" s="426"/>
      <c r="AJ4" s="426"/>
      <c r="AK4" s="426"/>
      <c r="AL4" s="426"/>
      <c r="AM4" s="426"/>
      <c r="AN4" s="426"/>
      <c r="AO4" s="426"/>
      <c r="AP4" s="426"/>
      <c r="AQ4" s="426"/>
      <c r="AR4" s="426"/>
      <c r="AS4" s="426"/>
      <c r="AT4" s="426"/>
      <c r="AU4" s="426"/>
      <c r="AV4" s="426"/>
      <c r="AW4" s="426"/>
      <c r="AX4" s="426"/>
      <c r="AY4" s="426"/>
    </row>
    <row r="5" spans="1:51" x14ac:dyDescent="0.25">
      <c r="A5" s="382" t="s">
        <v>413</v>
      </c>
      <c r="B5" s="382" t="s">
        <v>414</v>
      </c>
      <c r="C5" s="382"/>
      <c r="D5" s="382"/>
      <c r="E5" s="382"/>
      <c r="F5" s="382"/>
      <c r="G5" s="382"/>
      <c r="H5" s="382"/>
      <c r="I5" s="432"/>
      <c r="J5" s="426"/>
      <c r="K5" s="426"/>
      <c r="L5" s="426"/>
      <c r="M5" s="426"/>
      <c r="N5" s="426"/>
      <c r="O5" s="426"/>
      <c r="P5" s="426"/>
      <c r="Q5" s="426"/>
      <c r="R5" s="426"/>
      <c r="S5" s="426"/>
      <c r="T5" s="426"/>
      <c r="U5" s="426"/>
      <c r="V5" s="426"/>
      <c r="W5" s="426"/>
      <c r="X5" s="426"/>
      <c r="Y5" s="426"/>
      <c r="Z5" s="426"/>
      <c r="AA5" s="426"/>
      <c r="AB5" s="426"/>
      <c r="AC5" s="426"/>
      <c r="AD5" s="426"/>
      <c r="AE5" s="426"/>
      <c r="AF5" s="426"/>
      <c r="AG5" s="426"/>
      <c r="AH5" s="426"/>
      <c r="AI5" s="426"/>
      <c r="AJ5" s="426"/>
      <c r="AK5" s="426"/>
      <c r="AL5" s="426"/>
      <c r="AM5" s="426"/>
      <c r="AN5" s="426"/>
      <c r="AO5" s="426"/>
      <c r="AP5" s="426"/>
      <c r="AQ5" s="426"/>
      <c r="AR5" s="426"/>
      <c r="AS5" s="426"/>
      <c r="AT5" s="426"/>
      <c r="AU5" s="426"/>
      <c r="AV5" s="426"/>
      <c r="AW5" s="426"/>
      <c r="AX5" s="426"/>
      <c r="AY5" s="426"/>
    </row>
    <row r="6" spans="1:51" x14ac:dyDescent="0.25">
      <c r="A6" s="433" t="s">
        <v>95</v>
      </c>
      <c r="B6" s="433"/>
      <c r="C6" s="434" t="s">
        <v>96</v>
      </c>
      <c r="D6" s="434"/>
      <c r="E6" s="434"/>
      <c r="F6" s="435" t="s">
        <v>228</v>
      </c>
      <c r="G6" s="435" t="s">
        <v>262</v>
      </c>
      <c r="H6" s="435" t="s">
        <v>113</v>
      </c>
      <c r="I6" s="436" t="s">
        <v>184</v>
      </c>
      <c r="J6" s="437"/>
      <c r="K6" s="437"/>
      <c r="L6" s="437"/>
      <c r="M6" s="437"/>
      <c r="N6" s="437"/>
      <c r="O6" s="437"/>
      <c r="P6" s="437"/>
      <c r="Q6" s="437"/>
      <c r="R6" s="437"/>
      <c r="S6" s="437"/>
      <c r="T6" s="437"/>
      <c r="U6" s="437"/>
      <c r="V6" s="437"/>
      <c r="W6" s="437"/>
      <c r="X6" s="437"/>
      <c r="Y6" s="437"/>
      <c r="Z6" s="437"/>
      <c r="AA6" s="437"/>
      <c r="AB6" s="437"/>
      <c r="AC6" s="437"/>
      <c r="AD6" s="437"/>
      <c r="AE6" s="437"/>
      <c r="AF6" s="437"/>
      <c r="AG6" s="437"/>
      <c r="AH6" s="437"/>
      <c r="AI6" s="437"/>
      <c r="AJ6" s="437"/>
      <c r="AK6" s="437"/>
      <c r="AL6" s="437"/>
      <c r="AM6" s="426"/>
      <c r="AN6" s="426"/>
      <c r="AO6" s="426"/>
      <c r="AP6" s="426"/>
      <c r="AQ6" s="426"/>
      <c r="AR6" s="426"/>
      <c r="AS6" s="426"/>
      <c r="AT6" s="426"/>
      <c r="AU6" s="426"/>
      <c r="AV6" s="426"/>
      <c r="AW6" s="426"/>
      <c r="AX6" s="426"/>
      <c r="AY6" s="426"/>
    </row>
    <row r="7" spans="1:51" ht="30" x14ac:dyDescent="0.25">
      <c r="C7" s="424"/>
      <c r="D7" s="424"/>
      <c r="E7" s="424"/>
      <c r="F7" s="424"/>
      <c r="G7" s="424"/>
      <c r="H7" s="424"/>
      <c r="I7" s="159" t="s">
        <v>215</v>
      </c>
      <c r="J7" s="438" t="s">
        <v>281</v>
      </c>
      <c r="K7" s="439" t="s">
        <v>314</v>
      </c>
      <c r="L7" s="439" t="s">
        <v>315</v>
      </c>
      <c r="M7" s="439" t="s">
        <v>317</v>
      </c>
      <c r="N7" s="439" t="s">
        <v>316</v>
      </c>
      <c r="O7" s="439" t="s">
        <v>318</v>
      </c>
      <c r="P7" s="439" t="s">
        <v>319</v>
      </c>
      <c r="Q7" s="439" t="s">
        <v>320</v>
      </c>
      <c r="R7" s="439" t="s">
        <v>321</v>
      </c>
      <c r="S7" s="439" t="s">
        <v>1</v>
      </c>
      <c r="T7" s="439" t="s">
        <v>2</v>
      </c>
      <c r="U7" s="439" t="s">
        <v>416</v>
      </c>
      <c r="V7" s="439" t="s">
        <v>3</v>
      </c>
      <c r="W7" s="439" t="s">
        <v>322</v>
      </c>
      <c r="X7" s="439" t="s">
        <v>323</v>
      </c>
      <c r="Y7" s="439" t="s">
        <v>324</v>
      </c>
      <c r="Z7" s="439" t="s">
        <v>417</v>
      </c>
      <c r="AA7" s="439" t="s">
        <v>325</v>
      </c>
      <c r="AB7" s="439" t="s">
        <v>4</v>
      </c>
      <c r="AC7" s="439" t="s">
        <v>5</v>
      </c>
      <c r="AD7" s="439" t="s">
        <v>6</v>
      </c>
      <c r="AE7" s="439" t="s">
        <v>7</v>
      </c>
      <c r="AF7" s="439" t="s">
        <v>418</v>
      </c>
      <c r="AG7" s="439" t="s">
        <v>8</v>
      </c>
      <c r="AH7" s="439" t="s">
        <v>9</v>
      </c>
      <c r="AI7" s="439" t="s">
        <v>419</v>
      </c>
      <c r="AJ7" s="439" t="s">
        <v>10</v>
      </c>
      <c r="AK7" s="439" t="s">
        <v>420</v>
      </c>
      <c r="AL7" s="439" t="s">
        <v>11</v>
      </c>
      <c r="AM7" s="426"/>
      <c r="AN7" s="426"/>
      <c r="AO7" s="426"/>
      <c r="AP7" s="426"/>
      <c r="AQ7" s="426"/>
      <c r="AR7" s="426"/>
      <c r="AS7" s="426"/>
      <c r="AT7" s="426"/>
      <c r="AU7" s="426"/>
      <c r="AV7" s="426"/>
      <c r="AW7" s="426"/>
      <c r="AX7" s="426"/>
      <c r="AY7" s="426"/>
    </row>
    <row r="8" spans="1:51" ht="15.75" thickBot="1" x14ac:dyDescent="0.3">
      <c r="A8" s="440" t="s">
        <v>27</v>
      </c>
      <c r="B8" s="440" t="s">
        <v>32</v>
      </c>
      <c r="C8" s="440" t="s">
        <v>27</v>
      </c>
      <c r="D8" s="440" t="s">
        <v>32</v>
      </c>
      <c r="E8" s="440" t="s">
        <v>210</v>
      </c>
      <c r="F8" s="441"/>
      <c r="G8" s="441"/>
      <c r="H8" s="441"/>
      <c r="I8" s="440" t="s">
        <v>257</v>
      </c>
      <c r="J8" s="440"/>
      <c r="K8" s="442" t="s">
        <v>327</v>
      </c>
      <c r="L8" s="442" t="s">
        <v>328</v>
      </c>
      <c r="M8" s="442" t="s">
        <v>330</v>
      </c>
      <c r="N8" s="442" t="s">
        <v>329</v>
      </c>
      <c r="O8" s="442" t="s">
        <v>331</v>
      </c>
      <c r="P8" s="442" t="s">
        <v>332</v>
      </c>
      <c r="Q8" s="442" t="s">
        <v>333</v>
      </c>
      <c r="R8" s="442" t="s">
        <v>334</v>
      </c>
      <c r="S8" s="442" t="s">
        <v>87</v>
      </c>
      <c r="T8" s="442" t="s">
        <v>88</v>
      </c>
      <c r="U8" s="442" t="s">
        <v>425</v>
      </c>
      <c r="V8" s="442" t="s">
        <v>463</v>
      </c>
      <c r="W8" s="442" t="s">
        <v>335</v>
      </c>
      <c r="X8" s="442" t="s">
        <v>336</v>
      </c>
      <c r="Y8" s="442" t="s">
        <v>337</v>
      </c>
      <c r="Z8" s="442" t="s">
        <v>427</v>
      </c>
      <c r="AA8" s="442" t="s">
        <v>338</v>
      </c>
      <c r="AB8" s="442" t="s">
        <v>464</v>
      </c>
      <c r="AC8" s="442" t="s">
        <v>89</v>
      </c>
      <c r="AD8" s="442" t="s">
        <v>90</v>
      </c>
      <c r="AE8" s="442" t="s">
        <v>91</v>
      </c>
      <c r="AF8" s="442" t="s">
        <v>429</v>
      </c>
      <c r="AG8" s="442" t="s">
        <v>465</v>
      </c>
      <c r="AH8" s="442" t="s">
        <v>92</v>
      </c>
      <c r="AI8" s="442" t="s">
        <v>431</v>
      </c>
      <c r="AJ8" s="442" t="s">
        <v>466</v>
      </c>
      <c r="AK8" s="442" t="s">
        <v>587</v>
      </c>
      <c r="AL8" s="442" t="s">
        <v>339</v>
      </c>
      <c r="AM8" s="426"/>
      <c r="AN8" s="426"/>
      <c r="AO8" s="426"/>
      <c r="AP8" s="426"/>
      <c r="AQ8" s="426"/>
      <c r="AR8" s="426"/>
      <c r="AS8" s="426"/>
      <c r="AT8" s="426"/>
      <c r="AU8" s="426"/>
      <c r="AV8" s="426"/>
      <c r="AW8" s="426"/>
      <c r="AX8" s="426"/>
      <c r="AY8" s="426"/>
    </row>
    <row r="9" spans="1:51" x14ac:dyDescent="0.25">
      <c r="A9" s="424" t="s">
        <v>122</v>
      </c>
      <c r="B9" s="425" t="s">
        <v>504</v>
      </c>
      <c r="C9" s="425" t="s">
        <v>115</v>
      </c>
      <c r="D9" s="425" t="s">
        <v>368</v>
      </c>
      <c r="E9" s="425" t="s">
        <v>233</v>
      </c>
      <c r="F9" s="443">
        <v>2020</v>
      </c>
      <c r="G9" s="444">
        <v>15</v>
      </c>
      <c r="H9" s="445">
        <v>2020</v>
      </c>
      <c r="I9" s="136">
        <v>0.72</v>
      </c>
      <c r="J9" s="160">
        <v>1</v>
      </c>
      <c r="K9" s="76">
        <f>'Key Inputs_BY Techs'!I$9*'Key Inputs_New Techs'!$J9</f>
        <v>0.72</v>
      </c>
      <c r="L9" s="76">
        <f>'Key Inputs_BY Techs'!J$9*'Key Inputs_New Techs'!$J9</f>
        <v>0.72</v>
      </c>
      <c r="M9" s="76">
        <f>'Key Inputs_BY Techs'!K$9*'Key Inputs_New Techs'!$J9</f>
        <v>0.72</v>
      </c>
      <c r="N9" s="76">
        <f>'Key Inputs_BY Techs'!L$9*'Key Inputs_New Techs'!$J9</f>
        <v>0.72</v>
      </c>
      <c r="O9" s="76">
        <f>'Key Inputs_BY Techs'!M$9*'Key Inputs_New Techs'!$J9</f>
        <v>0.72</v>
      </c>
      <c r="P9" s="76">
        <f>'Key Inputs_BY Techs'!N$9*'Key Inputs_New Techs'!$J9</f>
        <v>0.72</v>
      </c>
      <c r="Q9" s="76">
        <f>'Key Inputs_BY Techs'!O$9*'Key Inputs_New Techs'!$J9</f>
        <v>0.72</v>
      </c>
      <c r="R9" s="76">
        <f>'Key Inputs_BY Techs'!P$9*'Key Inputs_New Techs'!$J9</f>
        <v>0.72</v>
      </c>
      <c r="S9" s="76">
        <f>'Key Inputs_BY Techs'!Q$9*'Key Inputs_New Techs'!$J9</f>
        <v>0.72</v>
      </c>
      <c r="T9" s="76">
        <f>'Key Inputs_BY Techs'!R$9*'Key Inputs_New Techs'!$J9</f>
        <v>0.72</v>
      </c>
      <c r="U9" s="76">
        <f>'Key Inputs_BY Techs'!S$9*'Key Inputs_New Techs'!$J9</f>
        <v>0.72</v>
      </c>
      <c r="V9" s="76">
        <f>'Key Inputs_BY Techs'!T$9*'Key Inputs_New Techs'!$J9</f>
        <v>0.72</v>
      </c>
      <c r="W9" s="76">
        <f>'Key Inputs_BY Techs'!U$9*'Key Inputs_New Techs'!$J9</f>
        <v>0.72</v>
      </c>
      <c r="X9" s="76">
        <f>'Key Inputs_BY Techs'!V$9*'Key Inputs_New Techs'!$J9</f>
        <v>0.72</v>
      </c>
      <c r="Y9" s="76">
        <f>'Key Inputs_BY Techs'!W$9*'Key Inputs_New Techs'!$J9</f>
        <v>0.72</v>
      </c>
      <c r="Z9" s="76">
        <f>'Key Inputs_BY Techs'!X$9*'Key Inputs_New Techs'!$J9</f>
        <v>0.72</v>
      </c>
      <c r="AA9" s="76">
        <f>'Key Inputs_BY Techs'!Y$9*'Key Inputs_New Techs'!$J9</f>
        <v>0.72</v>
      </c>
      <c r="AB9" s="76">
        <f>'Key Inputs_BY Techs'!Z$9*'Key Inputs_New Techs'!$J9</f>
        <v>0.72</v>
      </c>
      <c r="AC9" s="76">
        <f>'Key Inputs_BY Techs'!AA$9*'Key Inputs_New Techs'!$J9</f>
        <v>0.72</v>
      </c>
      <c r="AD9" s="76">
        <f>'Key Inputs_BY Techs'!AB$9*'Key Inputs_New Techs'!$J9</f>
        <v>0.72</v>
      </c>
      <c r="AE9" s="76">
        <f>'Key Inputs_BY Techs'!AC$9*'Key Inputs_New Techs'!$J9</f>
        <v>0.72</v>
      </c>
      <c r="AF9" s="76">
        <f>'Key Inputs_BY Techs'!AD$9*'Key Inputs_New Techs'!$J9</f>
        <v>0.72</v>
      </c>
      <c r="AG9" s="76">
        <f>'Key Inputs_BY Techs'!AE$9*'Key Inputs_New Techs'!$J9</f>
        <v>0.72</v>
      </c>
      <c r="AH9" s="76">
        <f>'Key Inputs_BY Techs'!AF$9*'Key Inputs_New Techs'!$J9</f>
        <v>0.72</v>
      </c>
      <c r="AI9" s="76">
        <f>'Key Inputs_BY Techs'!AG$9*'Key Inputs_New Techs'!$J9</f>
        <v>0.72</v>
      </c>
      <c r="AJ9" s="76">
        <f>'Key Inputs_BY Techs'!AH$9*'Key Inputs_New Techs'!$J9</f>
        <v>0.72</v>
      </c>
      <c r="AK9" s="76">
        <f>'Key Inputs_BY Techs'!AI$9*'Key Inputs_New Techs'!$J9</f>
        <v>0.72</v>
      </c>
      <c r="AL9" s="76">
        <f>'Key Inputs_BY Techs'!AJ$9*'Key Inputs_New Techs'!$J9</f>
        <v>0.72</v>
      </c>
      <c r="AM9" s="426"/>
      <c r="AN9" s="426"/>
      <c r="AO9" s="426"/>
      <c r="AP9" s="426"/>
      <c r="AQ9" s="426"/>
      <c r="AR9" s="426"/>
      <c r="AS9" s="426"/>
      <c r="AT9" s="426"/>
      <c r="AU9" s="426"/>
      <c r="AV9" s="426"/>
      <c r="AW9" s="426"/>
      <c r="AX9" s="426"/>
      <c r="AY9" s="426"/>
    </row>
    <row r="10" spans="1:51" x14ac:dyDescent="0.25">
      <c r="A10" s="424" t="s">
        <v>122</v>
      </c>
      <c r="B10" s="425" t="s">
        <v>505</v>
      </c>
      <c r="C10" s="425" t="s">
        <v>115</v>
      </c>
      <c r="D10" s="425" t="s">
        <v>368</v>
      </c>
      <c r="E10" s="425" t="s">
        <v>235</v>
      </c>
      <c r="F10" s="443">
        <v>2025</v>
      </c>
      <c r="G10" s="443">
        <v>15</v>
      </c>
      <c r="H10" s="445">
        <v>2025</v>
      </c>
      <c r="I10" s="134">
        <v>0.72</v>
      </c>
      <c r="J10" s="161">
        <v>1</v>
      </c>
      <c r="K10" s="76">
        <f>'Key Inputs_BY Techs'!I$9*'Key Inputs_New Techs'!$J10</f>
        <v>0.72</v>
      </c>
      <c r="L10" s="76">
        <f>'Key Inputs_BY Techs'!J$9*'Key Inputs_New Techs'!$J10</f>
        <v>0.72</v>
      </c>
      <c r="M10" s="76">
        <f>'Key Inputs_BY Techs'!K$9*'Key Inputs_New Techs'!$J10</f>
        <v>0.72</v>
      </c>
      <c r="N10" s="76">
        <f>'Key Inputs_BY Techs'!L$9*'Key Inputs_New Techs'!$J10</f>
        <v>0.72</v>
      </c>
      <c r="O10" s="76">
        <f>'Key Inputs_BY Techs'!M$9*'Key Inputs_New Techs'!$J10</f>
        <v>0.72</v>
      </c>
      <c r="P10" s="76">
        <f>'Key Inputs_BY Techs'!N$9*'Key Inputs_New Techs'!$J10</f>
        <v>0.72</v>
      </c>
      <c r="Q10" s="76">
        <f>'Key Inputs_BY Techs'!O$9*'Key Inputs_New Techs'!$J10</f>
        <v>0.72</v>
      </c>
      <c r="R10" s="76">
        <f>'Key Inputs_BY Techs'!P$9*'Key Inputs_New Techs'!$J10</f>
        <v>0.72</v>
      </c>
      <c r="S10" s="76">
        <f>'Key Inputs_BY Techs'!Q$9*'Key Inputs_New Techs'!$J10</f>
        <v>0.72</v>
      </c>
      <c r="T10" s="76">
        <f>'Key Inputs_BY Techs'!R$9*'Key Inputs_New Techs'!$J10</f>
        <v>0.72</v>
      </c>
      <c r="U10" s="76">
        <f>'Key Inputs_BY Techs'!S$9*'Key Inputs_New Techs'!$J10</f>
        <v>0.72</v>
      </c>
      <c r="V10" s="76">
        <f>'Key Inputs_BY Techs'!T$9*'Key Inputs_New Techs'!$J10</f>
        <v>0.72</v>
      </c>
      <c r="W10" s="76">
        <f>'Key Inputs_BY Techs'!U$9*'Key Inputs_New Techs'!$J10</f>
        <v>0.72</v>
      </c>
      <c r="X10" s="76">
        <f>'Key Inputs_BY Techs'!V$9*'Key Inputs_New Techs'!$J10</f>
        <v>0.72</v>
      </c>
      <c r="Y10" s="76">
        <f>'Key Inputs_BY Techs'!W$9*'Key Inputs_New Techs'!$J10</f>
        <v>0.72</v>
      </c>
      <c r="Z10" s="76">
        <f>'Key Inputs_BY Techs'!X$9*'Key Inputs_New Techs'!$J10</f>
        <v>0.72</v>
      </c>
      <c r="AA10" s="76">
        <f>'Key Inputs_BY Techs'!Y$9*'Key Inputs_New Techs'!$J10</f>
        <v>0.72</v>
      </c>
      <c r="AB10" s="76">
        <f>'Key Inputs_BY Techs'!Z$9*'Key Inputs_New Techs'!$J10</f>
        <v>0.72</v>
      </c>
      <c r="AC10" s="76">
        <f>'Key Inputs_BY Techs'!AA$9*'Key Inputs_New Techs'!$J10</f>
        <v>0.72</v>
      </c>
      <c r="AD10" s="76">
        <f>'Key Inputs_BY Techs'!AB$9*'Key Inputs_New Techs'!$J10</f>
        <v>0.72</v>
      </c>
      <c r="AE10" s="76">
        <f>'Key Inputs_BY Techs'!AC$9*'Key Inputs_New Techs'!$J10</f>
        <v>0.72</v>
      </c>
      <c r="AF10" s="76">
        <f>'Key Inputs_BY Techs'!AD$9*'Key Inputs_New Techs'!$J10</f>
        <v>0.72</v>
      </c>
      <c r="AG10" s="76">
        <f>'Key Inputs_BY Techs'!AE$9*'Key Inputs_New Techs'!$J10</f>
        <v>0.72</v>
      </c>
      <c r="AH10" s="76">
        <f>'Key Inputs_BY Techs'!AF$9*'Key Inputs_New Techs'!$J10</f>
        <v>0.72</v>
      </c>
      <c r="AI10" s="76">
        <f>'Key Inputs_BY Techs'!AG$9*'Key Inputs_New Techs'!$J10</f>
        <v>0.72</v>
      </c>
      <c r="AJ10" s="76">
        <f>'Key Inputs_BY Techs'!AH$9*'Key Inputs_New Techs'!$J10</f>
        <v>0.72</v>
      </c>
      <c r="AK10" s="76">
        <f>'Key Inputs_BY Techs'!AI$9*'Key Inputs_New Techs'!$J10</f>
        <v>0.72</v>
      </c>
      <c r="AL10" s="76">
        <f>'Key Inputs_BY Techs'!AJ$9*'Key Inputs_New Techs'!$J10</f>
        <v>0.72</v>
      </c>
      <c r="AM10" s="426"/>
      <c r="AN10" s="426"/>
      <c r="AO10" s="426"/>
      <c r="AP10" s="426"/>
      <c r="AQ10" s="426"/>
      <c r="AR10" s="426"/>
      <c r="AS10" s="426"/>
      <c r="AT10" s="426"/>
      <c r="AU10" s="426"/>
      <c r="AV10" s="426"/>
      <c r="AW10" s="426"/>
      <c r="AX10" s="426"/>
      <c r="AY10" s="426"/>
    </row>
    <row r="11" spans="1:51" x14ac:dyDescent="0.25">
      <c r="C11" s="424"/>
      <c r="D11" s="424"/>
      <c r="E11" s="424"/>
      <c r="F11" s="446"/>
      <c r="G11" s="446"/>
      <c r="H11" s="445">
        <v>2030</v>
      </c>
      <c r="I11" s="134">
        <v>0.77208496722682796</v>
      </c>
      <c r="J11" s="161">
        <v>1.0723402322594833</v>
      </c>
      <c r="K11" s="76">
        <f>'Key Inputs_BY Techs'!I$9*'Key Inputs_New Techs'!$J11</f>
        <v>0.77208496722682796</v>
      </c>
      <c r="L11" s="76">
        <f>'Key Inputs_BY Techs'!J$9*'Key Inputs_New Techs'!$J11</f>
        <v>0.77208496722682796</v>
      </c>
      <c r="M11" s="76">
        <f>'Key Inputs_BY Techs'!K$9*'Key Inputs_New Techs'!$J11</f>
        <v>0.77208496722682796</v>
      </c>
      <c r="N11" s="76">
        <f>'Key Inputs_BY Techs'!L$9*'Key Inputs_New Techs'!$J11</f>
        <v>0.77208496722682796</v>
      </c>
      <c r="O11" s="76">
        <f>'Key Inputs_BY Techs'!M$9*'Key Inputs_New Techs'!$J11</f>
        <v>0.77208496722682796</v>
      </c>
      <c r="P11" s="76">
        <f>'Key Inputs_BY Techs'!N$9*'Key Inputs_New Techs'!$J11</f>
        <v>0.77208496722682796</v>
      </c>
      <c r="Q11" s="76">
        <f>'Key Inputs_BY Techs'!O$9*'Key Inputs_New Techs'!$J11</f>
        <v>0.77208496722682796</v>
      </c>
      <c r="R11" s="76">
        <f>'Key Inputs_BY Techs'!P$9*'Key Inputs_New Techs'!$J11</f>
        <v>0.77208496722682796</v>
      </c>
      <c r="S11" s="76">
        <f>'Key Inputs_BY Techs'!Q$9*'Key Inputs_New Techs'!$J11</f>
        <v>0.77208496722682796</v>
      </c>
      <c r="T11" s="76">
        <f>'Key Inputs_BY Techs'!R$9*'Key Inputs_New Techs'!$J11</f>
        <v>0.77208496722682796</v>
      </c>
      <c r="U11" s="76">
        <f>'Key Inputs_BY Techs'!S$9*'Key Inputs_New Techs'!$J11</f>
        <v>0.77208496722682796</v>
      </c>
      <c r="V11" s="76">
        <f>'Key Inputs_BY Techs'!T$9*'Key Inputs_New Techs'!$J11</f>
        <v>0.77208496722682796</v>
      </c>
      <c r="W11" s="76">
        <f>'Key Inputs_BY Techs'!U$9*'Key Inputs_New Techs'!$J11</f>
        <v>0.77208496722682796</v>
      </c>
      <c r="X11" s="76">
        <f>'Key Inputs_BY Techs'!V$9*'Key Inputs_New Techs'!$J11</f>
        <v>0.77208496722682796</v>
      </c>
      <c r="Y11" s="76">
        <f>'Key Inputs_BY Techs'!W$9*'Key Inputs_New Techs'!$J11</f>
        <v>0.77208496722682796</v>
      </c>
      <c r="Z11" s="76">
        <f>'Key Inputs_BY Techs'!X$9*'Key Inputs_New Techs'!$J11</f>
        <v>0.77208496722682796</v>
      </c>
      <c r="AA11" s="76">
        <f>'Key Inputs_BY Techs'!Y$9*'Key Inputs_New Techs'!$J11</f>
        <v>0.77208496722682796</v>
      </c>
      <c r="AB11" s="76">
        <f>'Key Inputs_BY Techs'!Z$9*'Key Inputs_New Techs'!$J11</f>
        <v>0.77208496722682796</v>
      </c>
      <c r="AC11" s="76">
        <f>'Key Inputs_BY Techs'!AA$9*'Key Inputs_New Techs'!$J11</f>
        <v>0.77208496722682796</v>
      </c>
      <c r="AD11" s="76">
        <f>'Key Inputs_BY Techs'!AB$9*'Key Inputs_New Techs'!$J11</f>
        <v>0.77208496722682796</v>
      </c>
      <c r="AE11" s="76">
        <f>'Key Inputs_BY Techs'!AC$9*'Key Inputs_New Techs'!$J11</f>
        <v>0.77208496722682796</v>
      </c>
      <c r="AF11" s="76">
        <f>'Key Inputs_BY Techs'!AD$9*'Key Inputs_New Techs'!$J11</f>
        <v>0.77208496722682796</v>
      </c>
      <c r="AG11" s="76">
        <f>'Key Inputs_BY Techs'!AE$9*'Key Inputs_New Techs'!$J11</f>
        <v>0.77208496722682796</v>
      </c>
      <c r="AH11" s="76">
        <f>'Key Inputs_BY Techs'!AF$9*'Key Inputs_New Techs'!$J11</f>
        <v>0.77208496722682796</v>
      </c>
      <c r="AI11" s="76">
        <f>'Key Inputs_BY Techs'!AG$9*'Key Inputs_New Techs'!$J11</f>
        <v>0.77208496722682796</v>
      </c>
      <c r="AJ11" s="76">
        <f>'Key Inputs_BY Techs'!AH$9*'Key Inputs_New Techs'!$J11</f>
        <v>0.77208496722682796</v>
      </c>
      <c r="AK11" s="76">
        <f>'Key Inputs_BY Techs'!AI$9*'Key Inputs_New Techs'!$J11</f>
        <v>0.77208496722682796</v>
      </c>
      <c r="AL11" s="76">
        <f>'Key Inputs_BY Techs'!AJ$9*'Key Inputs_New Techs'!$J11</f>
        <v>0.77208496722682796</v>
      </c>
      <c r="AM11" s="426"/>
      <c r="AN11" s="426"/>
      <c r="AO11" s="426"/>
      <c r="AP11" s="426"/>
      <c r="AQ11" s="426"/>
      <c r="AR11" s="426"/>
      <c r="AS11" s="426"/>
      <c r="AT11" s="426"/>
      <c r="AU11" s="426"/>
      <c r="AV11" s="426"/>
      <c r="AW11" s="426"/>
      <c r="AX11" s="426"/>
      <c r="AY11" s="426"/>
    </row>
    <row r="12" spans="1:51" x14ac:dyDescent="0.25">
      <c r="A12" s="424" t="s">
        <v>122</v>
      </c>
      <c r="B12" s="425" t="s">
        <v>506</v>
      </c>
      <c r="C12" s="425" t="s">
        <v>115</v>
      </c>
      <c r="D12" s="425" t="s">
        <v>368</v>
      </c>
      <c r="E12" s="425" t="s">
        <v>272</v>
      </c>
      <c r="F12" s="443">
        <v>2030</v>
      </c>
      <c r="G12" s="443">
        <v>15</v>
      </c>
      <c r="H12" s="445">
        <v>2030</v>
      </c>
      <c r="I12" s="134">
        <v>0.79301947715886789</v>
      </c>
      <c r="J12" s="161">
        <v>1.1014159404984276</v>
      </c>
      <c r="K12" s="76">
        <f>'Key Inputs_BY Techs'!I$9*'Key Inputs_New Techs'!$J12</f>
        <v>0.79301947715886789</v>
      </c>
      <c r="L12" s="76">
        <f>'Key Inputs_BY Techs'!J$9*'Key Inputs_New Techs'!$J12</f>
        <v>0.79301947715886789</v>
      </c>
      <c r="M12" s="76">
        <f>'Key Inputs_BY Techs'!K$9*'Key Inputs_New Techs'!$J12</f>
        <v>0.79301947715886789</v>
      </c>
      <c r="N12" s="76">
        <f>'Key Inputs_BY Techs'!L$9*'Key Inputs_New Techs'!$J12</f>
        <v>0.79301947715886789</v>
      </c>
      <c r="O12" s="76">
        <f>'Key Inputs_BY Techs'!M$9*'Key Inputs_New Techs'!$J12</f>
        <v>0.79301947715886789</v>
      </c>
      <c r="P12" s="76">
        <f>'Key Inputs_BY Techs'!N$9*'Key Inputs_New Techs'!$J12</f>
        <v>0.79301947715886789</v>
      </c>
      <c r="Q12" s="76">
        <f>'Key Inputs_BY Techs'!O$9*'Key Inputs_New Techs'!$J12</f>
        <v>0.79301947715886789</v>
      </c>
      <c r="R12" s="76">
        <f>'Key Inputs_BY Techs'!P$9*'Key Inputs_New Techs'!$J12</f>
        <v>0.79301947715886789</v>
      </c>
      <c r="S12" s="76">
        <f>'Key Inputs_BY Techs'!Q$9*'Key Inputs_New Techs'!$J12</f>
        <v>0.79301947715886789</v>
      </c>
      <c r="T12" s="76">
        <f>'Key Inputs_BY Techs'!R$9*'Key Inputs_New Techs'!$J12</f>
        <v>0.79301947715886789</v>
      </c>
      <c r="U12" s="76">
        <f>'Key Inputs_BY Techs'!S$9*'Key Inputs_New Techs'!$J12</f>
        <v>0.79301947715886789</v>
      </c>
      <c r="V12" s="76">
        <f>'Key Inputs_BY Techs'!T$9*'Key Inputs_New Techs'!$J12</f>
        <v>0.79301947715886789</v>
      </c>
      <c r="W12" s="76">
        <f>'Key Inputs_BY Techs'!U$9*'Key Inputs_New Techs'!$J12</f>
        <v>0.79301947715886789</v>
      </c>
      <c r="X12" s="76">
        <f>'Key Inputs_BY Techs'!V$9*'Key Inputs_New Techs'!$J12</f>
        <v>0.79301947715886789</v>
      </c>
      <c r="Y12" s="76">
        <f>'Key Inputs_BY Techs'!W$9*'Key Inputs_New Techs'!$J12</f>
        <v>0.79301947715886789</v>
      </c>
      <c r="Z12" s="76">
        <f>'Key Inputs_BY Techs'!X$9*'Key Inputs_New Techs'!$J12</f>
        <v>0.79301947715886789</v>
      </c>
      <c r="AA12" s="76">
        <f>'Key Inputs_BY Techs'!Y$9*'Key Inputs_New Techs'!$J12</f>
        <v>0.79301947715886789</v>
      </c>
      <c r="AB12" s="76">
        <f>'Key Inputs_BY Techs'!Z$9*'Key Inputs_New Techs'!$J12</f>
        <v>0.79301947715886789</v>
      </c>
      <c r="AC12" s="76">
        <f>'Key Inputs_BY Techs'!AA$9*'Key Inputs_New Techs'!$J12</f>
        <v>0.79301947715886789</v>
      </c>
      <c r="AD12" s="76">
        <f>'Key Inputs_BY Techs'!AB$9*'Key Inputs_New Techs'!$J12</f>
        <v>0.79301947715886789</v>
      </c>
      <c r="AE12" s="76">
        <f>'Key Inputs_BY Techs'!AC$9*'Key Inputs_New Techs'!$J12</f>
        <v>0.79301947715886789</v>
      </c>
      <c r="AF12" s="76">
        <f>'Key Inputs_BY Techs'!AD$9*'Key Inputs_New Techs'!$J12</f>
        <v>0.79301947715886789</v>
      </c>
      <c r="AG12" s="76">
        <f>'Key Inputs_BY Techs'!AE$9*'Key Inputs_New Techs'!$J12</f>
        <v>0.79301947715886789</v>
      </c>
      <c r="AH12" s="76">
        <f>'Key Inputs_BY Techs'!AF$9*'Key Inputs_New Techs'!$J12</f>
        <v>0.79301947715886789</v>
      </c>
      <c r="AI12" s="76">
        <f>'Key Inputs_BY Techs'!AG$9*'Key Inputs_New Techs'!$J12</f>
        <v>0.79301947715886789</v>
      </c>
      <c r="AJ12" s="76">
        <f>'Key Inputs_BY Techs'!AH$9*'Key Inputs_New Techs'!$J12</f>
        <v>0.79301947715886789</v>
      </c>
      <c r="AK12" s="76">
        <f>'Key Inputs_BY Techs'!AI$9*'Key Inputs_New Techs'!$J12</f>
        <v>0.79301947715886789</v>
      </c>
      <c r="AL12" s="76">
        <f>'Key Inputs_BY Techs'!AJ$9*'Key Inputs_New Techs'!$J12</f>
        <v>0.79301947715886789</v>
      </c>
      <c r="AM12" s="426"/>
      <c r="AN12" s="426"/>
      <c r="AO12" s="447"/>
      <c r="AP12" s="426"/>
      <c r="AQ12" s="447"/>
      <c r="AR12" s="447"/>
      <c r="AS12" s="447"/>
      <c r="AT12" s="447"/>
      <c r="AU12" s="447"/>
      <c r="AV12" s="426"/>
      <c r="AW12" s="426"/>
      <c r="AX12" s="426"/>
      <c r="AY12" s="426"/>
    </row>
    <row r="13" spans="1:51" x14ac:dyDescent="0.25">
      <c r="B13" s="425"/>
      <c r="F13" s="443"/>
      <c r="G13" s="443"/>
      <c r="H13" s="445">
        <v>2050</v>
      </c>
      <c r="I13" s="134">
        <v>0.81000000000000016</v>
      </c>
      <c r="J13" s="161">
        <v>1.1250000000000002</v>
      </c>
      <c r="K13" s="76">
        <f>'Key Inputs_BY Techs'!I$9*'Key Inputs_New Techs'!$J13</f>
        <v>0.81000000000000016</v>
      </c>
      <c r="L13" s="76">
        <f>'Key Inputs_BY Techs'!J$9*'Key Inputs_New Techs'!$J13</f>
        <v>0.81000000000000016</v>
      </c>
      <c r="M13" s="76">
        <f>'Key Inputs_BY Techs'!K$9*'Key Inputs_New Techs'!$J13</f>
        <v>0.81000000000000016</v>
      </c>
      <c r="N13" s="76">
        <f>'Key Inputs_BY Techs'!L$9*'Key Inputs_New Techs'!$J13</f>
        <v>0.81000000000000016</v>
      </c>
      <c r="O13" s="76">
        <f>'Key Inputs_BY Techs'!M$9*'Key Inputs_New Techs'!$J13</f>
        <v>0.81000000000000016</v>
      </c>
      <c r="P13" s="76">
        <f>'Key Inputs_BY Techs'!N$9*'Key Inputs_New Techs'!$J13</f>
        <v>0.81000000000000016</v>
      </c>
      <c r="Q13" s="76">
        <f>'Key Inputs_BY Techs'!O$9*'Key Inputs_New Techs'!$J13</f>
        <v>0.81000000000000016</v>
      </c>
      <c r="R13" s="76">
        <f>'Key Inputs_BY Techs'!P$9*'Key Inputs_New Techs'!$J13</f>
        <v>0.81000000000000016</v>
      </c>
      <c r="S13" s="76">
        <f>'Key Inputs_BY Techs'!Q$9*'Key Inputs_New Techs'!$J13</f>
        <v>0.81000000000000016</v>
      </c>
      <c r="T13" s="76">
        <f>'Key Inputs_BY Techs'!R$9*'Key Inputs_New Techs'!$J13</f>
        <v>0.81000000000000016</v>
      </c>
      <c r="U13" s="76">
        <f>'Key Inputs_BY Techs'!S$9*'Key Inputs_New Techs'!$J13</f>
        <v>0.81000000000000016</v>
      </c>
      <c r="V13" s="76">
        <f>'Key Inputs_BY Techs'!T$9*'Key Inputs_New Techs'!$J13</f>
        <v>0.81000000000000016</v>
      </c>
      <c r="W13" s="76">
        <f>'Key Inputs_BY Techs'!U$9*'Key Inputs_New Techs'!$J13</f>
        <v>0.81000000000000016</v>
      </c>
      <c r="X13" s="76">
        <f>'Key Inputs_BY Techs'!V$9*'Key Inputs_New Techs'!$J13</f>
        <v>0.81000000000000016</v>
      </c>
      <c r="Y13" s="76">
        <f>'Key Inputs_BY Techs'!W$9*'Key Inputs_New Techs'!$J13</f>
        <v>0.81000000000000016</v>
      </c>
      <c r="Z13" s="76">
        <f>'Key Inputs_BY Techs'!X$9*'Key Inputs_New Techs'!$J13</f>
        <v>0.81000000000000016</v>
      </c>
      <c r="AA13" s="76">
        <f>'Key Inputs_BY Techs'!Y$9*'Key Inputs_New Techs'!$J13</f>
        <v>0.81000000000000016</v>
      </c>
      <c r="AB13" s="76">
        <f>'Key Inputs_BY Techs'!Z$9*'Key Inputs_New Techs'!$J13</f>
        <v>0.81000000000000016</v>
      </c>
      <c r="AC13" s="76">
        <f>'Key Inputs_BY Techs'!AA$9*'Key Inputs_New Techs'!$J13</f>
        <v>0.81000000000000016</v>
      </c>
      <c r="AD13" s="76">
        <f>'Key Inputs_BY Techs'!AB$9*'Key Inputs_New Techs'!$J13</f>
        <v>0.81000000000000016</v>
      </c>
      <c r="AE13" s="76">
        <f>'Key Inputs_BY Techs'!AC$9*'Key Inputs_New Techs'!$J13</f>
        <v>0.81000000000000016</v>
      </c>
      <c r="AF13" s="76">
        <f>'Key Inputs_BY Techs'!AD$9*'Key Inputs_New Techs'!$J13</f>
        <v>0.81000000000000016</v>
      </c>
      <c r="AG13" s="76">
        <f>'Key Inputs_BY Techs'!AE$9*'Key Inputs_New Techs'!$J13</f>
        <v>0.81000000000000016</v>
      </c>
      <c r="AH13" s="76">
        <f>'Key Inputs_BY Techs'!AF$9*'Key Inputs_New Techs'!$J13</f>
        <v>0.81000000000000016</v>
      </c>
      <c r="AI13" s="76">
        <f>'Key Inputs_BY Techs'!AG$9*'Key Inputs_New Techs'!$J13</f>
        <v>0.81000000000000016</v>
      </c>
      <c r="AJ13" s="76">
        <f>'Key Inputs_BY Techs'!AH$9*'Key Inputs_New Techs'!$J13</f>
        <v>0.81000000000000016</v>
      </c>
      <c r="AK13" s="76">
        <f>'Key Inputs_BY Techs'!AI$9*'Key Inputs_New Techs'!$J13</f>
        <v>0.81000000000000016</v>
      </c>
      <c r="AL13" s="76">
        <f>'Key Inputs_BY Techs'!AJ$9*'Key Inputs_New Techs'!$J13</f>
        <v>0.81000000000000016</v>
      </c>
      <c r="AM13" s="426"/>
      <c r="AN13" s="426"/>
      <c r="AO13" s="426"/>
      <c r="AP13" s="426"/>
      <c r="AQ13" s="426"/>
      <c r="AR13" s="426"/>
      <c r="AS13" s="426"/>
      <c r="AT13" s="426"/>
      <c r="AU13" s="426"/>
      <c r="AV13" s="426"/>
      <c r="AW13" s="426"/>
      <c r="AX13" s="426"/>
      <c r="AY13" s="426"/>
    </row>
    <row r="14" spans="1:51" x14ac:dyDescent="0.25">
      <c r="A14" s="424" t="s">
        <v>122</v>
      </c>
      <c r="B14" s="425" t="s">
        <v>507</v>
      </c>
      <c r="C14" s="425" t="s">
        <v>19</v>
      </c>
      <c r="D14" s="425" t="s">
        <v>105</v>
      </c>
      <c r="E14" s="425" t="s">
        <v>237</v>
      </c>
      <c r="F14" s="443">
        <v>2020</v>
      </c>
      <c r="G14" s="444">
        <v>15</v>
      </c>
      <c r="H14" s="445">
        <v>2020</v>
      </c>
      <c r="I14" s="134">
        <f>237.796945788085%</f>
        <v>2.3779694578808499</v>
      </c>
      <c r="J14" s="161">
        <v>1</v>
      </c>
      <c r="K14" s="76">
        <f>'Key Inputs_BY Techs'!I$11*'Key Inputs_New Techs'!$J14</f>
        <v>2.6656</v>
      </c>
      <c r="L14" s="76">
        <f>'Key Inputs_BY Techs'!J$11*'Key Inputs_New Techs'!$J14</f>
        <v>2.6656</v>
      </c>
      <c r="M14" s="76">
        <f>'Key Inputs_BY Techs'!K$11*'Key Inputs_New Techs'!$J14</f>
        <v>2.6656</v>
      </c>
      <c r="N14" s="76">
        <f>'Key Inputs_BY Techs'!L$11*'Key Inputs_New Techs'!$J14</f>
        <v>2.6656</v>
      </c>
      <c r="O14" s="76">
        <f>'Key Inputs_BY Techs'!M$11*'Key Inputs_New Techs'!$J14</f>
        <v>2.38</v>
      </c>
      <c r="P14" s="76">
        <f>'Key Inputs_BY Techs'!N$11*'Key Inputs_New Techs'!$J14</f>
        <v>1.9753999999999998</v>
      </c>
      <c r="Q14" s="76">
        <f>'Key Inputs_BY Techs'!O$11*'Key Inputs_New Techs'!$J14</f>
        <v>1.9753999999999998</v>
      </c>
      <c r="R14" s="76">
        <f>'Key Inputs_BY Techs'!P$11*'Key Inputs_New Techs'!$J14</f>
        <v>2.38</v>
      </c>
      <c r="S14" s="76">
        <f>'Key Inputs_BY Techs'!Q$11*'Key Inputs_New Techs'!$J14</f>
        <v>2.6656</v>
      </c>
      <c r="T14" s="76">
        <f>'Key Inputs_BY Techs'!R$11*'Key Inputs_New Techs'!$J14</f>
        <v>2.38</v>
      </c>
      <c r="U14" s="76">
        <f>'Key Inputs_BY Techs'!S$11*'Key Inputs_New Techs'!$J14</f>
        <v>2.6656</v>
      </c>
      <c r="V14" s="76">
        <f>'Key Inputs_BY Techs'!T$11*'Key Inputs_New Techs'!$J14</f>
        <v>1.9753999999999998</v>
      </c>
      <c r="W14" s="76">
        <f>'Key Inputs_BY Techs'!U$11*'Key Inputs_New Techs'!$J14</f>
        <v>2.6656</v>
      </c>
      <c r="X14" s="76">
        <f>'Key Inputs_BY Techs'!V$11*'Key Inputs_New Techs'!$J14</f>
        <v>2.6656</v>
      </c>
      <c r="Y14" s="76">
        <f>'Key Inputs_BY Techs'!W$11*'Key Inputs_New Techs'!$J14</f>
        <v>2.6656</v>
      </c>
      <c r="Z14" s="76">
        <f>'Key Inputs_BY Techs'!X$11*'Key Inputs_New Techs'!$J14</f>
        <v>1.9753999999999998</v>
      </c>
      <c r="AA14" s="76">
        <f>'Key Inputs_BY Techs'!Y$11*'Key Inputs_New Techs'!$J14</f>
        <v>1.9753999999999998</v>
      </c>
      <c r="AB14" s="76">
        <f>'Key Inputs_BY Techs'!Z$11*'Key Inputs_New Techs'!$J14</f>
        <v>1.9753999999999998</v>
      </c>
      <c r="AC14" s="76">
        <f>'Key Inputs_BY Techs'!AA$11*'Key Inputs_New Techs'!$J14</f>
        <v>2.38</v>
      </c>
      <c r="AD14" s="76">
        <f>'Key Inputs_BY Techs'!AB$11*'Key Inputs_New Techs'!$J14</f>
        <v>2.38</v>
      </c>
      <c r="AE14" s="76">
        <f>'Key Inputs_BY Techs'!AC$11*'Key Inputs_New Techs'!$J14</f>
        <v>2.6656</v>
      </c>
      <c r="AF14" s="76">
        <f>'Key Inputs_BY Techs'!AD$11*'Key Inputs_New Techs'!$J14</f>
        <v>2.6656</v>
      </c>
      <c r="AG14" s="76">
        <f>'Key Inputs_BY Techs'!AE$11*'Key Inputs_New Techs'!$J14</f>
        <v>2.6656</v>
      </c>
      <c r="AH14" s="76">
        <f>'Key Inputs_BY Techs'!AF$11*'Key Inputs_New Techs'!$J14</f>
        <v>2.6656</v>
      </c>
      <c r="AI14" s="76">
        <f>'Key Inputs_BY Techs'!AG$11*'Key Inputs_New Techs'!$J14</f>
        <v>2.6656</v>
      </c>
      <c r="AJ14" s="76">
        <f>'Key Inputs_BY Techs'!AH$11*'Key Inputs_New Techs'!$J14</f>
        <v>2.6656</v>
      </c>
      <c r="AK14" s="76">
        <f>'Key Inputs_BY Techs'!AI$11*'Key Inputs_New Techs'!$J14</f>
        <v>1.9753999999999998</v>
      </c>
      <c r="AL14" s="76">
        <f>'Key Inputs_BY Techs'!AJ$11*'Key Inputs_New Techs'!$J14</f>
        <v>1.9753999999999998</v>
      </c>
      <c r="AM14" s="426"/>
      <c r="AN14" s="426"/>
      <c r="AO14" s="426"/>
      <c r="AP14" s="426"/>
      <c r="AQ14" s="426"/>
      <c r="AR14" s="426"/>
      <c r="AS14" s="426"/>
      <c r="AT14" s="426"/>
      <c r="AU14" s="426"/>
      <c r="AV14" s="426"/>
      <c r="AW14" s="426"/>
      <c r="AX14" s="426"/>
      <c r="AY14" s="426"/>
    </row>
    <row r="15" spans="1:51" x14ac:dyDescent="0.25">
      <c r="A15" s="424" t="s">
        <v>122</v>
      </c>
      <c r="B15" s="425" t="s">
        <v>508</v>
      </c>
      <c r="C15" s="425" t="s">
        <v>19</v>
      </c>
      <c r="D15" s="425" t="s">
        <v>105</v>
      </c>
      <c r="E15" s="425" t="s">
        <v>238</v>
      </c>
      <c r="F15" s="443">
        <v>2025</v>
      </c>
      <c r="G15" s="443">
        <v>15</v>
      </c>
      <c r="H15" s="445">
        <v>2025</v>
      </c>
      <c r="I15" s="134">
        <f>237.796945788085%</f>
        <v>2.3779694578808499</v>
      </c>
      <c r="J15" s="161">
        <v>1</v>
      </c>
      <c r="K15" s="76">
        <f>'Key Inputs_BY Techs'!I$11*'Key Inputs_New Techs'!$J15</f>
        <v>2.6656</v>
      </c>
      <c r="L15" s="76">
        <f>'Key Inputs_BY Techs'!J$11*'Key Inputs_New Techs'!$J15</f>
        <v>2.6656</v>
      </c>
      <c r="M15" s="76">
        <f>'Key Inputs_BY Techs'!K$11*'Key Inputs_New Techs'!$J15</f>
        <v>2.6656</v>
      </c>
      <c r="N15" s="76">
        <f>'Key Inputs_BY Techs'!L$11*'Key Inputs_New Techs'!$J15</f>
        <v>2.6656</v>
      </c>
      <c r="O15" s="76">
        <f>'Key Inputs_BY Techs'!M$11*'Key Inputs_New Techs'!$J15</f>
        <v>2.38</v>
      </c>
      <c r="P15" s="76">
        <f>'Key Inputs_BY Techs'!N$11*'Key Inputs_New Techs'!$J15</f>
        <v>1.9753999999999998</v>
      </c>
      <c r="Q15" s="76">
        <f>'Key Inputs_BY Techs'!O$11*'Key Inputs_New Techs'!$J15</f>
        <v>1.9753999999999998</v>
      </c>
      <c r="R15" s="76">
        <f>'Key Inputs_BY Techs'!P$11*'Key Inputs_New Techs'!$J15</f>
        <v>2.38</v>
      </c>
      <c r="S15" s="76">
        <f>'Key Inputs_BY Techs'!Q$11*'Key Inputs_New Techs'!$J15</f>
        <v>2.6656</v>
      </c>
      <c r="T15" s="76">
        <f>'Key Inputs_BY Techs'!R$11*'Key Inputs_New Techs'!$J15</f>
        <v>2.38</v>
      </c>
      <c r="U15" s="76">
        <f>'Key Inputs_BY Techs'!S$11*'Key Inputs_New Techs'!$J15</f>
        <v>2.6656</v>
      </c>
      <c r="V15" s="76">
        <f>'Key Inputs_BY Techs'!T$11*'Key Inputs_New Techs'!$J15</f>
        <v>1.9753999999999998</v>
      </c>
      <c r="W15" s="76">
        <f>'Key Inputs_BY Techs'!U$11*'Key Inputs_New Techs'!$J15</f>
        <v>2.6656</v>
      </c>
      <c r="X15" s="76">
        <f>'Key Inputs_BY Techs'!V$11*'Key Inputs_New Techs'!$J15</f>
        <v>2.6656</v>
      </c>
      <c r="Y15" s="76">
        <f>'Key Inputs_BY Techs'!W$11*'Key Inputs_New Techs'!$J15</f>
        <v>2.6656</v>
      </c>
      <c r="Z15" s="76">
        <f>'Key Inputs_BY Techs'!X$11*'Key Inputs_New Techs'!$J15</f>
        <v>1.9753999999999998</v>
      </c>
      <c r="AA15" s="76">
        <f>'Key Inputs_BY Techs'!Y$11*'Key Inputs_New Techs'!$J15</f>
        <v>1.9753999999999998</v>
      </c>
      <c r="AB15" s="76">
        <f>'Key Inputs_BY Techs'!Z$11*'Key Inputs_New Techs'!$J15</f>
        <v>1.9753999999999998</v>
      </c>
      <c r="AC15" s="76">
        <f>'Key Inputs_BY Techs'!AA$11*'Key Inputs_New Techs'!$J15</f>
        <v>2.38</v>
      </c>
      <c r="AD15" s="76">
        <f>'Key Inputs_BY Techs'!AB$11*'Key Inputs_New Techs'!$J15</f>
        <v>2.38</v>
      </c>
      <c r="AE15" s="76">
        <f>'Key Inputs_BY Techs'!AC$11*'Key Inputs_New Techs'!$J15</f>
        <v>2.6656</v>
      </c>
      <c r="AF15" s="76">
        <f>'Key Inputs_BY Techs'!AD$11*'Key Inputs_New Techs'!$J15</f>
        <v>2.6656</v>
      </c>
      <c r="AG15" s="76">
        <f>'Key Inputs_BY Techs'!AE$11*'Key Inputs_New Techs'!$J15</f>
        <v>2.6656</v>
      </c>
      <c r="AH15" s="76">
        <f>'Key Inputs_BY Techs'!AF$11*'Key Inputs_New Techs'!$J15</f>
        <v>2.6656</v>
      </c>
      <c r="AI15" s="76">
        <f>'Key Inputs_BY Techs'!AG$11*'Key Inputs_New Techs'!$J15</f>
        <v>2.6656</v>
      </c>
      <c r="AJ15" s="76">
        <f>'Key Inputs_BY Techs'!AH$11*'Key Inputs_New Techs'!$J15</f>
        <v>2.6656</v>
      </c>
      <c r="AK15" s="76">
        <f>'Key Inputs_BY Techs'!AI$11*'Key Inputs_New Techs'!$J15</f>
        <v>1.9753999999999998</v>
      </c>
      <c r="AL15" s="76">
        <f>'Key Inputs_BY Techs'!AJ$11*'Key Inputs_New Techs'!$J15</f>
        <v>1.9753999999999998</v>
      </c>
      <c r="AM15" s="426"/>
      <c r="AN15" s="426"/>
      <c r="AO15" s="426"/>
      <c r="AP15" s="426"/>
      <c r="AQ15" s="426"/>
      <c r="AR15" s="426"/>
      <c r="AS15" s="426"/>
      <c r="AT15" s="426"/>
      <c r="AU15" s="426"/>
      <c r="AV15" s="426"/>
      <c r="AW15" s="426"/>
      <c r="AX15" s="426"/>
      <c r="AY15" s="426"/>
    </row>
    <row r="16" spans="1:51" x14ac:dyDescent="0.25">
      <c r="C16" s="424"/>
      <c r="D16" s="424"/>
      <c r="E16" s="424"/>
      <c r="F16" s="446"/>
      <c r="G16" s="446"/>
      <c r="H16" s="445">
        <v>2030</v>
      </c>
      <c r="I16" s="134">
        <f>295.234054232285%</f>
        <v>2.9523405423228501</v>
      </c>
      <c r="J16" s="161">
        <v>1.2415384615384617</v>
      </c>
      <c r="K16" s="76">
        <f>'Key Inputs_BY Techs'!I$11*'Key Inputs_New Techs'!$J16</f>
        <v>3.3094449230769234</v>
      </c>
      <c r="L16" s="76">
        <f>'Key Inputs_BY Techs'!J$11*'Key Inputs_New Techs'!$J16</f>
        <v>3.3094449230769234</v>
      </c>
      <c r="M16" s="76">
        <f>'Key Inputs_BY Techs'!K$11*'Key Inputs_New Techs'!$J16</f>
        <v>3.3094449230769234</v>
      </c>
      <c r="N16" s="76">
        <f>'Key Inputs_BY Techs'!L$11*'Key Inputs_New Techs'!$J16</f>
        <v>3.3094449230769234</v>
      </c>
      <c r="O16" s="76">
        <f>'Key Inputs_BY Techs'!M$11*'Key Inputs_New Techs'!$J16</f>
        <v>2.9548615384615387</v>
      </c>
      <c r="P16" s="76">
        <f>'Key Inputs_BY Techs'!N$11*'Key Inputs_New Techs'!$J16</f>
        <v>2.4525350769230769</v>
      </c>
      <c r="Q16" s="76">
        <f>'Key Inputs_BY Techs'!O$11*'Key Inputs_New Techs'!$J16</f>
        <v>2.4525350769230769</v>
      </c>
      <c r="R16" s="76">
        <f>'Key Inputs_BY Techs'!P$11*'Key Inputs_New Techs'!$J16</f>
        <v>2.9548615384615387</v>
      </c>
      <c r="S16" s="76">
        <f>'Key Inputs_BY Techs'!Q$11*'Key Inputs_New Techs'!$J16</f>
        <v>3.3094449230769234</v>
      </c>
      <c r="T16" s="76">
        <f>'Key Inputs_BY Techs'!R$11*'Key Inputs_New Techs'!$J16</f>
        <v>2.9548615384615387</v>
      </c>
      <c r="U16" s="76">
        <f>'Key Inputs_BY Techs'!S$11*'Key Inputs_New Techs'!$J16</f>
        <v>3.3094449230769234</v>
      </c>
      <c r="V16" s="76">
        <f>'Key Inputs_BY Techs'!T$11*'Key Inputs_New Techs'!$J16</f>
        <v>2.4525350769230769</v>
      </c>
      <c r="W16" s="76">
        <f>'Key Inputs_BY Techs'!U$11*'Key Inputs_New Techs'!$J16</f>
        <v>3.3094449230769234</v>
      </c>
      <c r="X16" s="76">
        <f>'Key Inputs_BY Techs'!V$11*'Key Inputs_New Techs'!$J16</f>
        <v>3.3094449230769234</v>
      </c>
      <c r="Y16" s="76">
        <f>'Key Inputs_BY Techs'!W$11*'Key Inputs_New Techs'!$J16</f>
        <v>3.3094449230769234</v>
      </c>
      <c r="Z16" s="76">
        <f>'Key Inputs_BY Techs'!X$11*'Key Inputs_New Techs'!$J16</f>
        <v>2.4525350769230769</v>
      </c>
      <c r="AA16" s="76">
        <f>'Key Inputs_BY Techs'!Y$11*'Key Inputs_New Techs'!$J16</f>
        <v>2.4525350769230769</v>
      </c>
      <c r="AB16" s="76">
        <f>'Key Inputs_BY Techs'!Z$11*'Key Inputs_New Techs'!$J16</f>
        <v>2.4525350769230769</v>
      </c>
      <c r="AC16" s="76">
        <f>'Key Inputs_BY Techs'!AA$11*'Key Inputs_New Techs'!$J16</f>
        <v>2.9548615384615387</v>
      </c>
      <c r="AD16" s="76">
        <f>'Key Inputs_BY Techs'!AB$11*'Key Inputs_New Techs'!$J16</f>
        <v>2.9548615384615387</v>
      </c>
      <c r="AE16" s="76">
        <f>'Key Inputs_BY Techs'!AC$11*'Key Inputs_New Techs'!$J16</f>
        <v>3.3094449230769234</v>
      </c>
      <c r="AF16" s="76">
        <f>'Key Inputs_BY Techs'!AD$11*'Key Inputs_New Techs'!$J16</f>
        <v>3.3094449230769234</v>
      </c>
      <c r="AG16" s="76">
        <f>'Key Inputs_BY Techs'!AE$11*'Key Inputs_New Techs'!$J16</f>
        <v>3.3094449230769234</v>
      </c>
      <c r="AH16" s="76">
        <f>'Key Inputs_BY Techs'!AF$11*'Key Inputs_New Techs'!$J16</f>
        <v>3.3094449230769234</v>
      </c>
      <c r="AI16" s="76">
        <f>'Key Inputs_BY Techs'!AG$11*'Key Inputs_New Techs'!$J16</f>
        <v>3.3094449230769234</v>
      </c>
      <c r="AJ16" s="76">
        <f>'Key Inputs_BY Techs'!AH$11*'Key Inputs_New Techs'!$J16</f>
        <v>3.3094449230769234</v>
      </c>
      <c r="AK16" s="76">
        <f>'Key Inputs_BY Techs'!AI$11*'Key Inputs_New Techs'!$J16</f>
        <v>2.4525350769230769</v>
      </c>
      <c r="AL16" s="76">
        <f>'Key Inputs_BY Techs'!AJ$11*'Key Inputs_New Techs'!$J16</f>
        <v>2.4525350769230769</v>
      </c>
      <c r="AM16" s="426"/>
      <c r="AN16" s="426"/>
      <c r="AO16" s="426"/>
      <c r="AP16" s="426"/>
      <c r="AQ16" s="426"/>
      <c r="AR16" s="426"/>
      <c r="AS16" s="426"/>
      <c r="AT16" s="426"/>
      <c r="AU16" s="426"/>
      <c r="AV16" s="426"/>
      <c r="AW16" s="426"/>
      <c r="AX16" s="426"/>
      <c r="AY16" s="426"/>
    </row>
    <row r="17" spans="1:51" x14ac:dyDescent="0.25">
      <c r="B17" s="425"/>
      <c r="F17" s="443"/>
      <c r="G17" s="443"/>
      <c r="H17" s="445">
        <v>2050</v>
      </c>
      <c r="I17" s="134">
        <f>375.353332890116%</f>
        <v>3.7535333289011601</v>
      </c>
      <c r="J17" s="161">
        <v>1.5784615384615386</v>
      </c>
      <c r="K17" s="76">
        <f>'Key Inputs_BY Techs'!I$11*'Key Inputs_New Techs'!$J17</f>
        <v>4.2075470769230776</v>
      </c>
      <c r="L17" s="76">
        <f>'Key Inputs_BY Techs'!J$11*'Key Inputs_New Techs'!$J17</f>
        <v>4.2075470769230776</v>
      </c>
      <c r="M17" s="76">
        <f>'Key Inputs_BY Techs'!K$11*'Key Inputs_New Techs'!$J17</f>
        <v>4.2075470769230776</v>
      </c>
      <c r="N17" s="76">
        <f>'Key Inputs_BY Techs'!L$11*'Key Inputs_New Techs'!$J17</f>
        <v>4.2075470769230776</v>
      </c>
      <c r="O17" s="76">
        <f>'Key Inputs_BY Techs'!M$11*'Key Inputs_New Techs'!$J17</f>
        <v>3.7567384615384616</v>
      </c>
      <c r="P17" s="76">
        <f>'Key Inputs_BY Techs'!N$11*'Key Inputs_New Techs'!$J17</f>
        <v>3.1180929230769232</v>
      </c>
      <c r="Q17" s="76">
        <f>'Key Inputs_BY Techs'!O$11*'Key Inputs_New Techs'!$J17</f>
        <v>3.1180929230769232</v>
      </c>
      <c r="R17" s="76">
        <f>'Key Inputs_BY Techs'!P$11*'Key Inputs_New Techs'!$J17</f>
        <v>3.7567384615384616</v>
      </c>
      <c r="S17" s="76">
        <f>'Key Inputs_BY Techs'!Q$11*'Key Inputs_New Techs'!$J17</f>
        <v>4.2075470769230776</v>
      </c>
      <c r="T17" s="76">
        <f>'Key Inputs_BY Techs'!R$11*'Key Inputs_New Techs'!$J17</f>
        <v>3.7567384615384616</v>
      </c>
      <c r="U17" s="76">
        <f>'Key Inputs_BY Techs'!S$11*'Key Inputs_New Techs'!$J17</f>
        <v>4.2075470769230776</v>
      </c>
      <c r="V17" s="76">
        <f>'Key Inputs_BY Techs'!T$11*'Key Inputs_New Techs'!$J17</f>
        <v>3.1180929230769232</v>
      </c>
      <c r="W17" s="76">
        <f>'Key Inputs_BY Techs'!U$11*'Key Inputs_New Techs'!$J17</f>
        <v>4.2075470769230776</v>
      </c>
      <c r="X17" s="76">
        <f>'Key Inputs_BY Techs'!V$11*'Key Inputs_New Techs'!$J17</f>
        <v>4.2075470769230776</v>
      </c>
      <c r="Y17" s="76">
        <f>'Key Inputs_BY Techs'!W$11*'Key Inputs_New Techs'!$J17</f>
        <v>4.2075470769230776</v>
      </c>
      <c r="Z17" s="76">
        <f>'Key Inputs_BY Techs'!X$11*'Key Inputs_New Techs'!$J17</f>
        <v>3.1180929230769232</v>
      </c>
      <c r="AA17" s="76">
        <f>'Key Inputs_BY Techs'!Y$11*'Key Inputs_New Techs'!$J17</f>
        <v>3.1180929230769232</v>
      </c>
      <c r="AB17" s="76">
        <f>'Key Inputs_BY Techs'!Z$11*'Key Inputs_New Techs'!$J17</f>
        <v>3.1180929230769232</v>
      </c>
      <c r="AC17" s="76">
        <f>'Key Inputs_BY Techs'!AA$11*'Key Inputs_New Techs'!$J17</f>
        <v>3.7567384615384616</v>
      </c>
      <c r="AD17" s="76">
        <f>'Key Inputs_BY Techs'!AB$11*'Key Inputs_New Techs'!$J17</f>
        <v>3.7567384615384616</v>
      </c>
      <c r="AE17" s="76">
        <f>'Key Inputs_BY Techs'!AC$11*'Key Inputs_New Techs'!$J17</f>
        <v>4.2075470769230776</v>
      </c>
      <c r="AF17" s="76">
        <f>'Key Inputs_BY Techs'!AD$11*'Key Inputs_New Techs'!$J17</f>
        <v>4.2075470769230776</v>
      </c>
      <c r="AG17" s="76">
        <f>'Key Inputs_BY Techs'!AE$11*'Key Inputs_New Techs'!$J17</f>
        <v>4.2075470769230776</v>
      </c>
      <c r="AH17" s="76">
        <f>'Key Inputs_BY Techs'!AF$11*'Key Inputs_New Techs'!$J17</f>
        <v>4.2075470769230776</v>
      </c>
      <c r="AI17" s="76">
        <f>'Key Inputs_BY Techs'!AG$11*'Key Inputs_New Techs'!$J17</f>
        <v>4.2075470769230776</v>
      </c>
      <c r="AJ17" s="76">
        <f>'Key Inputs_BY Techs'!AH$11*'Key Inputs_New Techs'!$J17</f>
        <v>4.2075470769230776</v>
      </c>
      <c r="AK17" s="76">
        <f>'Key Inputs_BY Techs'!AI$11*'Key Inputs_New Techs'!$J17</f>
        <v>3.1180929230769232</v>
      </c>
      <c r="AL17" s="76">
        <f>'Key Inputs_BY Techs'!AJ$11*'Key Inputs_New Techs'!$J17</f>
        <v>3.1180929230769232</v>
      </c>
      <c r="AM17" s="426"/>
      <c r="AN17" s="426"/>
      <c r="AO17" s="426"/>
      <c r="AP17" s="426"/>
      <c r="AQ17" s="426"/>
      <c r="AR17" s="426"/>
      <c r="AS17" s="426"/>
      <c r="AT17" s="426"/>
      <c r="AU17" s="426"/>
      <c r="AV17" s="426"/>
      <c r="AW17" s="426"/>
      <c r="AX17" s="426"/>
      <c r="AY17" s="426"/>
    </row>
    <row r="18" spans="1:51" x14ac:dyDescent="0.25">
      <c r="A18" s="424" t="s">
        <v>122</v>
      </c>
      <c r="B18" s="425" t="s">
        <v>509</v>
      </c>
      <c r="C18" s="425" t="s">
        <v>19</v>
      </c>
      <c r="D18" s="425" t="s">
        <v>105</v>
      </c>
      <c r="E18" s="425" t="s">
        <v>239</v>
      </c>
      <c r="F18" s="443">
        <v>2030</v>
      </c>
      <c r="G18" s="443">
        <v>15</v>
      </c>
      <c r="H18" s="445">
        <v>2030</v>
      </c>
      <c r="I18" s="134">
        <f>321.300257905209%</f>
        <v>3.2130025790520897</v>
      </c>
      <c r="J18" s="161">
        <v>1.3511538461538466</v>
      </c>
      <c r="K18" s="76">
        <f>'Key Inputs_BY Techs'!I$11*'Key Inputs_New Techs'!$J18</f>
        <v>3.6016356923076933</v>
      </c>
      <c r="L18" s="76">
        <f>'Key Inputs_BY Techs'!J$11*'Key Inputs_New Techs'!$J18</f>
        <v>3.6016356923076933</v>
      </c>
      <c r="M18" s="76">
        <f>'Key Inputs_BY Techs'!K$11*'Key Inputs_New Techs'!$J18</f>
        <v>3.6016356923076933</v>
      </c>
      <c r="N18" s="76">
        <f>'Key Inputs_BY Techs'!L$11*'Key Inputs_New Techs'!$J18</f>
        <v>3.6016356923076933</v>
      </c>
      <c r="O18" s="76">
        <f>'Key Inputs_BY Techs'!M$11*'Key Inputs_New Techs'!$J18</f>
        <v>3.2157461538461547</v>
      </c>
      <c r="P18" s="76">
        <f>'Key Inputs_BY Techs'!N$11*'Key Inputs_New Techs'!$J18</f>
        <v>2.6690693076923084</v>
      </c>
      <c r="Q18" s="76">
        <f>'Key Inputs_BY Techs'!O$11*'Key Inputs_New Techs'!$J18</f>
        <v>2.6690693076923084</v>
      </c>
      <c r="R18" s="76">
        <f>'Key Inputs_BY Techs'!P$11*'Key Inputs_New Techs'!$J18</f>
        <v>3.2157461538461547</v>
      </c>
      <c r="S18" s="76">
        <f>'Key Inputs_BY Techs'!Q$11*'Key Inputs_New Techs'!$J18</f>
        <v>3.6016356923076933</v>
      </c>
      <c r="T18" s="76">
        <f>'Key Inputs_BY Techs'!R$11*'Key Inputs_New Techs'!$J18</f>
        <v>3.2157461538461547</v>
      </c>
      <c r="U18" s="76">
        <f>'Key Inputs_BY Techs'!S$11*'Key Inputs_New Techs'!$J18</f>
        <v>3.6016356923076933</v>
      </c>
      <c r="V18" s="76">
        <f>'Key Inputs_BY Techs'!T$11*'Key Inputs_New Techs'!$J18</f>
        <v>2.6690693076923084</v>
      </c>
      <c r="W18" s="76">
        <f>'Key Inputs_BY Techs'!U$11*'Key Inputs_New Techs'!$J18</f>
        <v>3.6016356923076933</v>
      </c>
      <c r="X18" s="76">
        <f>'Key Inputs_BY Techs'!V$11*'Key Inputs_New Techs'!$J18</f>
        <v>3.6016356923076933</v>
      </c>
      <c r="Y18" s="76">
        <f>'Key Inputs_BY Techs'!W$11*'Key Inputs_New Techs'!$J18</f>
        <v>3.6016356923076933</v>
      </c>
      <c r="Z18" s="76">
        <f>'Key Inputs_BY Techs'!X$11*'Key Inputs_New Techs'!$J18</f>
        <v>2.6690693076923084</v>
      </c>
      <c r="AA18" s="76">
        <f>'Key Inputs_BY Techs'!Y$11*'Key Inputs_New Techs'!$J18</f>
        <v>2.6690693076923084</v>
      </c>
      <c r="AB18" s="76">
        <f>'Key Inputs_BY Techs'!Z$11*'Key Inputs_New Techs'!$J18</f>
        <v>2.6690693076923084</v>
      </c>
      <c r="AC18" s="76">
        <f>'Key Inputs_BY Techs'!AA$11*'Key Inputs_New Techs'!$J18</f>
        <v>3.2157461538461547</v>
      </c>
      <c r="AD18" s="76">
        <f>'Key Inputs_BY Techs'!AB$11*'Key Inputs_New Techs'!$J18</f>
        <v>3.2157461538461547</v>
      </c>
      <c r="AE18" s="76">
        <f>'Key Inputs_BY Techs'!AC$11*'Key Inputs_New Techs'!$J18</f>
        <v>3.6016356923076933</v>
      </c>
      <c r="AF18" s="76">
        <f>'Key Inputs_BY Techs'!AD$11*'Key Inputs_New Techs'!$J18</f>
        <v>3.6016356923076933</v>
      </c>
      <c r="AG18" s="76">
        <f>'Key Inputs_BY Techs'!AE$11*'Key Inputs_New Techs'!$J18</f>
        <v>3.6016356923076933</v>
      </c>
      <c r="AH18" s="76">
        <f>'Key Inputs_BY Techs'!AF$11*'Key Inputs_New Techs'!$J18</f>
        <v>3.6016356923076933</v>
      </c>
      <c r="AI18" s="76">
        <f>'Key Inputs_BY Techs'!AG$11*'Key Inputs_New Techs'!$J18</f>
        <v>3.6016356923076933</v>
      </c>
      <c r="AJ18" s="76">
        <f>'Key Inputs_BY Techs'!AH$11*'Key Inputs_New Techs'!$J18</f>
        <v>3.6016356923076933</v>
      </c>
      <c r="AK18" s="76">
        <f>'Key Inputs_BY Techs'!AI$11*'Key Inputs_New Techs'!$J18</f>
        <v>2.6690693076923084</v>
      </c>
      <c r="AL18" s="76">
        <f>'Key Inputs_BY Techs'!AJ$11*'Key Inputs_New Techs'!$J18</f>
        <v>2.6690693076923084</v>
      </c>
      <c r="AM18" s="426"/>
      <c r="AN18" s="426"/>
      <c r="AO18" s="426"/>
      <c r="AP18" s="426"/>
      <c r="AQ18" s="426"/>
      <c r="AR18" s="426"/>
      <c r="AS18" s="426"/>
      <c r="AT18" s="426"/>
      <c r="AU18" s="426"/>
      <c r="AV18" s="426"/>
      <c r="AW18" s="426"/>
      <c r="AX18" s="426"/>
      <c r="AY18" s="426"/>
    </row>
    <row r="19" spans="1:51" x14ac:dyDescent="0.25">
      <c r="B19" s="425"/>
      <c r="F19" s="443"/>
      <c r="G19" s="443"/>
      <c r="H19" s="445">
        <v>2050</v>
      </c>
      <c r="I19" s="134">
        <f>439.009746070311%</f>
        <v>4.3900974607031102</v>
      </c>
      <c r="J19" s="161">
        <v>1.8461538461538465</v>
      </c>
      <c r="K19" s="76">
        <f>'Key Inputs_BY Techs'!I$11*'Key Inputs_New Techs'!$J19</f>
        <v>4.9211076923076931</v>
      </c>
      <c r="L19" s="76">
        <f>'Key Inputs_BY Techs'!J$11*'Key Inputs_New Techs'!$J19</f>
        <v>4.9211076923076931</v>
      </c>
      <c r="M19" s="76">
        <f>'Key Inputs_BY Techs'!K$11*'Key Inputs_New Techs'!$J19</f>
        <v>4.9211076923076931</v>
      </c>
      <c r="N19" s="76">
        <f>'Key Inputs_BY Techs'!L$11*'Key Inputs_New Techs'!$J19</f>
        <v>4.9211076923076931</v>
      </c>
      <c r="O19" s="76">
        <f>'Key Inputs_BY Techs'!M$11*'Key Inputs_New Techs'!$J19</f>
        <v>4.3938461538461544</v>
      </c>
      <c r="P19" s="76">
        <f>'Key Inputs_BY Techs'!N$11*'Key Inputs_New Techs'!$J19</f>
        <v>3.6468923076923079</v>
      </c>
      <c r="Q19" s="76">
        <f>'Key Inputs_BY Techs'!O$11*'Key Inputs_New Techs'!$J19</f>
        <v>3.6468923076923079</v>
      </c>
      <c r="R19" s="76">
        <f>'Key Inputs_BY Techs'!P$11*'Key Inputs_New Techs'!$J19</f>
        <v>4.3938461538461544</v>
      </c>
      <c r="S19" s="76">
        <f>'Key Inputs_BY Techs'!Q$11*'Key Inputs_New Techs'!$J19</f>
        <v>4.9211076923076931</v>
      </c>
      <c r="T19" s="76">
        <f>'Key Inputs_BY Techs'!R$11*'Key Inputs_New Techs'!$J19</f>
        <v>4.3938461538461544</v>
      </c>
      <c r="U19" s="76">
        <f>'Key Inputs_BY Techs'!S$11*'Key Inputs_New Techs'!$J19</f>
        <v>4.9211076923076931</v>
      </c>
      <c r="V19" s="76">
        <f>'Key Inputs_BY Techs'!T$11*'Key Inputs_New Techs'!$J19</f>
        <v>3.6468923076923079</v>
      </c>
      <c r="W19" s="76">
        <f>'Key Inputs_BY Techs'!U$11*'Key Inputs_New Techs'!$J19</f>
        <v>4.9211076923076931</v>
      </c>
      <c r="X19" s="76">
        <f>'Key Inputs_BY Techs'!V$11*'Key Inputs_New Techs'!$J19</f>
        <v>4.9211076923076931</v>
      </c>
      <c r="Y19" s="76">
        <f>'Key Inputs_BY Techs'!W$11*'Key Inputs_New Techs'!$J19</f>
        <v>4.9211076923076931</v>
      </c>
      <c r="Z19" s="76">
        <f>'Key Inputs_BY Techs'!X$11*'Key Inputs_New Techs'!$J19</f>
        <v>3.6468923076923079</v>
      </c>
      <c r="AA19" s="76">
        <f>'Key Inputs_BY Techs'!Y$11*'Key Inputs_New Techs'!$J19</f>
        <v>3.6468923076923079</v>
      </c>
      <c r="AB19" s="76">
        <f>'Key Inputs_BY Techs'!Z$11*'Key Inputs_New Techs'!$J19</f>
        <v>3.6468923076923079</v>
      </c>
      <c r="AC19" s="76">
        <f>'Key Inputs_BY Techs'!AA$11*'Key Inputs_New Techs'!$J19</f>
        <v>4.3938461538461544</v>
      </c>
      <c r="AD19" s="76">
        <f>'Key Inputs_BY Techs'!AB$11*'Key Inputs_New Techs'!$J19</f>
        <v>4.3938461538461544</v>
      </c>
      <c r="AE19" s="76">
        <f>'Key Inputs_BY Techs'!AC$11*'Key Inputs_New Techs'!$J19</f>
        <v>4.9211076923076931</v>
      </c>
      <c r="AF19" s="76">
        <f>'Key Inputs_BY Techs'!AD$11*'Key Inputs_New Techs'!$J19</f>
        <v>4.9211076923076931</v>
      </c>
      <c r="AG19" s="76">
        <f>'Key Inputs_BY Techs'!AE$11*'Key Inputs_New Techs'!$J19</f>
        <v>4.9211076923076931</v>
      </c>
      <c r="AH19" s="76">
        <f>'Key Inputs_BY Techs'!AF$11*'Key Inputs_New Techs'!$J19</f>
        <v>4.9211076923076931</v>
      </c>
      <c r="AI19" s="76">
        <f>'Key Inputs_BY Techs'!AG$11*'Key Inputs_New Techs'!$J19</f>
        <v>4.9211076923076931</v>
      </c>
      <c r="AJ19" s="76">
        <f>'Key Inputs_BY Techs'!AH$11*'Key Inputs_New Techs'!$J19</f>
        <v>4.9211076923076931</v>
      </c>
      <c r="AK19" s="76">
        <f>'Key Inputs_BY Techs'!AI$11*'Key Inputs_New Techs'!$J19</f>
        <v>3.6468923076923079</v>
      </c>
      <c r="AL19" s="76">
        <f>'Key Inputs_BY Techs'!AJ$11*'Key Inputs_New Techs'!$J19</f>
        <v>3.6468923076923079</v>
      </c>
      <c r="AM19" s="426"/>
      <c r="AN19" s="426"/>
      <c r="AO19" s="426"/>
      <c r="AP19" s="426"/>
      <c r="AQ19" s="426"/>
      <c r="AR19" s="426"/>
      <c r="AS19" s="426"/>
      <c r="AT19" s="426"/>
      <c r="AU19" s="426"/>
      <c r="AV19" s="426"/>
      <c r="AW19" s="426"/>
      <c r="AX19" s="426"/>
      <c r="AY19" s="426"/>
    </row>
    <row r="20" spans="1:51" x14ac:dyDescent="0.25">
      <c r="A20" s="424" t="s">
        <v>122</v>
      </c>
      <c r="B20" s="425" t="s">
        <v>510</v>
      </c>
      <c r="C20" s="425" t="s">
        <v>19</v>
      </c>
      <c r="D20" s="425" t="s">
        <v>105</v>
      </c>
      <c r="E20" s="425" t="s">
        <v>240</v>
      </c>
      <c r="F20" s="443">
        <v>2020</v>
      </c>
      <c r="G20" s="443">
        <v>15</v>
      </c>
      <c r="H20" s="445">
        <v>2020</v>
      </c>
      <c r="I20" s="134">
        <f>330%</f>
        <v>3.3</v>
      </c>
      <c r="J20" s="161">
        <v>1.3877385973412886</v>
      </c>
      <c r="K20" s="76">
        <f>'Key Inputs_BY Techs'!I$11*'Key Inputs_New Techs'!$J20</f>
        <v>3.6991560050729388</v>
      </c>
      <c r="L20" s="76">
        <f>'Key Inputs_BY Techs'!J$11*'Key Inputs_New Techs'!$J20</f>
        <v>3.6991560050729388</v>
      </c>
      <c r="M20" s="76">
        <f>'Key Inputs_BY Techs'!K$11*'Key Inputs_New Techs'!$J20</f>
        <v>3.6991560050729388</v>
      </c>
      <c r="N20" s="76">
        <f>'Key Inputs_BY Techs'!L$11*'Key Inputs_New Techs'!$J20</f>
        <v>3.6991560050729388</v>
      </c>
      <c r="O20" s="76">
        <f>'Key Inputs_BY Techs'!M$11*'Key Inputs_New Techs'!$J20</f>
        <v>3.3028178616722665</v>
      </c>
      <c r="P20" s="76">
        <f>'Key Inputs_BY Techs'!N$11*'Key Inputs_New Techs'!$J20</f>
        <v>2.7413388251879813</v>
      </c>
      <c r="Q20" s="76">
        <f>'Key Inputs_BY Techs'!O$11*'Key Inputs_New Techs'!$J20</f>
        <v>2.7413388251879813</v>
      </c>
      <c r="R20" s="76">
        <f>'Key Inputs_BY Techs'!P$11*'Key Inputs_New Techs'!$J20</f>
        <v>3.3028178616722665</v>
      </c>
      <c r="S20" s="76">
        <f>'Key Inputs_BY Techs'!Q$11*'Key Inputs_New Techs'!$J20</f>
        <v>3.6991560050729388</v>
      </c>
      <c r="T20" s="76">
        <f>'Key Inputs_BY Techs'!R$11*'Key Inputs_New Techs'!$J20</f>
        <v>3.3028178616722665</v>
      </c>
      <c r="U20" s="76">
        <f>'Key Inputs_BY Techs'!S$11*'Key Inputs_New Techs'!$J20</f>
        <v>3.6991560050729388</v>
      </c>
      <c r="V20" s="76">
        <f>'Key Inputs_BY Techs'!T$11*'Key Inputs_New Techs'!$J20</f>
        <v>2.7413388251879813</v>
      </c>
      <c r="W20" s="76">
        <f>'Key Inputs_BY Techs'!U$11*'Key Inputs_New Techs'!$J20</f>
        <v>3.6991560050729388</v>
      </c>
      <c r="X20" s="76">
        <f>'Key Inputs_BY Techs'!V$11*'Key Inputs_New Techs'!$J20</f>
        <v>3.6991560050729388</v>
      </c>
      <c r="Y20" s="76">
        <f>'Key Inputs_BY Techs'!W$11*'Key Inputs_New Techs'!$J20</f>
        <v>3.6991560050729388</v>
      </c>
      <c r="Z20" s="76">
        <f>'Key Inputs_BY Techs'!X$11*'Key Inputs_New Techs'!$J20</f>
        <v>2.7413388251879813</v>
      </c>
      <c r="AA20" s="76">
        <f>'Key Inputs_BY Techs'!Y$11*'Key Inputs_New Techs'!$J20</f>
        <v>2.7413388251879813</v>
      </c>
      <c r="AB20" s="76">
        <f>'Key Inputs_BY Techs'!Z$11*'Key Inputs_New Techs'!$J20</f>
        <v>2.7413388251879813</v>
      </c>
      <c r="AC20" s="76">
        <f>'Key Inputs_BY Techs'!AA$11*'Key Inputs_New Techs'!$J20</f>
        <v>3.3028178616722665</v>
      </c>
      <c r="AD20" s="76">
        <f>'Key Inputs_BY Techs'!AB$11*'Key Inputs_New Techs'!$J20</f>
        <v>3.3028178616722665</v>
      </c>
      <c r="AE20" s="76">
        <f>'Key Inputs_BY Techs'!AC$11*'Key Inputs_New Techs'!$J20</f>
        <v>3.6991560050729388</v>
      </c>
      <c r="AF20" s="76">
        <f>'Key Inputs_BY Techs'!AD$11*'Key Inputs_New Techs'!$J20</f>
        <v>3.6991560050729388</v>
      </c>
      <c r="AG20" s="76">
        <f>'Key Inputs_BY Techs'!AE$11*'Key Inputs_New Techs'!$J20</f>
        <v>3.6991560050729388</v>
      </c>
      <c r="AH20" s="76">
        <f>'Key Inputs_BY Techs'!AF$11*'Key Inputs_New Techs'!$J20</f>
        <v>3.6991560050729388</v>
      </c>
      <c r="AI20" s="76">
        <f>'Key Inputs_BY Techs'!AG$11*'Key Inputs_New Techs'!$J20</f>
        <v>3.6991560050729388</v>
      </c>
      <c r="AJ20" s="76">
        <f>'Key Inputs_BY Techs'!AH$11*'Key Inputs_New Techs'!$J20</f>
        <v>3.6991560050729388</v>
      </c>
      <c r="AK20" s="76">
        <f>'Key Inputs_BY Techs'!AI$11*'Key Inputs_New Techs'!$J20</f>
        <v>2.7413388251879813</v>
      </c>
      <c r="AL20" s="76">
        <f>'Key Inputs_BY Techs'!AJ$11*'Key Inputs_New Techs'!$J20</f>
        <v>2.7413388251879813</v>
      </c>
      <c r="AM20" s="426"/>
      <c r="AN20" s="426"/>
      <c r="AO20" s="426"/>
      <c r="AP20" s="426"/>
      <c r="AQ20" s="426"/>
      <c r="AR20" s="426"/>
      <c r="AS20" s="426"/>
      <c r="AT20" s="426"/>
      <c r="AU20" s="426"/>
      <c r="AV20" s="426"/>
      <c r="AW20" s="426"/>
      <c r="AX20" s="426"/>
      <c r="AY20" s="426"/>
    </row>
    <row r="21" spans="1:51" x14ac:dyDescent="0.25">
      <c r="A21" s="424" t="s">
        <v>122</v>
      </c>
      <c r="B21" s="425" t="s">
        <v>511</v>
      </c>
      <c r="C21" s="425" t="s">
        <v>19</v>
      </c>
      <c r="D21" s="425" t="s">
        <v>105</v>
      </c>
      <c r="E21" s="425" t="s">
        <v>241</v>
      </c>
      <c r="F21" s="443">
        <v>2025</v>
      </c>
      <c r="G21" s="443">
        <v>15</v>
      </c>
      <c r="H21" s="445">
        <v>2025</v>
      </c>
      <c r="I21" s="134">
        <f>330%</f>
        <v>3.3</v>
      </c>
      <c r="J21" s="161">
        <v>1.3877385973412886</v>
      </c>
      <c r="K21" s="76">
        <f>'Key Inputs_BY Techs'!I$11*'Key Inputs_New Techs'!$J21</f>
        <v>3.6991560050729388</v>
      </c>
      <c r="L21" s="76">
        <f>'Key Inputs_BY Techs'!J$11*'Key Inputs_New Techs'!$J21</f>
        <v>3.6991560050729388</v>
      </c>
      <c r="M21" s="76">
        <f>'Key Inputs_BY Techs'!K$11*'Key Inputs_New Techs'!$J21</f>
        <v>3.6991560050729388</v>
      </c>
      <c r="N21" s="76">
        <f>'Key Inputs_BY Techs'!L$11*'Key Inputs_New Techs'!$J21</f>
        <v>3.6991560050729388</v>
      </c>
      <c r="O21" s="76">
        <f>'Key Inputs_BY Techs'!M$11*'Key Inputs_New Techs'!$J21</f>
        <v>3.3028178616722665</v>
      </c>
      <c r="P21" s="76">
        <f>'Key Inputs_BY Techs'!N$11*'Key Inputs_New Techs'!$J21</f>
        <v>2.7413388251879813</v>
      </c>
      <c r="Q21" s="76">
        <f>'Key Inputs_BY Techs'!O$11*'Key Inputs_New Techs'!$J21</f>
        <v>2.7413388251879813</v>
      </c>
      <c r="R21" s="76">
        <f>'Key Inputs_BY Techs'!P$11*'Key Inputs_New Techs'!$J21</f>
        <v>3.3028178616722665</v>
      </c>
      <c r="S21" s="76">
        <f>'Key Inputs_BY Techs'!Q$11*'Key Inputs_New Techs'!$J21</f>
        <v>3.6991560050729388</v>
      </c>
      <c r="T21" s="76">
        <f>'Key Inputs_BY Techs'!R$11*'Key Inputs_New Techs'!$J21</f>
        <v>3.3028178616722665</v>
      </c>
      <c r="U21" s="76">
        <f>'Key Inputs_BY Techs'!S$11*'Key Inputs_New Techs'!$J21</f>
        <v>3.6991560050729388</v>
      </c>
      <c r="V21" s="76">
        <f>'Key Inputs_BY Techs'!T$11*'Key Inputs_New Techs'!$J21</f>
        <v>2.7413388251879813</v>
      </c>
      <c r="W21" s="76">
        <f>'Key Inputs_BY Techs'!U$11*'Key Inputs_New Techs'!$J21</f>
        <v>3.6991560050729388</v>
      </c>
      <c r="X21" s="76">
        <f>'Key Inputs_BY Techs'!V$11*'Key Inputs_New Techs'!$J21</f>
        <v>3.6991560050729388</v>
      </c>
      <c r="Y21" s="76">
        <f>'Key Inputs_BY Techs'!W$11*'Key Inputs_New Techs'!$J21</f>
        <v>3.6991560050729388</v>
      </c>
      <c r="Z21" s="76">
        <f>'Key Inputs_BY Techs'!X$11*'Key Inputs_New Techs'!$J21</f>
        <v>2.7413388251879813</v>
      </c>
      <c r="AA21" s="76">
        <f>'Key Inputs_BY Techs'!Y$11*'Key Inputs_New Techs'!$J21</f>
        <v>2.7413388251879813</v>
      </c>
      <c r="AB21" s="76">
        <f>'Key Inputs_BY Techs'!Z$11*'Key Inputs_New Techs'!$J21</f>
        <v>2.7413388251879813</v>
      </c>
      <c r="AC21" s="76">
        <f>'Key Inputs_BY Techs'!AA$11*'Key Inputs_New Techs'!$J21</f>
        <v>3.3028178616722665</v>
      </c>
      <c r="AD21" s="76">
        <f>'Key Inputs_BY Techs'!AB$11*'Key Inputs_New Techs'!$J21</f>
        <v>3.3028178616722665</v>
      </c>
      <c r="AE21" s="76">
        <f>'Key Inputs_BY Techs'!AC$11*'Key Inputs_New Techs'!$J21</f>
        <v>3.6991560050729388</v>
      </c>
      <c r="AF21" s="76">
        <f>'Key Inputs_BY Techs'!AD$11*'Key Inputs_New Techs'!$J21</f>
        <v>3.6991560050729388</v>
      </c>
      <c r="AG21" s="76">
        <f>'Key Inputs_BY Techs'!AE$11*'Key Inputs_New Techs'!$J21</f>
        <v>3.6991560050729388</v>
      </c>
      <c r="AH21" s="76">
        <f>'Key Inputs_BY Techs'!AF$11*'Key Inputs_New Techs'!$J21</f>
        <v>3.6991560050729388</v>
      </c>
      <c r="AI21" s="76">
        <f>'Key Inputs_BY Techs'!AG$11*'Key Inputs_New Techs'!$J21</f>
        <v>3.6991560050729388</v>
      </c>
      <c r="AJ21" s="76">
        <f>'Key Inputs_BY Techs'!AH$11*'Key Inputs_New Techs'!$J21</f>
        <v>3.6991560050729388</v>
      </c>
      <c r="AK21" s="76">
        <f>'Key Inputs_BY Techs'!AI$11*'Key Inputs_New Techs'!$J21</f>
        <v>2.7413388251879813</v>
      </c>
      <c r="AL21" s="76">
        <f>'Key Inputs_BY Techs'!AJ$11*'Key Inputs_New Techs'!$J21</f>
        <v>2.7413388251879813</v>
      </c>
      <c r="AM21" s="426"/>
      <c r="AN21" s="426"/>
      <c r="AO21" s="426"/>
      <c r="AP21" s="426"/>
      <c r="AQ21" s="426"/>
      <c r="AR21" s="426"/>
      <c r="AS21" s="426"/>
      <c r="AT21" s="426"/>
      <c r="AU21" s="426"/>
      <c r="AV21" s="426"/>
      <c r="AW21" s="426"/>
      <c r="AX21" s="426"/>
      <c r="AY21" s="426"/>
    </row>
    <row r="22" spans="1:51" x14ac:dyDescent="0.25">
      <c r="C22" s="424"/>
      <c r="D22" s="424"/>
      <c r="E22" s="424"/>
      <c r="F22" s="446"/>
      <c r="G22" s="446"/>
      <c r="H22" s="445">
        <v>2030</v>
      </c>
      <c r="I22" s="134">
        <f>409.707692307692%</f>
        <v>4.0970769230769202</v>
      </c>
      <c r="J22" s="161">
        <v>1.7229308431606463</v>
      </c>
      <c r="K22" s="76">
        <f>'Key Inputs_BY Techs'!I$11*'Key Inputs_New Techs'!$J22</f>
        <v>4.5926444555290189</v>
      </c>
      <c r="L22" s="76">
        <f>'Key Inputs_BY Techs'!J$11*'Key Inputs_New Techs'!$J22</f>
        <v>4.5926444555290189</v>
      </c>
      <c r="M22" s="76">
        <f>'Key Inputs_BY Techs'!K$11*'Key Inputs_New Techs'!$J22</f>
        <v>4.5926444555290189</v>
      </c>
      <c r="N22" s="76">
        <f>'Key Inputs_BY Techs'!L$11*'Key Inputs_New Techs'!$J22</f>
        <v>4.5926444555290189</v>
      </c>
      <c r="O22" s="76">
        <f>'Key Inputs_BY Techs'!M$11*'Key Inputs_New Techs'!$J22</f>
        <v>4.1005754067223377</v>
      </c>
      <c r="P22" s="76">
        <f>'Key Inputs_BY Techs'!N$11*'Key Inputs_New Techs'!$J22</f>
        <v>3.4034775875795402</v>
      </c>
      <c r="Q22" s="76">
        <f>'Key Inputs_BY Techs'!O$11*'Key Inputs_New Techs'!$J22</f>
        <v>3.4034775875795402</v>
      </c>
      <c r="R22" s="76">
        <f>'Key Inputs_BY Techs'!P$11*'Key Inputs_New Techs'!$J22</f>
        <v>4.1005754067223377</v>
      </c>
      <c r="S22" s="76">
        <f>'Key Inputs_BY Techs'!Q$11*'Key Inputs_New Techs'!$J22</f>
        <v>4.5926444555290189</v>
      </c>
      <c r="T22" s="76">
        <f>'Key Inputs_BY Techs'!R$11*'Key Inputs_New Techs'!$J22</f>
        <v>4.1005754067223377</v>
      </c>
      <c r="U22" s="76">
        <f>'Key Inputs_BY Techs'!S$11*'Key Inputs_New Techs'!$J22</f>
        <v>4.5926444555290189</v>
      </c>
      <c r="V22" s="76">
        <f>'Key Inputs_BY Techs'!T$11*'Key Inputs_New Techs'!$J22</f>
        <v>3.4034775875795402</v>
      </c>
      <c r="W22" s="76">
        <f>'Key Inputs_BY Techs'!U$11*'Key Inputs_New Techs'!$J22</f>
        <v>4.5926444555290189</v>
      </c>
      <c r="X22" s="76">
        <f>'Key Inputs_BY Techs'!V$11*'Key Inputs_New Techs'!$J22</f>
        <v>4.5926444555290189</v>
      </c>
      <c r="Y22" s="76">
        <f>'Key Inputs_BY Techs'!W$11*'Key Inputs_New Techs'!$J22</f>
        <v>4.5926444555290189</v>
      </c>
      <c r="Z22" s="76">
        <f>'Key Inputs_BY Techs'!X$11*'Key Inputs_New Techs'!$J22</f>
        <v>3.4034775875795402</v>
      </c>
      <c r="AA22" s="76">
        <f>'Key Inputs_BY Techs'!Y$11*'Key Inputs_New Techs'!$J22</f>
        <v>3.4034775875795402</v>
      </c>
      <c r="AB22" s="76">
        <f>'Key Inputs_BY Techs'!Z$11*'Key Inputs_New Techs'!$J22</f>
        <v>3.4034775875795402</v>
      </c>
      <c r="AC22" s="76">
        <f>'Key Inputs_BY Techs'!AA$11*'Key Inputs_New Techs'!$J22</f>
        <v>4.1005754067223377</v>
      </c>
      <c r="AD22" s="76">
        <f>'Key Inputs_BY Techs'!AB$11*'Key Inputs_New Techs'!$J22</f>
        <v>4.1005754067223377</v>
      </c>
      <c r="AE22" s="76">
        <f>'Key Inputs_BY Techs'!AC$11*'Key Inputs_New Techs'!$J22</f>
        <v>4.5926444555290189</v>
      </c>
      <c r="AF22" s="76">
        <f>'Key Inputs_BY Techs'!AD$11*'Key Inputs_New Techs'!$J22</f>
        <v>4.5926444555290189</v>
      </c>
      <c r="AG22" s="76">
        <f>'Key Inputs_BY Techs'!AE$11*'Key Inputs_New Techs'!$J22</f>
        <v>4.5926444555290189</v>
      </c>
      <c r="AH22" s="76">
        <f>'Key Inputs_BY Techs'!AF$11*'Key Inputs_New Techs'!$J22</f>
        <v>4.5926444555290189</v>
      </c>
      <c r="AI22" s="76">
        <f>'Key Inputs_BY Techs'!AG$11*'Key Inputs_New Techs'!$J22</f>
        <v>4.5926444555290189</v>
      </c>
      <c r="AJ22" s="76">
        <f>'Key Inputs_BY Techs'!AH$11*'Key Inputs_New Techs'!$J22</f>
        <v>4.5926444555290189</v>
      </c>
      <c r="AK22" s="76">
        <f>'Key Inputs_BY Techs'!AI$11*'Key Inputs_New Techs'!$J22</f>
        <v>3.4034775875795402</v>
      </c>
      <c r="AL22" s="76">
        <f>'Key Inputs_BY Techs'!AJ$11*'Key Inputs_New Techs'!$J22</f>
        <v>3.4034775875795402</v>
      </c>
      <c r="AM22" s="426"/>
      <c r="AN22" s="426"/>
      <c r="AO22" s="426"/>
      <c r="AP22" s="426"/>
      <c r="AQ22" s="426"/>
      <c r="AR22" s="426"/>
      <c r="AS22" s="426"/>
      <c r="AT22" s="426"/>
      <c r="AU22" s="426"/>
      <c r="AV22" s="426"/>
      <c r="AW22" s="426"/>
      <c r="AX22" s="426"/>
      <c r="AY22" s="426"/>
    </row>
    <row r="23" spans="1:51" x14ac:dyDescent="0.25">
      <c r="B23" s="425"/>
      <c r="F23" s="443"/>
      <c r="G23" s="443"/>
      <c r="H23" s="445">
        <v>2050</v>
      </c>
      <c r="I23" s="134">
        <f>498%</f>
        <v>4.9800000000000004</v>
      </c>
      <c r="J23" s="161">
        <v>2.0942237014423086</v>
      </c>
      <c r="K23" s="76">
        <f>'Key Inputs_BY Techs'!I$11*'Key Inputs_New Techs'!$J23</f>
        <v>5.5823626985646175</v>
      </c>
      <c r="L23" s="76">
        <f>'Key Inputs_BY Techs'!J$11*'Key Inputs_New Techs'!$J23</f>
        <v>5.5823626985646175</v>
      </c>
      <c r="M23" s="76">
        <f>'Key Inputs_BY Techs'!K$11*'Key Inputs_New Techs'!$J23</f>
        <v>5.5823626985646175</v>
      </c>
      <c r="N23" s="76">
        <f>'Key Inputs_BY Techs'!L$11*'Key Inputs_New Techs'!$J23</f>
        <v>5.5823626985646175</v>
      </c>
      <c r="O23" s="76">
        <f>'Key Inputs_BY Techs'!M$11*'Key Inputs_New Techs'!$J23</f>
        <v>4.9842524094326945</v>
      </c>
      <c r="P23" s="76">
        <f>'Key Inputs_BY Techs'!N$11*'Key Inputs_New Techs'!$J23</f>
        <v>4.1369294998291357</v>
      </c>
      <c r="Q23" s="76">
        <f>'Key Inputs_BY Techs'!O$11*'Key Inputs_New Techs'!$J23</f>
        <v>4.1369294998291357</v>
      </c>
      <c r="R23" s="76">
        <f>'Key Inputs_BY Techs'!P$11*'Key Inputs_New Techs'!$J23</f>
        <v>4.9842524094326945</v>
      </c>
      <c r="S23" s="76">
        <f>'Key Inputs_BY Techs'!Q$11*'Key Inputs_New Techs'!$J23</f>
        <v>5.5823626985646175</v>
      </c>
      <c r="T23" s="76">
        <f>'Key Inputs_BY Techs'!R$11*'Key Inputs_New Techs'!$J23</f>
        <v>4.9842524094326945</v>
      </c>
      <c r="U23" s="76">
        <f>'Key Inputs_BY Techs'!S$11*'Key Inputs_New Techs'!$J23</f>
        <v>5.5823626985646175</v>
      </c>
      <c r="V23" s="76">
        <f>'Key Inputs_BY Techs'!T$11*'Key Inputs_New Techs'!$J23</f>
        <v>4.1369294998291357</v>
      </c>
      <c r="W23" s="76">
        <f>'Key Inputs_BY Techs'!U$11*'Key Inputs_New Techs'!$J23</f>
        <v>5.5823626985646175</v>
      </c>
      <c r="X23" s="76">
        <f>'Key Inputs_BY Techs'!V$11*'Key Inputs_New Techs'!$J23</f>
        <v>5.5823626985646175</v>
      </c>
      <c r="Y23" s="76">
        <f>'Key Inputs_BY Techs'!W$11*'Key Inputs_New Techs'!$J23</f>
        <v>5.5823626985646175</v>
      </c>
      <c r="Z23" s="76">
        <f>'Key Inputs_BY Techs'!X$11*'Key Inputs_New Techs'!$J23</f>
        <v>4.1369294998291357</v>
      </c>
      <c r="AA23" s="76">
        <f>'Key Inputs_BY Techs'!Y$11*'Key Inputs_New Techs'!$J23</f>
        <v>4.1369294998291357</v>
      </c>
      <c r="AB23" s="76">
        <f>'Key Inputs_BY Techs'!Z$11*'Key Inputs_New Techs'!$J23</f>
        <v>4.1369294998291357</v>
      </c>
      <c r="AC23" s="76">
        <f>'Key Inputs_BY Techs'!AA$11*'Key Inputs_New Techs'!$J23</f>
        <v>4.9842524094326945</v>
      </c>
      <c r="AD23" s="76">
        <f>'Key Inputs_BY Techs'!AB$11*'Key Inputs_New Techs'!$J23</f>
        <v>4.9842524094326945</v>
      </c>
      <c r="AE23" s="76">
        <f>'Key Inputs_BY Techs'!AC$11*'Key Inputs_New Techs'!$J23</f>
        <v>5.5823626985646175</v>
      </c>
      <c r="AF23" s="76">
        <f>'Key Inputs_BY Techs'!AD$11*'Key Inputs_New Techs'!$J23</f>
        <v>5.5823626985646175</v>
      </c>
      <c r="AG23" s="76">
        <f>'Key Inputs_BY Techs'!AE$11*'Key Inputs_New Techs'!$J23</f>
        <v>5.5823626985646175</v>
      </c>
      <c r="AH23" s="76">
        <f>'Key Inputs_BY Techs'!AF$11*'Key Inputs_New Techs'!$J23</f>
        <v>5.5823626985646175</v>
      </c>
      <c r="AI23" s="76">
        <f>'Key Inputs_BY Techs'!AG$11*'Key Inputs_New Techs'!$J23</f>
        <v>5.5823626985646175</v>
      </c>
      <c r="AJ23" s="76">
        <f>'Key Inputs_BY Techs'!AH$11*'Key Inputs_New Techs'!$J23</f>
        <v>5.5823626985646175</v>
      </c>
      <c r="AK23" s="76">
        <f>'Key Inputs_BY Techs'!AI$11*'Key Inputs_New Techs'!$J23</f>
        <v>4.1369294998291357</v>
      </c>
      <c r="AL23" s="76">
        <f>'Key Inputs_BY Techs'!AJ$11*'Key Inputs_New Techs'!$J23</f>
        <v>4.1369294998291357</v>
      </c>
      <c r="AM23" s="426"/>
      <c r="AN23" s="426"/>
      <c r="AO23" s="426"/>
      <c r="AP23" s="426"/>
      <c r="AQ23" s="426"/>
      <c r="AR23" s="426"/>
      <c r="AS23" s="426"/>
      <c r="AT23" s="426"/>
      <c r="AU23" s="426"/>
      <c r="AV23" s="426"/>
      <c r="AW23" s="426"/>
      <c r="AX23" s="426"/>
      <c r="AY23" s="426"/>
    </row>
    <row r="24" spans="1:51" x14ac:dyDescent="0.25">
      <c r="A24" s="424" t="s">
        <v>122</v>
      </c>
      <c r="B24" s="425" t="s">
        <v>512</v>
      </c>
      <c r="C24" s="425" t="s">
        <v>19</v>
      </c>
      <c r="D24" s="425" t="s">
        <v>105</v>
      </c>
      <c r="E24" s="425" t="s">
        <v>271</v>
      </c>
      <c r="F24" s="443">
        <v>2030</v>
      </c>
      <c r="G24" s="443">
        <v>15</v>
      </c>
      <c r="H24" s="445">
        <v>2030</v>
      </c>
      <c r="I24" s="134">
        <f>452%</f>
        <v>4.5199999999999996</v>
      </c>
      <c r="J24" s="161">
        <v>1.9007813515098859</v>
      </c>
      <c r="K24" s="76">
        <f>'Key Inputs_BY Techs'!I$11*'Key Inputs_New Techs'!$J24</f>
        <v>5.066722770584752</v>
      </c>
      <c r="L24" s="76">
        <f>'Key Inputs_BY Techs'!J$11*'Key Inputs_New Techs'!$J24</f>
        <v>5.066722770584752</v>
      </c>
      <c r="M24" s="76">
        <f>'Key Inputs_BY Techs'!K$11*'Key Inputs_New Techs'!$J24</f>
        <v>5.066722770584752</v>
      </c>
      <c r="N24" s="76">
        <f>'Key Inputs_BY Techs'!L$11*'Key Inputs_New Techs'!$J24</f>
        <v>5.066722770584752</v>
      </c>
      <c r="O24" s="76">
        <f>'Key Inputs_BY Techs'!M$11*'Key Inputs_New Techs'!$J24</f>
        <v>4.5238596165935281</v>
      </c>
      <c r="P24" s="76">
        <f>'Key Inputs_BY Techs'!N$11*'Key Inputs_New Techs'!$J24</f>
        <v>3.7548034817726283</v>
      </c>
      <c r="Q24" s="76">
        <f>'Key Inputs_BY Techs'!O$11*'Key Inputs_New Techs'!$J24</f>
        <v>3.7548034817726283</v>
      </c>
      <c r="R24" s="76">
        <f>'Key Inputs_BY Techs'!P$11*'Key Inputs_New Techs'!$J24</f>
        <v>4.5238596165935281</v>
      </c>
      <c r="S24" s="76">
        <f>'Key Inputs_BY Techs'!Q$11*'Key Inputs_New Techs'!$J24</f>
        <v>5.066722770584752</v>
      </c>
      <c r="T24" s="76">
        <f>'Key Inputs_BY Techs'!R$11*'Key Inputs_New Techs'!$J24</f>
        <v>4.5238596165935281</v>
      </c>
      <c r="U24" s="76">
        <f>'Key Inputs_BY Techs'!S$11*'Key Inputs_New Techs'!$J24</f>
        <v>5.066722770584752</v>
      </c>
      <c r="V24" s="76">
        <f>'Key Inputs_BY Techs'!T$11*'Key Inputs_New Techs'!$J24</f>
        <v>3.7548034817726283</v>
      </c>
      <c r="W24" s="76">
        <f>'Key Inputs_BY Techs'!U$11*'Key Inputs_New Techs'!$J24</f>
        <v>5.066722770584752</v>
      </c>
      <c r="X24" s="76">
        <f>'Key Inputs_BY Techs'!V$11*'Key Inputs_New Techs'!$J24</f>
        <v>5.066722770584752</v>
      </c>
      <c r="Y24" s="76">
        <f>'Key Inputs_BY Techs'!W$11*'Key Inputs_New Techs'!$J24</f>
        <v>5.066722770584752</v>
      </c>
      <c r="Z24" s="76">
        <f>'Key Inputs_BY Techs'!X$11*'Key Inputs_New Techs'!$J24</f>
        <v>3.7548034817726283</v>
      </c>
      <c r="AA24" s="76">
        <f>'Key Inputs_BY Techs'!Y$11*'Key Inputs_New Techs'!$J24</f>
        <v>3.7548034817726283</v>
      </c>
      <c r="AB24" s="76">
        <f>'Key Inputs_BY Techs'!Z$11*'Key Inputs_New Techs'!$J24</f>
        <v>3.7548034817726283</v>
      </c>
      <c r="AC24" s="76">
        <f>'Key Inputs_BY Techs'!AA$11*'Key Inputs_New Techs'!$J24</f>
        <v>4.5238596165935281</v>
      </c>
      <c r="AD24" s="76">
        <f>'Key Inputs_BY Techs'!AB$11*'Key Inputs_New Techs'!$J24</f>
        <v>4.5238596165935281</v>
      </c>
      <c r="AE24" s="76">
        <f>'Key Inputs_BY Techs'!AC$11*'Key Inputs_New Techs'!$J24</f>
        <v>5.066722770584752</v>
      </c>
      <c r="AF24" s="76">
        <f>'Key Inputs_BY Techs'!AD$11*'Key Inputs_New Techs'!$J24</f>
        <v>5.066722770584752</v>
      </c>
      <c r="AG24" s="76">
        <f>'Key Inputs_BY Techs'!AE$11*'Key Inputs_New Techs'!$J24</f>
        <v>5.066722770584752</v>
      </c>
      <c r="AH24" s="76">
        <f>'Key Inputs_BY Techs'!AF$11*'Key Inputs_New Techs'!$J24</f>
        <v>5.066722770584752</v>
      </c>
      <c r="AI24" s="76">
        <f>'Key Inputs_BY Techs'!AG$11*'Key Inputs_New Techs'!$J24</f>
        <v>5.066722770584752</v>
      </c>
      <c r="AJ24" s="76">
        <f>'Key Inputs_BY Techs'!AH$11*'Key Inputs_New Techs'!$J24</f>
        <v>5.066722770584752</v>
      </c>
      <c r="AK24" s="76">
        <f>'Key Inputs_BY Techs'!AI$11*'Key Inputs_New Techs'!$J24</f>
        <v>3.7548034817726283</v>
      </c>
      <c r="AL24" s="76">
        <f>'Key Inputs_BY Techs'!AJ$11*'Key Inputs_New Techs'!$J24</f>
        <v>3.7548034817726283</v>
      </c>
      <c r="AM24" s="426"/>
      <c r="AN24" s="426"/>
      <c r="AO24" s="426"/>
      <c r="AP24" s="426"/>
      <c r="AQ24" s="426"/>
      <c r="AR24" s="426"/>
      <c r="AS24" s="426"/>
      <c r="AT24" s="426"/>
      <c r="AU24" s="426"/>
      <c r="AV24" s="426"/>
      <c r="AW24" s="426"/>
      <c r="AX24" s="426"/>
      <c r="AY24" s="426"/>
    </row>
    <row r="25" spans="1:51" x14ac:dyDescent="0.25">
      <c r="B25" s="425"/>
      <c r="F25" s="443"/>
      <c r="G25" s="443"/>
      <c r="H25" s="445">
        <v>2050</v>
      </c>
      <c r="I25" s="134">
        <f>572.905577619048%</f>
        <v>5.7290557761904806</v>
      </c>
      <c r="J25" s="161">
        <v>2.4092217657395705</v>
      </c>
      <c r="K25" s="76">
        <f>'Key Inputs_BY Techs'!I$11*'Key Inputs_New Techs'!$J25</f>
        <v>6.4220215387553994</v>
      </c>
      <c r="L25" s="76">
        <f>'Key Inputs_BY Techs'!J$11*'Key Inputs_New Techs'!$J25</f>
        <v>6.4220215387553994</v>
      </c>
      <c r="M25" s="76">
        <f>'Key Inputs_BY Techs'!K$11*'Key Inputs_New Techs'!$J25</f>
        <v>6.4220215387553994</v>
      </c>
      <c r="N25" s="76">
        <f>'Key Inputs_BY Techs'!L$11*'Key Inputs_New Techs'!$J25</f>
        <v>6.4220215387553994</v>
      </c>
      <c r="O25" s="76">
        <f>'Key Inputs_BY Techs'!M$11*'Key Inputs_New Techs'!$J25</f>
        <v>5.7339478024601771</v>
      </c>
      <c r="P25" s="76">
        <f>'Key Inputs_BY Techs'!N$11*'Key Inputs_New Techs'!$J25</f>
        <v>4.7591766760419469</v>
      </c>
      <c r="Q25" s="76">
        <f>'Key Inputs_BY Techs'!O$11*'Key Inputs_New Techs'!$J25</f>
        <v>4.7591766760419469</v>
      </c>
      <c r="R25" s="76">
        <f>'Key Inputs_BY Techs'!P$11*'Key Inputs_New Techs'!$J25</f>
        <v>5.7339478024601771</v>
      </c>
      <c r="S25" s="76">
        <f>'Key Inputs_BY Techs'!Q$11*'Key Inputs_New Techs'!$J25</f>
        <v>6.4220215387553994</v>
      </c>
      <c r="T25" s="76">
        <f>'Key Inputs_BY Techs'!R$11*'Key Inputs_New Techs'!$J25</f>
        <v>5.7339478024601771</v>
      </c>
      <c r="U25" s="76">
        <f>'Key Inputs_BY Techs'!S$11*'Key Inputs_New Techs'!$J25</f>
        <v>6.4220215387553994</v>
      </c>
      <c r="V25" s="76">
        <f>'Key Inputs_BY Techs'!T$11*'Key Inputs_New Techs'!$J25</f>
        <v>4.7591766760419469</v>
      </c>
      <c r="W25" s="76">
        <f>'Key Inputs_BY Techs'!U$11*'Key Inputs_New Techs'!$J25</f>
        <v>6.4220215387553994</v>
      </c>
      <c r="X25" s="76">
        <f>'Key Inputs_BY Techs'!V$11*'Key Inputs_New Techs'!$J25</f>
        <v>6.4220215387553994</v>
      </c>
      <c r="Y25" s="76">
        <f>'Key Inputs_BY Techs'!W$11*'Key Inputs_New Techs'!$J25</f>
        <v>6.4220215387553994</v>
      </c>
      <c r="Z25" s="76">
        <f>'Key Inputs_BY Techs'!X$11*'Key Inputs_New Techs'!$J25</f>
        <v>4.7591766760419469</v>
      </c>
      <c r="AA25" s="76">
        <f>'Key Inputs_BY Techs'!Y$11*'Key Inputs_New Techs'!$J25</f>
        <v>4.7591766760419469</v>
      </c>
      <c r="AB25" s="76">
        <f>'Key Inputs_BY Techs'!Z$11*'Key Inputs_New Techs'!$J25</f>
        <v>4.7591766760419469</v>
      </c>
      <c r="AC25" s="76">
        <f>'Key Inputs_BY Techs'!AA$11*'Key Inputs_New Techs'!$J25</f>
        <v>5.7339478024601771</v>
      </c>
      <c r="AD25" s="76">
        <f>'Key Inputs_BY Techs'!AB$11*'Key Inputs_New Techs'!$J25</f>
        <v>5.7339478024601771</v>
      </c>
      <c r="AE25" s="76">
        <f>'Key Inputs_BY Techs'!AC$11*'Key Inputs_New Techs'!$J25</f>
        <v>6.4220215387553994</v>
      </c>
      <c r="AF25" s="76">
        <f>'Key Inputs_BY Techs'!AD$11*'Key Inputs_New Techs'!$J25</f>
        <v>6.4220215387553994</v>
      </c>
      <c r="AG25" s="76">
        <f>'Key Inputs_BY Techs'!AE$11*'Key Inputs_New Techs'!$J25</f>
        <v>6.4220215387553994</v>
      </c>
      <c r="AH25" s="76">
        <f>'Key Inputs_BY Techs'!AF$11*'Key Inputs_New Techs'!$J25</f>
        <v>6.4220215387553994</v>
      </c>
      <c r="AI25" s="76">
        <f>'Key Inputs_BY Techs'!AG$11*'Key Inputs_New Techs'!$J25</f>
        <v>6.4220215387553994</v>
      </c>
      <c r="AJ25" s="76">
        <f>'Key Inputs_BY Techs'!AH$11*'Key Inputs_New Techs'!$J25</f>
        <v>6.4220215387553994</v>
      </c>
      <c r="AK25" s="76">
        <f>'Key Inputs_BY Techs'!AI$11*'Key Inputs_New Techs'!$J25</f>
        <v>4.7591766760419469</v>
      </c>
      <c r="AL25" s="76">
        <f>'Key Inputs_BY Techs'!AJ$11*'Key Inputs_New Techs'!$J25</f>
        <v>4.7591766760419469</v>
      </c>
      <c r="AM25" s="426"/>
      <c r="AN25" s="426"/>
      <c r="AO25" s="426"/>
      <c r="AP25" s="426"/>
      <c r="AQ25" s="426"/>
      <c r="AR25" s="426"/>
      <c r="AS25" s="426"/>
      <c r="AT25" s="426"/>
      <c r="AU25" s="426"/>
      <c r="AV25" s="426"/>
      <c r="AW25" s="426"/>
      <c r="AX25" s="426"/>
      <c r="AY25" s="426"/>
    </row>
    <row r="26" spans="1:51" x14ac:dyDescent="0.25">
      <c r="A26" s="424" t="s">
        <v>122</v>
      </c>
      <c r="B26" s="425" t="s">
        <v>513</v>
      </c>
      <c r="C26" s="425" t="s">
        <v>19</v>
      </c>
      <c r="D26" s="425" t="s">
        <v>105</v>
      </c>
      <c r="E26" s="425" t="s">
        <v>242</v>
      </c>
      <c r="F26" s="443">
        <v>2020</v>
      </c>
      <c r="G26" s="443">
        <v>15</v>
      </c>
      <c r="H26" s="445">
        <v>2020</v>
      </c>
      <c r="I26" s="134">
        <v>0.99</v>
      </c>
      <c r="J26" s="161">
        <v>1</v>
      </c>
      <c r="K26" s="76">
        <f>'Key Inputs_BY Techs'!I$10*'Key Inputs_New Techs'!$J26</f>
        <v>0.99</v>
      </c>
      <c r="L26" s="76">
        <f>'Key Inputs_BY Techs'!J$10*'Key Inputs_New Techs'!$J26</f>
        <v>0.99</v>
      </c>
      <c r="M26" s="76">
        <f>'Key Inputs_BY Techs'!K$10*'Key Inputs_New Techs'!$J26</f>
        <v>0.99</v>
      </c>
      <c r="N26" s="76">
        <f>'Key Inputs_BY Techs'!L$10*'Key Inputs_New Techs'!$J26</f>
        <v>0.99</v>
      </c>
      <c r="O26" s="76">
        <f>'Key Inputs_BY Techs'!M$10*'Key Inputs_New Techs'!$J26</f>
        <v>0.99</v>
      </c>
      <c r="P26" s="76">
        <f>'Key Inputs_BY Techs'!N$10*'Key Inputs_New Techs'!$J26</f>
        <v>0.99</v>
      </c>
      <c r="Q26" s="76">
        <f>'Key Inputs_BY Techs'!O$10*'Key Inputs_New Techs'!$J26</f>
        <v>0.99</v>
      </c>
      <c r="R26" s="76">
        <f>'Key Inputs_BY Techs'!P$10*'Key Inputs_New Techs'!$J26</f>
        <v>0.99</v>
      </c>
      <c r="S26" s="76">
        <f>'Key Inputs_BY Techs'!Q$10*'Key Inputs_New Techs'!$J26</f>
        <v>0.99</v>
      </c>
      <c r="T26" s="76">
        <f>'Key Inputs_BY Techs'!R$10*'Key Inputs_New Techs'!$J26</f>
        <v>0.99</v>
      </c>
      <c r="U26" s="76">
        <f>'Key Inputs_BY Techs'!S$10*'Key Inputs_New Techs'!$J26</f>
        <v>0.99</v>
      </c>
      <c r="V26" s="76">
        <f>'Key Inputs_BY Techs'!T$10*'Key Inputs_New Techs'!$J26</f>
        <v>0.99</v>
      </c>
      <c r="W26" s="76">
        <f>'Key Inputs_BY Techs'!U$10*'Key Inputs_New Techs'!$J26</f>
        <v>0.99</v>
      </c>
      <c r="X26" s="76">
        <f>'Key Inputs_BY Techs'!V$10*'Key Inputs_New Techs'!$J26</f>
        <v>0.99</v>
      </c>
      <c r="Y26" s="76">
        <f>'Key Inputs_BY Techs'!W$10*'Key Inputs_New Techs'!$J26</f>
        <v>0.99</v>
      </c>
      <c r="Z26" s="76">
        <f>'Key Inputs_BY Techs'!X$10*'Key Inputs_New Techs'!$J26</f>
        <v>0.99</v>
      </c>
      <c r="AA26" s="76">
        <f>'Key Inputs_BY Techs'!Y$10*'Key Inputs_New Techs'!$J26</f>
        <v>0.99</v>
      </c>
      <c r="AB26" s="76">
        <f>'Key Inputs_BY Techs'!Z$10*'Key Inputs_New Techs'!$J26</f>
        <v>0.99</v>
      </c>
      <c r="AC26" s="76">
        <f>'Key Inputs_BY Techs'!AA$10*'Key Inputs_New Techs'!$J26</f>
        <v>0.99</v>
      </c>
      <c r="AD26" s="76">
        <f>'Key Inputs_BY Techs'!AB$10*'Key Inputs_New Techs'!$J26</f>
        <v>0.99</v>
      </c>
      <c r="AE26" s="76">
        <f>'Key Inputs_BY Techs'!AC$10*'Key Inputs_New Techs'!$J26</f>
        <v>0.99</v>
      </c>
      <c r="AF26" s="76">
        <f>'Key Inputs_BY Techs'!AD$10*'Key Inputs_New Techs'!$J26</f>
        <v>0.99</v>
      </c>
      <c r="AG26" s="76">
        <f>'Key Inputs_BY Techs'!AE$10*'Key Inputs_New Techs'!$J26</f>
        <v>0.99</v>
      </c>
      <c r="AH26" s="76">
        <f>'Key Inputs_BY Techs'!AF$10*'Key Inputs_New Techs'!$J26</f>
        <v>0.99</v>
      </c>
      <c r="AI26" s="76">
        <f>'Key Inputs_BY Techs'!AG$10*'Key Inputs_New Techs'!$J26</f>
        <v>0.99</v>
      </c>
      <c r="AJ26" s="76">
        <f>'Key Inputs_BY Techs'!AH$10*'Key Inputs_New Techs'!$J26</f>
        <v>0.99</v>
      </c>
      <c r="AK26" s="76">
        <f>'Key Inputs_BY Techs'!AI$10*'Key Inputs_New Techs'!$J26</f>
        <v>0.99</v>
      </c>
      <c r="AL26" s="76">
        <f>'Key Inputs_BY Techs'!AJ$10*'Key Inputs_New Techs'!$J26</f>
        <v>0.99</v>
      </c>
      <c r="AM26" s="426"/>
      <c r="AN26" s="426"/>
      <c r="AO26" s="426"/>
      <c r="AP26" s="426"/>
      <c r="AQ26" s="426"/>
      <c r="AR26" s="426"/>
      <c r="AS26" s="426"/>
      <c r="AT26" s="426"/>
      <c r="AU26" s="426"/>
      <c r="AV26" s="426"/>
      <c r="AW26" s="426"/>
      <c r="AX26" s="426"/>
      <c r="AY26" s="426"/>
    </row>
    <row r="27" spans="1:51" x14ac:dyDescent="0.25">
      <c r="A27" s="424" t="s">
        <v>122</v>
      </c>
      <c r="B27" s="425" t="s">
        <v>514</v>
      </c>
      <c r="C27" s="425" t="s">
        <v>515</v>
      </c>
      <c r="D27" s="425" t="s">
        <v>516</v>
      </c>
      <c r="E27" s="425" t="s">
        <v>265</v>
      </c>
      <c r="F27" s="443">
        <v>2020</v>
      </c>
      <c r="G27" s="444">
        <v>15</v>
      </c>
      <c r="H27" s="445">
        <v>2020</v>
      </c>
      <c r="I27" s="134">
        <v>0.86580000000000013</v>
      </c>
      <c r="J27" s="161">
        <v>1</v>
      </c>
      <c r="K27" s="76">
        <f>'Key Inputs_BY Techs'!I$12*'Key Inputs_New Techs'!$J27</f>
        <v>0.86580000000000013</v>
      </c>
      <c r="L27" s="76">
        <f>'Key Inputs_BY Techs'!J$12*'Key Inputs_New Techs'!$J27</f>
        <v>0.86580000000000013</v>
      </c>
      <c r="M27" s="76">
        <f>'Key Inputs_BY Techs'!K$12*'Key Inputs_New Techs'!$J27</f>
        <v>0.86580000000000013</v>
      </c>
      <c r="N27" s="76">
        <f>'Key Inputs_BY Techs'!L$12*'Key Inputs_New Techs'!$J27</f>
        <v>0.86580000000000013</v>
      </c>
      <c r="O27" s="76">
        <f>'Key Inputs_BY Techs'!M$12*'Key Inputs_New Techs'!$J27</f>
        <v>0.86580000000000013</v>
      </c>
      <c r="P27" s="76">
        <f>'Key Inputs_BY Techs'!N$12*'Key Inputs_New Techs'!$J27</f>
        <v>0.86580000000000013</v>
      </c>
      <c r="Q27" s="76">
        <f>'Key Inputs_BY Techs'!O$12*'Key Inputs_New Techs'!$J27</f>
        <v>0.86580000000000013</v>
      </c>
      <c r="R27" s="76">
        <f>'Key Inputs_BY Techs'!P$12*'Key Inputs_New Techs'!$J27</f>
        <v>0.86580000000000013</v>
      </c>
      <c r="S27" s="76">
        <f>'Key Inputs_BY Techs'!Q$12*'Key Inputs_New Techs'!$J27</f>
        <v>0.86580000000000013</v>
      </c>
      <c r="T27" s="76">
        <f>'Key Inputs_BY Techs'!R$12*'Key Inputs_New Techs'!$J27</f>
        <v>0.86580000000000013</v>
      </c>
      <c r="U27" s="76">
        <f>'Key Inputs_BY Techs'!S$12*'Key Inputs_New Techs'!$J27</f>
        <v>0.86580000000000013</v>
      </c>
      <c r="V27" s="76">
        <f>'Key Inputs_BY Techs'!T$12*'Key Inputs_New Techs'!$J27</f>
        <v>0.86580000000000013</v>
      </c>
      <c r="W27" s="76">
        <f>'Key Inputs_BY Techs'!U$12*'Key Inputs_New Techs'!$J27</f>
        <v>0.86580000000000013</v>
      </c>
      <c r="X27" s="76">
        <f>'Key Inputs_BY Techs'!V$12*'Key Inputs_New Techs'!$J27</f>
        <v>0.86580000000000013</v>
      </c>
      <c r="Y27" s="76">
        <f>'Key Inputs_BY Techs'!W$12*'Key Inputs_New Techs'!$J27</f>
        <v>0.86580000000000013</v>
      </c>
      <c r="Z27" s="76">
        <f>'Key Inputs_BY Techs'!X$12*'Key Inputs_New Techs'!$J27</f>
        <v>0.86580000000000013</v>
      </c>
      <c r="AA27" s="76">
        <f>'Key Inputs_BY Techs'!Y$12*'Key Inputs_New Techs'!$J27</f>
        <v>0.86580000000000013</v>
      </c>
      <c r="AB27" s="76">
        <f>'Key Inputs_BY Techs'!Z$12*'Key Inputs_New Techs'!$J27</f>
        <v>0.86580000000000013</v>
      </c>
      <c r="AC27" s="76">
        <f>'Key Inputs_BY Techs'!AA$12*'Key Inputs_New Techs'!$J27</f>
        <v>0.86580000000000013</v>
      </c>
      <c r="AD27" s="76">
        <f>'Key Inputs_BY Techs'!AB$12*'Key Inputs_New Techs'!$J27</f>
        <v>0.86580000000000013</v>
      </c>
      <c r="AE27" s="76">
        <f>'Key Inputs_BY Techs'!AC$12*'Key Inputs_New Techs'!$J27</f>
        <v>0.86580000000000013</v>
      </c>
      <c r="AF27" s="76">
        <f>'Key Inputs_BY Techs'!AD$12*'Key Inputs_New Techs'!$J27</f>
        <v>0.86580000000000013</v>
      </c>
      <c r="AG27" s="76">
        <f>'Key Inputs_BY Techs'!AE$12*'Key Inputs_New Techs'!$J27</f>
        <v>0.86580000000000013</v>
      </c>
      <c r="AH27" s="76">
        <f>'Key Inputs_BY Techs'!AF$12*'Key Inputs_New Techs'!$J27</f>
        <v>0.86580000000000013</v>
      </c>
      <c r="AI27" s="76">
        <f>'Key Inputs_BY Techs'!AG$12*'Key Inputs_New Techs'!$J27</f>
        <v>0.86580000000000013</v>
      </c>
      <c r="AJ27" s="76">
        <f>'Key Inputs_BY Techs'!AH$12*'Key Inputs_New Techs'!$J27</f>
        <v>0.86580000000000013</v>
      </c>
      <c r="AK27" s="76">
        <f>'Key Inputs_BY Techs'!AI$12*'Key Inputs_New Techs'!$J27</f>
        <v>0.86580000000000013</v>
      </c>
      <c r="AL27" s="76">
        <f>'Key Inputs_BY Techs'!AJ$12*'Key Inputs_New Techs'!$J27</f>
        <v>0.86580000000000013</v>
      </c>
      <c r="AM27" s="426"/>
      <c r="AN27" s="426"/>
      <c r="AO27" s="426"/>
      <c r="AP27" s="426"/>
      <c r="AQ27" s="426"/>
      <c r="AR27" s="426"/>
      <c r="AS27" s="426"/>
      <c r="AT27" s="426"/>
      <c r="AU27" s="426"/>
      <c r="AV27" s="426"/>
      <c r="AW27" s="426"/>
      <c r="AX27" s="426"/>
      <c r="AY27" s="426"/>
    </row>
    <row r="28" spans="1:51" x14ac:dyDescent="0.25">
      <c r="A28" s="424" t="s">
        <v>122</v>
      </c>
      <c r="B28" s="425" t="s">
        <v>517</v>
      </c>
      <c r="C28" s="425" t="s">
        <v>515</v>
      </c>
      <c r="D28" s="425" t="s">
        <v>516</v>
      </c>
      <c r="E28" s="425" t="s">
        <v>274</v>
      </c>
      <c r="F28" s="443">
        <v>2020</v>
      </c>
      <c r="G28" s="443">
        <v>15</v>
      </c>
      <c r="H28" s="445">
        <v>2020</v>
      </c>
      <c r="I28" s="134">
        <v>1.0323</v>
      </c>
      <c r="J28" s="161">
        <v>1.1923076923076921</v>
      </c>
      <c r="K28" s="76">
        <f>'Key Inputs_BY Techs'!I$12*'Key Inputs_New Techs'!$J28</f>
        <v>1.0323</v>
      </c>
      <c r="L28" s="76">
        <f>'Key Inputs_BY Techs'!J$12*'Key Inputs_New Techs'!$J28</f>
        <v>1.0323</v>
      </c>
      <c r="M28" s="76">
        <f>'Key Inputs_BY Techs'!K$12*'Key Inputs_New Techs'!$J28</f>
        <v>1.0323</v>
      </c>
      <c r="N28" s="76">
        <f>'Key Inputs_BY Techs'!L$12*'Key Inputs_New Techs'!$J28</f>
        <v>1.0323</v>
      </c>
      <c r="O28" s="76">
        <f>'Key Inputs_BY Techs'!M$12*'Key Inputs_New Techs'!$J28</f>
        <v>1.0323</v>
      </c>
      <c r="P28" s="76">
        <f>'Key Inputs_BY Techs'!N$12*'Key Inputs_New Techs'!$J28</f>
        <v>1.0323</v>
      </c>
      <c r="Q28" s="76">
        <f>'Key Inputs_BY Techs'!O$12*'Key Inputs_New Techs'!$J28</f>
        <v>1.0323</v>
      </c>
      <c r="R28" s="76">
        <f>'Key Inputs_BY Techs'!P$12*'Key Inputs_New Techs'!$J28</f>
        <v>1.0323</v>
      </c>
      <c r="S28" s="76">
        <f>'Key Inputs_BY Techs'!Q$12*'Key Inputs_New Techs'!$J28</f>
        <v>1.0323</v>
      </c>
      <c r="T28" s="76">
        <f>'Key Inputs_BY Techs'!R$12*'Key Inputs_New Techs'!$J28</f>
        <v>1.0323</v>
      </c>
      <c r="U28" s="76">
        <f>'Key Inputs_BY Techs'!S$12*'Key Inputs_New Techs'!$J28</f>
        <v>1.0323</v>
      </c>
      <c r="V28" s="76">
        <f>'Key Inputs_BY Techs'!T$12*'Key Inputs_New Techs'!$J28</f>
        <v>1.0323</v>
      </c>
      <c r="W28" s="76">
        <f>'Key Inputs_BY Techs'!U$12*'Key Inputs_New Techs'!$J28</f>
        <v>1.0323</v>
      </c>
      <c r="X28" s="76">
        <f>'Key Inputs_BY Techs'!V$12*'Key Inputs_New Techs'!$J28</f>
        <v>1.0323</v>
      </c>
      <c r="Y28" s="76">
        <f>'Key Inputs_BY Techs'!W$12*'Key Inputs_New Techs'!$J28</f>
        <v>1.0323</v>
      </c>
      <c r="Z28" s="76">
        <f>'Key Inputs_BY Techs'!X$12*'Key Inputs_New Techs'!$J28</f>
        <v>1.0323</v>
      </c>
      <c r="AA28" s="76">
        <f>'Key Inputs_BY Techs'!Y$12*'Key Inputs_New Techs'!$J28</f>
        <v>1.0323</v>
      </c>
      <c r="AB28" s="76">
        <f>'Key Inputs_BY Techs'!Z$12*'Key Inputs_New Techs'!$J28</f>
        <v>1.0323</v>
      </c>
      <c r="AC28" s="76">
        <f>'Key Inputs_BY Techs'!AA$12*'Key Inputs_New Techs'!$J28</f>
        <v>1.0323</v>
      </c>
      <c r="AD28" s="76">
        <f>'Key Inputs_BY Techs'!AB$12*'Key Inputs_New Techs'!$J28</f>
        <v>1.0323</v>
      </c>
      <c r="AE28" s="76">
        <f>'Key Inputs_BY Techs'!AC$12*'Key Inputs_New Techs'!$J28</f>
        <v>1.0323</v>
      </c>
      <c r="AF28" s="76">
        <f>'Key Inputs_BY Techs'!AD$12*'Key Inputs_New Techs'!$J28</f>
        <v>1.0323</v>
      </c>
      <c r="AG28" s="76">
        <f>'Key Inputs_BY Techs'!AE$12*'Key Inputs_New Techs'!$J28</f>
        <v>1.0323</v>
      </c>
      <c r="AH28" s="76">
        <f>'Key Inputs_BY Techs'!AF$12*'Key Inputs_New Techs'!$J28</f>
        <v>1.0323</v>
      </c>
      <c r="AI28" s="76">
        <f>'Key Inputs_BY Techs'!AG$12*'Key Inputs_New Techs'!$J28</f>
        <v>1.0323</v>
      </c>
      <c r="AJ28" s="76">
        <f>'Key Inputs_BY Techs'!AH$12*'Key Inputs_New Techs'!$J28</f>
        <v>1.0323</v>
      </c>
      <c r="AK28" s="76">
        <f>'Key Inputs_BY Techs'!AI$12*'Key Inputs_New Techs'!$J28</f>
        <v>1.0323</v>
      </c>
      <c r="AL28" s="76">
        <f>'Key Inputs_BY Techs'!AJ$12*'Key Inputs_New Techs'!$J28</f>
        <v>1.0323</v>
      </c>
      <c r="AM28" s="426"/>
      <c r="AN28" s="426"/>
      <c r="AO28" s="426"/>
      <c r="AP28" s="426"/>
      <c r="AQ28" s="426"/>
      <c r="AR28" s="426"/>
      <c r="AS28" s="426"/>
      <c r="AT28" s="426"/>
      <c r="AU28" s="426"/>
      <c r="AV28" s="426"/>
      <c r="AW28" s="426"/>
      <c r="AX28" s="426"/>
      <c r="AY28" s="426"/>
    </row>
    <row r="29" spans="1:51" x14ac:dyDescent="0.25">
      <c r="A29" s="424" t="s">
        <v>122</v>
      </c>
      <c r="B29" s="425" t="s">
        <v>518</v>
      </c>
      <c r="C29" s="425" t="s">
        <v>515</v>
      </c>
      <c r="D29" s="425" t="s">
        <v>516</v>
      </c>
      <c r="E29" s="425" t="s">
        <v>266</v>
      </c>
      <c r="F29" s="443">
        <v>2025</v>
      </c>
      <c r="G29" s="443">
        <v>15</v>
      </c>
      <c r="H29" s="445">
        <v>2025</v>
      </c>
      <c r="I29" s="134">
        <v>1.0323</v>
      </c>
      <c r="J29" s="161">
        <v>1.1923076923076921</v>
      </c>
      <c r="K29" s="76">
        <f>'Key Inputs_BY Techs'!I$12*'Key Inputs_New Techs'!$J29</f>
        <v>1.0323</v>
      </c>
      <c r="L29" s="76">
        <f>'Key Inputs_BY Techs'!J$12*'Key Inputs_New Techs'!$J29</f>
        <v>1.0323</v>
      </c>
      <c r="M29" s="76">
        <f>'Key Inputs_BY Techs'!K$12*'Key Inputs_New Techs'!$J29</f>
        <v>1.0323</v>
      </c>
      <c r="N29" s="76">
        <f>'Key Inputs_BY Techs'!L$12*'Key Inputs_New Techs'!$J29</f>
        <v>1.0323</v>
      </c>
      <c r="O29" s="76">
        <f>'Key Inputs_BY Techs'!M$12*'Key Inputs_New Techs'!$J29</f>
        <v>1.0323</v>
      </c>
      <c r="P29" s="76">
        <f>'Key Inputs_BY Techs'!N$12*'Key Inputs_New Techs'!$J29</f>
        <v>1.0323</v>
      </c>
      <c r="Q29" s="76">
        <f>'Key Inputs_BY Techs'!O$12*'Key Inputs_New Techs'!$J29</f>
        <v>1.0323</v>
      </c>
      <c r="R29" s="76">
        <f>'Key Inputs_BY Techs'!P$12*'Key Inputs_New Techs'!$J29</f>
        <v>1.0323</v>
      </c>
      <c r="S29" s="76">
        <f>'Key Inputs_BY Techs'!Q$12*'Key Inputs_New Techs'!$J29</f>
        <v>1.0323</v>
      </c>
      <c r="T29" s="76">
        <f>'Key Inputs_BY Techs'!R$12*'Key Inputs_New Techs'!$J29</f>
        <v>1.0323</v>
      </c>
      <c r="U29" s="76">
        <f>'Key Inputs_BY Techs'!S$12*'Key Inputs_New Techs'!$J29</f>
        <v>1.0323</v>
      </c>
      <c r="V29" s="76">
        <f>'Key Inputs_BY Techs'!T$12*'Key Inputs_New Techs'!$J29</f>
        <v>1.0323</v>
      </c>
      <c r="W29" s="76">
        <f>'Key Inputs_BY Techs'!U$12*'Key Inputs_New Techs'!$J29</f>
        <v>1.0323</v>
      </c>
      <c r="X29" s="76">
        <f>'Key Inputs_BY Techs'!V$12*'Key Inputs_New Techs'!$J29</f>
        <v>1.0323</v>
      </c>
      <c r="Y29" s="76">
        <f>'Key Inputs_BY Techs'!W$12*'Key Inputs_New Techs'!$J29</f>
        <v>1.0323</v>
      </c>
      <c r="Z29" s="76">
        <f>'Key Inputs_BY Techs'!X$12*'Key Inputs_New Techs'!$J29</f>
        <v>1.0323</v>
      </c>
      <c r="AA29" s="76">
        <f>'Key Inputs_BY Techs'!Y$12*'Key Inputs_New Techs'!$J29</f>
        <v>1.0323</v>
      </c>
      <c r="AB29" s="76">
        <f>'Key Inputs_BY Techs'!Z$12*'Key Inputs_New Techs'!$J29</f>
        <v>1.0323</v>
      </c>
      <c r="AC29" s="76">
        <f>'Key Inputs_BY Techs'!AA$12*'Key Inputs_New Techs'!$J29</f>
        <v>1.0323</v>
      </c>
      <c r="AD29" s="76">
        <f>'Key Inputs_BY Techs'!AB$12*'Key Inputs_New Techs'!$J29</f>
        <v>1.0323</v>
      </c>
      <c r="AE29" s="76">
        <f>'Key Inputs_BY Techs'!AC$12*'Key Inputs_New Techs'!$J29</f>
        <v>1.0323</v>
      </c>
      <c r="AF29" s="76">
        <f>'Key Inputs_BY Techs'!AD$12*'Key Inputs_New Techs'!$J29</f>
        <v>1.0323</v>
      </c>
      <c r="AG29" s="76">
        <f>'Key Inputs_BY Techs'!AE$12*'Key Inputs_New Techs'!$J29</f>
        <v>1.0323</v>
      </c>
      <c r="AH29" s="76">
        <f>'Key Inputs_BY Techs'!AF$12*'Key Inputs_New Techs'!$J29</f>
        <v>1.0323</v>
      </c>
      <c r="AI29" s="76">
        <f>'Key Inputs_BY Techs'!AG$12*'Key Inputs_New Techs'!$J29</f>
        <v>1.0323</v>
      </c>
      <c r="AJ29" s="76">
        <f>'Key Inputs_BY Techs'!AH$12*'Key Inputs_New Techs'!$J29</f>
        <v>1.0323</v>
      </c>
      <c r="AK29" s="76">
        <f>'Key Inputs_BY Techs'!AI$12*'Key Inputs_New Techs'!$J29</f>
        <v>1.0323</v>
      </c>
      <c r="AL29" s="76">
        <f>'Key Inputs_BY Techs'!AJ$12*'Key Inputs_New Techs'!$J29</f>
        <v>1.0323</v>
      </c>
      <c r="AM29" s="426"/>
      <c r="AN29" s="426"/>
      <c r="AO29" s="426"/>
      <c r="AP29" s="426"/>
      <c r="AQ29" s="426"/>
      <c r="AR29" s="426"/>
      <c r="AS29" s="426"/>
      <c r="AT29" s="426"/>
      <c r="AU29" s="426"/>
      <c r="AV29" s="426"/>
      <c r="AW29" s="426"/>
      <c r="AX29" s="426"/>
      <c r="AY29" s="426"/>
    </row>
    <row r="30" spans="1:51" x14ac:dyDescent="0.25">
      <c r="C30" s="424"/>
      <c r="D30" s="424"/>
      <c r="E30" s="424"/>
      <c r="F30" s="446"/>
      <c r="G30" s="446"/>
      <c r="H30" s="445">
        <v>2030</v>
      </c>
      <c r="I30" s="134">
        <v>0.98790000000000011</v>
      </c>
      <c r="J30" s="161">
        <v>1.141025641025641</v>
      </c>
      <c r="K30" s="76">
        <f>'Key Inputs_BY Techs'!I$12*'Key Inputs_New Techs'!$J30</f>
        <v>0.98790000000000011</v>
      </c>
      <c r="L30" s="76">
        <f>'Key Inputs_BY Techs'!J$12*'Key Inputs_New Techs'!$J30</f>
        <v>0.98790000000000011</v>
      </c>
      <c r="M30" s="76">
        <f>'Key Inputs_BY Techs'!K$12*'Key Inputs_New Techs'!$J30</f>
        <v>0.98790000000000011</v>
      </c>
      <c r="N30" s="76">
        <f>'Key Inputs_BY Techs'!L$12*'Key Inputs_New Techs'!$J30</f>
        <v>0.98790000000000011</v>
      </c>
      <c r="O30" s="76">
        <f>'Key Inputs_BY Techs'!M$12*'Key Inputs_New Techs'!$J30</f>
        <v>0.98790000000000011</v>
      </c>
      <c r="P30" s="76">
        <f>'Key Inputs_BY Techs'!N$12*'Key Inputs_New Techs'!$J30</f>
        <v>0.98790000000000011</v>
      </c>
      <c r="Q30" s="76">
        <f>'Key Inputs_BY Techs'!O$12*'Key Inputs_New Techs'!$J30</f>
        <v>0.98790000000000011</v>
      </c>
      <c r="R30" s="76">
        <f>'Key Inputs_BY Techs'!P$12*'Key Inputs_New Techs'!$J30</f>
        <v>0.98790000000000011</v>
      </c>
      <c r="S30" s="76">
        <f>'Key Inputs_BY Techs'!Q$12*'Key Inputs_New Techs'!$J30</f>
        <v>0.98790000000000011</v>
      </c>
      <c r="T30" s="76">
        <f>'Key Inputs_BY Techs'!R$12*'Key Inputs_New Techs'!$J30</f>
        <v>0.98790000000000011</v>
      </c>
      <c r="U30" s="76">
        <f>'Key Inputs_BY Techs'!S$12*'Key Inputs_New Techs'!$J30</f>
        <v>0.98790000000000011</v>
      </c>
      <c r="V30" s="76">
        <f>'Key Inputs_BY Techs'!T$12*'Key Inputs_New Techs'!$J30</f>
        <v>0.98790000000000011</v>
      </c>
      <c r="W30" s="76">
        <f>'Key Inputs_BY Techs'!U$12*'Key Inputs_New Techs'!$J30</f>
        <v>0.98790000000000011</v>
      </c>
      <c r="X30" s="76">
        <f>'Key Inputs_BY Techs'!V$12*'Key Inputs_New Techs'!$J30</f>
        <v>0.98790000000000011</v>
      </c>
      <c r="Y30" s="76">
        <f>'Key Inputs_BY Techs'!W$12*'Key Inputs_New Techs'!$J30</f>
        <v>0.98790000000000011</v>
      </c>
      <c r="Z30" s="76">
        <f>'Key Inputs_BY Techs'!X$12*'Key Inputs_New Techs'!$J30</f>
        <v>0.98790000000000011</v>
      </c>
      <c r="AA30" s="76">
        <f>'Key Inputs_BY Techs'!Y$12*'Key Inputs_New Techs'!$J30</f>
        <v>0.98790000000000011</v>
      </c>
      <c r="AB30" s="76">
        <f>'Key Inputs_BY Techs'!Z$12*'Key Inputs_New Techs'!$J30</f>
        <v>0.98790000000000011</v>
      </c>
      <c r="AC30" s="76">
        <f>'Key Inputs_BY Techs'!AA$12*'Key Inputs_New Techs'!$J30</f>
        <v>0.98790000000000011</v>
      </c>
      <c r="AD30" s="76">
        <f>'Key Inputs_BY Techs'!AB$12*'Key Inputs_New Techs'!$J30</f>
        <v>0.98790000000000011</v>
      </c>
      <c r="AE30" s="76">
        <f>'Key Inputs_BY Techs'!AC$12*'Key Inputs_New Techs'!$J30</f>
        <v>0.98790000000000011</v>
      </c>
      <c r="AF30" s="76">
        <f>'Key Inputs_BY Techs'!AD$12*'Key Inputs_New Techs'!$J30</f>
        <v>0.98790000000000011</v>
      </c>
      <c r="AG30" s="76">
        <f>'Key Inputs_BY Techs'!AE$12*'Key Inputs_New Techs'!$J30</f>
        <v>0.98790000000000011</v>
      </c>
      <c r="AH30" s="76">
        <f>'Key Inputs_BY Techs'!AF$12*'Key Inputs_New Techs'!$J30</f>
        <v>0.98790000000000011</v>
      </c>
      <c r="AI30" s="76">
        <f>'Key Inputs_BY Techs'!AG$12*'Key Inputs_New Techs'!$J30</f>
        <v>0.98790000000000011</v>
      </c>
      <c r="AJ30" s="76">
        <f>'Key Inputs_BY Techs'!AH$12*'Key Inputs_New Techs'!$J30</f>
        <v>0.98790000000000011</v>
      </c>
      <c r="AK30" s="76">
        <f>'Key Inputs_BY Techs'!AI$12*'Key Inputs_New Techs'!$J30</f>
        <v>0.98790000000000011</v>
      </c>
      <c r="AL30" s="76">
        <f>'Key Inputs_BY Techs'!AJ$12*'Key Inputs_New Techs'!$J30</f>
        <v>0.98790000000000011</v>
      </c>
      <c r="AM30" s="426"/>
      <c r="AN30" s="426"/>
      <c r="AO30" s="426"/>
      <c r="AP30" s="426"/>
      <c r="AQ30" s="426"/>
      <c r="AR30" s="426"/>
      <c r="AS30" s="426"/>
      <c r="AT30" s="426"/>
      <c r="AU30" s="426"/>
      <c r="AV30" s="426"/>
      <c r="AW30" s="426"/>
      <c r="AX30" s="426"/>
      <c r="AY30" s="426"/>
    </row>
    <row r="31" spans="1:51" x14ac:dyDescent="0.25">
      <c r="A31" s="424" t="s">
        <v>122</v>
      </c>
      <c r="B31" s="425" t="s">
        <v>519</v>
      </c>
      <c r="C31" s="425" t="s">
        <v>515</v>
      </c>
      <c r="D31" s="425" t="s">
        <v>516</v>
      </c>
      <c r="E31" s="425" t="s">
        <v>273</v>
      </c>
      <c r="F31" s="443">
        <v>2025</v>
      </c>
      <c r="G31" s="443">
        <v>15</v>
      </c>
      <c r="H31" s="445">
        <v>2025</v>
      </c>
      <c r="I31" s="134">
        <v>1.0323</v>
      </c>
      <c r="J31" s="161">
        <v>1</v>
      </c>
      <c r="K31" s="76">
        <f>'Key Inputs_BY Techs'!I$12*'Key Inputs_New Techs'!$J31</f>
        <v>0.86580000000000013</v>
      </c>
      <c r="L31" s="76">
        <f>'Key Inputs_BY Techs'!J$12*'Key Inputs_New Techs'!$J31</f>
        <v>0.86580000000000013</v>
      </c>
      <c r="M31" s="76">
        <f>'Key Inputs_BY Techs'!K$12*'Key Inputs_New Techs'!$J31</f>
        <v>0.86580000000000013</v>
      </c>
      <c r="N31" s="76">
        <f>'Key Inputs_BY Techs'!L$12*'Key Inputs_New Techs'!$J31</f>
        <v>0.86580000000000013</v>
      </c>
      <c r="O31" s="76">
        <f>'Key Inputs_BY Techs'!M$12*'Key Inputs_New Techs'!$J31</f>
        <v>0.86580000000000013</v>
      </c>
      <c r="P31" s="76">
        <f>'Key Inputs_BY Techs'!N$12*'Key Inputs_New Techs'!$J31</f>
        <v>0.86580000000000013</v>
      </c>
      <c r="Q31" s="76">
        <f>'Key Inputs_BY Techs'!O$12*'Key Inputs_New Techs'!$J31</f>
        <v>0.86580000000000013</v>
      </c>
      <c r="R31" s="76">
        <f>'Key Inputs_BY Techs'!P$12*'Key Inputs_New Techs'!$J31</f>
        <v>0.86580000000000013</v>
      </c>
      <c r="S31" s="76">
        <f>'Key Inputs_BY Techs'!Q$12*'Key Inputs_New Techs'!$J31</f>
        <v>0.86580000000000013</v>
      </c>
      <c r="T31" s="76">
        <f>'Key Inputs_BY Techs'!R$12*'Key Inputs_New Techs'!$J31</f>
        <v>0.86580000000000013</v>
      </c>
      <c r="U31" s="76">
        <f>'Key Inputs_BY Techs'!S$12*'Key Inputs_New Techs'!$J31</f>
        <v>0.86580000000000013</v>
      </c>
      <c r="V31" s="76">
        <f>'Key Inputs_BY Techs'!T$12*'Key Inputs_New Techs'!$J31</f>
        <v>0.86580000000000013</v>
      </c>
      <c r="W31" s="76">
        <f>'Key Inputs_BY Techs'!U$12*'Key Inputs_New Techs'!$J31</f>
        <v>0.86580000000000013</v>
      </c>
      <c r="X31" s="76">
        <f>'Key Inputs_BY Techs'!V$12*'Key Inputs_New Techs'!$J31</f>
        <v>0.86580000000000013</v>
      </c>
      <c r="Y31" s="76">
        <f>'Key Inputs_BY Techs'!W$12*'Key Inputs_New Techs'!$J31</f>
        <v>0.86580000000000013</v>
      </c>
      <c r="Z31" s="76">
        <f>'Key Inputs_BY Techs'!X$12*'Key Inputs_New Techs'!$J31</f>
        <v>0.86580000000000013</v>
      </c>
      <c r="AA31" s="76">
        <f>'Key Inputs_BY Techs'!Y$12*'Key Inputs_New Techs'!$J31</f>
        <v>0.86580000000000013</v>
      </c>
      <c r="AB31" s="76">
        <f>'Key Inputs_BY Techs'!Z$12*'Key Inputs_New Techs'!$J31</f>
        <v>0.86580000000000013</v>
      </c>
      <c r="AC31" s="76">
        <f>'Key Inputs_BY Techs'!AA$12*'Key Inputs_New Techs'!$J31</f>
        <v>0.86580000000000013</v>
      </c>
      <c r="AD31" s="76">
        <f>'Key Inputs_BY Techs'!AB$12*'Key Inputs_New Techs'!$J31</f>
        <v>0.86580000000000013</v>
      </c>
      <c r="AE31" s="76">
        <f>'Key Inputs_BY Techs'!AC$12*'Key Inputs_New Techs'!$J31</f>
        <v>0.86580000000000013</v>
      </c>
      <c r="AF31" s="76">
        <f>'Key Inputs_BY Techs'!AD$12*'Key Inputs_New Techs'!$J31</f>
        <v>0.86580000000000013</v>
      </c>
      <c r="AG31" s="76">
        <f>'Key Inputs_BY Techs'!AE$12*'Key Inputs_New Techs'!$J31</f>
        <v>0.86580000000000013</v>
      </c>
      <c r="AH31" s="76">
        <f>'Key Inputs_BY Techs'!AF$12*'Key Inputs_New Techs'!$J31</f>
        <v>0.86580000000000013</v>
      </c>
      <c r="AI31" s="76">
        <f>'Key Inputs_BY Techs'!AG$12*'Key Inputs_New Techs'!$J31</f>
        <v>0.86580000000000013</v>
      </c>
      <c r="AJ31" s="76">
        <f>'Key Inputs_BY Techs'!AH$12*'Key Inputs_New Techs'!$J31</f>
        <v>0.86580000000000013</v>
      </c>
      <c r="AK31" s="76">
        <f>'Key Inputs_BY Techs'!AI$12*'Key Inputs_New Techs'!$J31</f>
        <v>0.86580000000000013</v>
      </c>
      <c r="AL31" s="76">
        <f>'Key Inputs_BY Techs'!AJ$12*'Key Inputs_New Techs'!$J31</f>
        <v>0.86580000000000013</v>
      </c>
      <c r="AM31" s="426"/>
      <c r="AN31" s="426"/>
      <c r="AO31" s="426"/>
      <c r="AP31" s="426"/>
      <c r="AQ31" s="426"/>
      <c r="AR31" s="426"/>
      <c r="AS31" s="426"/>
      <c r="AT31" s="426"/>
      <c r="AU31" s="426"/>
      <c r="AV31" s="426"/>
      <c r="AW31" s="426"/>
      <c r="AX31" s="426"/>
      <c r="AY31" s="426"/>
    </row>
    <row r="32" spans="1:51" x14ac:dyDescent="0.25">
      <c r="C32" s="424"/>
      <c r="D32" s="424"/>
      <c r="E32" s="424"/>
      <c r="F32" s="446"/>
      <c r="G32" s="446"/>
      <c r="H32" s="445">
        <v>2030</v>
      </c>
      <c r="I32" s="134">
        <v>1.0767000000000002</v>
      </c>
      <c r="J32" s="161">
        <v>1.2435897435897436</v>
      </c>
      <c r="K32" s="76">
        <f>'Key Inputs_BY Techs'!I$12*'Key Inputs_New Techs'!$J32</f>
        <v>1.0767000000000002</v>
      </c>
      <c r="L32" s="76">
        <f>'Key Inputs_BY Techs'!J$12*'Key Inputs_New Techs'!$J32</f>
        <v>1.0767000000000002</v>
      </c>
      <c r="M32" s="76">
        <f>'Key Inputs_BY Techs'!K$12*'Key Inputs_New Techs'!$J32</f>
        <v>1.0767000000000002</v>
      </c>
      <c r="N32" s="76">
        <f>'Key Inputs_BY Techs'!L$12*'Key Inputs_New Techs'!$J32</f>
        <v>1.0767000000000002</v>
      </c>
      <c r="O32" s="76">
        <f>'Key Inputs_BY Techs'!M$12*'Key Inputs_New Techs'!$J32</f>
        <v>1.0767000000000002</v>
      </c>
      <c r="P32" s="76">
        <f>'Key Inputs_BY Techs'!N$12*'Key Inputs_New Techs'!$J32</f>
        <v>1.0767000000000002</v>
      </c>
      <c r="Q32" s="76">
        <f>'Key Inputs_BY Techs'!O$12*'Key Inputs_New Techs'!$J32</f>
        <v>1.0767000000000002</v>
      </c>
      <c r="R32" s="76">
        <f>'Key Inputs_BY Techs'!P$12*'Key Inputs_New Techs'!$J32</f>
        <v>1.0767000000000002</v>
      </c>
      <c r="S32" s="76">
        <f>'Key Inputs_BY Techs'!Q$12*'Key Inputs_New Techs'!$J32</f>
        <v>1.0767000000000002</v>
      </c>
      <c r="T32" s="76">
        <f>'Key Inputs_BY Techs'!R$12*'Key Inputs_New Techs'!$J32</f>
        <v>1.0767000000000002</v>
      </c>
      <c r="U32" s="76">
        <f>'Key Inputs_BY Techs'!S$12*'Key Inputs_New Techs'!$J32</f>
        <v>1.0767000000000002</v>
      </c>
      <c r="V32" s="76">
        <f>'Key Inputs_BY Techs'!T$12*'Key Inputs_New Techs'!$J32</f>
        <v>1.0767000000000002</v>
      </c>
      <c r="W32" s="76">
        <f>'Key Inputs_BY Techs'!U$12*'Key Inputs_New Techs'!$J32</f>
        <v>1.0767000000000002</v>
      </c>
      <c r="X32" s="76">
        <f>'Key Inputs_BY Techs'!V$12*'Key Inputs_New Techs'!$J32</f>
        <v>1.0767000000000002</v>
      </c>
      <c r="Y32" s="76">
        <f>'Key Inputs_BY Techs'!W$12*'Key Inputs_New Techs'!$J32</f>
        <v>1.0767000000000002</v>
      </c>
      <c r="Z32" s="76">
        <f>'Key Inputs_BY Techs'!X$12*'Key Inputs_New Techs'!$J32</f>
        <v>1.0767000000000002</v>
      </c>
      <c r="AA32" s="76">
        <f>'Key Inputs_BY Techs'!Y$12*'Key Inputs_New Techs'!$J32</f>
        <v>1.0767000000000002</v>
      </c>
      <c r="AB32" s="76">
        <f>'Key Inputs_BY Techs'!Z$12*'Key Inputs_New Techs'!$J32</f>
        <v>1.0767000000000002</v>
      </c>
      <c r="AC32" s="76">
        <f>'Key Inputs_BY Techs'!AA$12*'Key Inputs_New Techs'!$J32</f>
        <v>1.0767000000000002</v>
      </c>
      <c r="AD32" s="76">
        <f>'Key Inputs_BY Techs'!AB$12*'Key Inputs_New Techs'!$J32</f>
        <v>1.0767000000000002</v>
      </c>
      <c r="AE32" s="76">
        <f>'Key Inputs_BY Techs'!AC$12*'Key Inputs_New Techs'!$J32</f>
        <v>1.0767000000000002</v>
      </c>
      <c r="AF32" s="76">
        <f>'Key Inputs_BY Techs'!AD$12*'Key Inputs_New Techs'!$J32</f>
        <v>1.0767000000000002</v>
      </c>
      <c r="AG32" s="76">
        <f>'Key Inputs_BY Techs'!AE$12*'Key Inputs_New Techs'!$J32</f>
        <v>1.0767000000000002</v>
      </c>
      <c r="AH32" s="76">
        <f>'Key Inputs_BY Techs'!AF$12*'Key Inputs_New Techs'!$J32</f>
        <v>1.0767000000000002</v>
      </c>
      <c r="AI32" s="76">
        <f>'Key Inputs_BY Techs'!AG$12*'Key Inputs_New Techs'!$J32</f>
        <v>1.0767000000000002</v>
      </c>
      <c r="AJ32" s="76">
        <f>'Key Inputs_BY Techs'!AH$12*'Key Inputs_New Techs'!$J32</f>
        <v>1.0767000000000002</v>
      </c>
      <c r="AK32" s="76">
        <f>'Key Inputs_BY Techs'!AI$12*'Key Inputs_New Techs'!$J32</f>
        <v>1.0767000000000002</v>
      </c>
      <c r="AL32" s="76">
        <f>'Key Inputs_BY Techs'!AJ$12*'Key Inputs_New Techs'!$J32</f>
        <v>1.0767000000000002</v>
      </c>
      <c r="AM32" s="426"/>
      <c r="AN32" s="426"/>
      <c r="AO32" s="426"/>
      <c r="AP32" s="426"/>
      <c r="AQ32" s="426"/>
      <c r="AR32" s="426"/>
      <c r="AS32" s="426"/>
      <c r="AT32" s="426"/>
      <c r="AU32" s="426"/>
      <c r="AV32" s="426"/>
      <c r="AW32" s="426"/>
      <c r="AX32" s="426"/>
      <c r="AY32" s="426"/>
    </row>
    <row r="33" spans="1:51" x14ac:dyDescent="0.25">
      <c r="A33" s="424" t="s">
        <v>122</v>
      </c>
      <c r="B33" s="425" t="s">
        <v>520</v>
      </c>
      <c r="C33" s="425" t="s">
        <v>515</v>
      </c>
      <c r="D33" s="425" t="s">
        <v>516</v>
      </c>
      <c r="E33" s="425" t="s">
        <v>267</v>
      </c>
      <c r="F33" s="443">
        <v>2020</v>
      </c>
      <c r="G33" s="443">
        <v>15</v>
      </c>
      <c r="H33" s="445">
        <v>2020</v>
      </c>
      <c r="I33" s="134">
        <v>1.3</v>
      </c>
      <c r="J33" s="161">
        <v>1.5015015015015014</v>
      </c>
      <c r="K33" s="76">
        <f>'Key Inputs_BY Techs'!I$12*'Key Inputs_New Techs'!$J33</f>
        <v>1.3</v>
      </c>
      <c r="L33" s="76">
        <f>'Key Inputs_BY Techs'!J$12*'Key Inputs_New Techs'!$J33</f>
        <v>1.3</v>
      </c>
      <c r="M33" s="76">
        <f>'Key Inputs_BY Techs'!K$12*'Key Inputs_New Techs'!$J33</f>
        <v>1.3</v>
      </c>
      <c r="N33" s="76">
        <f>'Key Inputs_BY Techs'!L$12*'Key Inputs_New Techs'!$J33</f>
        <v>1.3</v>
      </c>
      <c r="O33" s="76">
        <f>'Key Inputs_BY Techs'!M$12*'Key Inputs_New Techs'!$J33</f>
        <v>1.3</v>
      </c>
      <c r="P33" s="76">
        <f>'Key Inputs_BY Techs'!N$12*'Key Inputs_New Techs'!$J33</f>
        <v>1.3</v>
      </c>
      <c r="Q33" s="76">
        <f>'Key Inputs_BY Techs'!O$12*'Key Inputs_New Techs'!$J33</f>
        <v>1.3</v>
      </c>
      <c r="R33" s="76">
        <f>'Key Inputs_BY Techs'!P$12*'Key Inputs_New Techs'!$J33</f>
        <v>1.3</v>
      </c>
      <c r="S33" s="76">
        <f>'Key Inputs_BY Techs'!Q$12*'Key Inputs_New Techs'!$J33</f>
        <v>1.3</v>
      </c>
      <c r="T33" s="76">
        <f>'Key Inputs_BY Techs'!R$12*'Key Inputs_New Techs'!$J33</f>
        <v>1.3</v>
      </c>
      <c r="U33" s="76">
        <f>'Key Inputs_BY Techs'!S$12*'Key Inputs_New Techs'!$J33</f>
        <v>1.3</v>
      </c>
      <c r="V33" s="76">
        <f>'Key Inputs_BY Techs'!T$12*'Key Inputs_New Techs'!$J33</f>
        <v>1.3</v>
      </c>
      <c r="W33" s="76">
        <f>'Key Inputs_BY Techs'!U$12*'Key Inputs_New Techs'!$J33</f>
        <v>1.3</v>
      </c>
      <c r="X33" s="76">
        <f>'Key Inputs_BY Techs'!V$12*'Key Inputs_New Techs'!$J33</f>
        <v>1.3</v>
      </c>
      <c r="Y33" s="76">
        <f>'Key Inputs_BY Techs'!W$12*'Key Inputs_New Techs'!$J33</f>
        <v>1.3</v>
      </c>
      <c r="Z33" s="76">
        <f>'Key Inputs_BY Techs'!X$12*'Key Inputs_New Techs'!$J33</f>
        <v>1.3</v>
      </c>
      <c r="AA33" s="76">
        <f>'Key Inputs_BY Techs'!Y$12*'Key Inputs_New Techs'!$J33</f>
        <v>1.3</v>
      </c>
      <c r="AB33" s="76">
        <f>'Key Inputs_BY Techs'!Z$12*'Key Inputs_New Techs'!$J33</f>
        <v>1.3</v>
      </c>
      <c r="AC33" s="76">
        <f>'Key Inputs_BY Techs'!AA$12*'Key Inputs_New Techs'!$J33</f>
        <v>1.3</v>
      </c>
      <c r="AD33" s="76">
        <f>'Key Inputs_BY Techs'!AB$12*'Key Inputs_New Techs'!$J33</f>
        <v>1.3</v>
      </c>
      <c r="AE33" s="76">
        <f>'Key Inputs_BY Techs'!AC$12*'Key Inputs_New Techs'!$J33</f>
        <v>1.3</v>
      </c>
      <c r="AF33" s="76">
        <f>'Key Inputs_BY Techs'!AD$12*'Key Inputs_New Techs'!$J33</f>
        <v>1.3</v>
      </c>
      <c r="AG33" s="76">
        <f>'Key Inputs_BY Techs'!AE$12*'Key Inputs_New Techs'!$J33</f>
        <v>1.3</v>
      </c>
      <c r="AH33" s="76">
        <f>'Key Inputs_BY Techs'!AF$12*'Key Inputs_New Techs'!$J33</f>
        <v>1.3</v>
      </c>
      <c r="AI33" s="76">
        <f>'Key Inputs_BY Techs'!AG$12*'Key Inputs_New Techs'!$J33</f>
        <v>1.3</v>
      </c>
      <c r="AJ33" s="76">
        <f>'Key Inputs_BY Techs'!AH$12*'Key Inputs_New Techs'!$J33</f>
        <v>1.3</v>
      </c>
      <c r="AK33" s="76">
        <f>'Key Inputs_BY Techs'!AI$12*'Key Inputs_New Techs'!$J33</f>
        <v>1.3</v>
      </c>
      <c r="AL33" s="76">
        <f>'Key Inputs_BY Techs'!AJ$12*'Key Inputs_New Techs'!$J33</f>
        <v>1.3</v>
      </c>
      <c r="AM33" s="426"/>
      <c r="AN33" s="426"/>
      <c r="AO33" s="426"/>
      <c r="AP33" s="426"/>
      <c r="AQ33" s="426"/>
      <c r="AR33" s="426"/>
      <c r="AS33" s="426"/>
      <c r="AT33" s="426"/>
      <c r="AU33" s="426"/>
      <c r="AV33" s="426"/>
      <c r="AW33" s="426"/>
      <c r="AX33" s="426"/>
      <c r="AY33" s="426"/>
    </row>
    <row r="34" spans="1:51" x14ac:dyDescent="0.25">
      <c r="A34" s="424" t="s">
        <v>122</v>
      </c>
      <c r="B34" s="425" t="s">
        <v>521</v>
      </c>
      <c r="C34" s="425" t="s">
        <v>515</v>
      </c>
      <c r="D34" s="425" t="s">
        <v>516</v>
      </c>
      <c r="E34" s="425" t="s">
        <v>268</v>
      </c>
      <c r="F34" s="443">
        <v>2025</v>
      </c>
      <c r="G34" s="443">
        <v>15</v>
      </c>
      <c r="H34" s="445">
        <v>2025</v>
      </c>
      <c r="I34" s="134">
        <v>1.3</v>
      </c>
      <c r="J34" s="161">
        <v>1.5015015015015014</v>
      </c>
      <c r="K34" s="76">
        <f>'Key Inputs_BY Techs'!I$12*'Key Inputs_New Techs'!$J34</f>
        <v>1.3</v>
      </c>
      <c r="L34" s="76">
        <f>'Key Inputs_BY Techs'!J$12*'Key Inputs_New Techs'!$J34</f>
        <v>1.3</v>
      </c>
      <c r="M34" s="76">
        <f>'Key Inputs_BY Techs'!K$12*'Key Inputs_New Techs'!$J34</f>
        <v>1.3</v>
      </c>
      <c r="N34" s="76">
        <f>'Key Inputs_BY Techs'!L$12*'Key Inputs_New Techs'!$J34</f>
        <v>1.3</v>
      </c>
      <c r="O34" s="76">
        <f>'Key Inputs_BY Techs'!M$12*'Key Inputs_New Techs'!$J34</f>
        <v>1.3</v>
      </c>
      <c r="P34" s="76">
        <f>'Key Inputs_BY Techs'!N$12*'Key Inputs_New Techs'!$J34</f>
        <v>1.3</v>
      </c>
      <c r="Q34" s="76">
        <f>'Key Inputs_BY Techs'!O$12*'Key Inputs_New Techs'!$J34</f>
        <v>1.3</v>
      </c>
      <c r="R34" s="76">
        <f>'Key Inputs_BY Techs'!P$12*'Key Inputs_New Techs'!$J34</f>
        <v>1.3</v>
      </c>
      <c r="S34" s="76">
        <f>'Key Inputs_BY Techs'!Q$12*'Key Inputs_New Techs'!$J34</f>
        <v>1.3</v>
      </c>
      <c r="T34" s="76">
        <f>'Key Inputs_BY Techs'!R$12*'Key Inputs_New Techs'!$J34</f>
        <v>1.3</v>
      </c>
      <c r="U34" s="76">
        <f>'Key Inputs_BY Techs'!S$12*'Key Inputs_New Techs'!$J34</f>
        <v>1.3</v>
      </c>
      <c r="V34" s="76">
        <f>'Key Inputs_BY Techs'!T$12*'Key Inputs_New Techs'!$J34</f>
        <v>1.3</v>
      </c>
      <c r="W34" s="76">
        <f>'Key Inputs_BY Techs'!U$12*'Key Inputs_New Techs'!$J34</f>
        <v>1.3</v>
      </c>
      <c r="X34" s="76">
        <f>'Key Inputs_BY Techs'!V$12*'Key Inputs_New Techs'!$J34</f>
        <v>1.3</v>
      </c>
      <c r="Y34" s="76">
        <f>'Key Inputs_BY Techs'!W$12*'Key Inputs_New Techs'!$J34</f>
        <v>1.3</v>
      </c>
      <c r="Z34" s="76">
        <f>'Key Inputs_BY Techs'!X$12*'Key Inputs_New Techs'!$J34</f>
        <v>1.3</v>
      </c>
      <c r="AA34" s="76">
        <f>'Key Inputs_BY Techs'!Y$12*'Key Inputs_New Techs'!$J34</f>
        <v>1.3</v>
      </c>
      <c r="AB34" s="76">
        <f>'Key Inputs_BY Techs'!Z$12*'Key Inputs_New Techs'!$J34</f>
        <v>1.3</v>
      </c>
      <c r="AC34" s="76">
        <f>'Key Inputs_BY Techs'!AA$12*'Key Inputs_New Techs'!$J34</f>
        <v>1.3</v>
      </c>
      <c r="AD34" s="76">
        <f>'Key Inputs_BY Techs'!AB$12*'Key Inputs_New Techs'!$J34</f>
        <v>1.3</v>
      </c>
      <c r="AE34" s="76">
        <f>'Key Inputs_BY Techs'!AC$12*'Key Inputs_New Techs'!$J34</f>
        <v>1.3</v>
      </c>
      <c r="AF34" s="76">
        <f>'Key Inputs_BY Techs'!AD$12*'Key Inputs_New Techs'!$J34</f>
        <v>1.3</v>
      </c>
      <c r="AG34" s="76">
        <f>'Key Inputs_BY Techs'!AE$12*'Key Inputs_New Techs'!$J34</f>
        <v>1.3</v>
      </c>
      <c r="AH34" s="76">
        <f>'Key Inputs_BY Techs'!AF$12*'Key Inputs_New Techs'!$J34</f>
        <v>1.3</v>
      </c>
      <c r="AI34" s="76">
        <f>'Key Inputs_BY Techs'!AG$12*'Key Inputs_New Techs'!$J34</f>
        <v>1.3</v>
      </c>
      <c r="AJ34" s="76">
        <f>'Key Inputs_BY Techs'!AH$12*'Key Inputs_New Techs'!$J34</f>
        <v>1.3</v>
      </c>
      <c r="AK34" s="76">
        <f>'Key Inputs_BY Techs'!AI$12*'Key Inputs_New Techs'!$J34</f>
        <v>1.3</v>
      </c>
      <c r="AL34" s="76">
        <f>'Key Inputs_BY Techs'!AJ$12*'Key Inputs_New Techs'!$J34</f>
        <v>1.3</v>
      </c>
      <c r="AM34" s="426"/>
      <c r="AN34" s="426"/>
      <c r="AO34" s="426"/>
      <c r="AP34" s="426"/>
      <c r="AQ34" s="426"/>
      <c r="AR34" s="426"/>
      <c r="AS34" s="426"/>
      <c r="AT34" s="426"/>
      <c r="AU34" s="426"/>
      <c r="AV34" s="426"/>
      <c r="AW34" s="426"/>
      <c r="AX34" s="426"/>
      <c r="AY34" s="426"/>
    </row>
    <row r="35" spans="1:51" x14ac:dyDescent="0.25">
      <c r="C35" s="424"/>
      <c r="D35" s="424"/>
      <c r="E35" s="424"/>
      <c r="F35" s="446"/>
      <c r="G35" s="446"/>
      <c r="H35" s="445">
        <v>2030</v>
      </c>
      <c r="I35" s="134">
        <v>1.6140000000000003</v>
      </c>
      <c r="J35" s="161">
        <v>1.8641718641718643</v>
      </c>
      <c r="K35" s="76">
        <f>'Key Inputs_BY Techs'!I$12*'Key Inputs_New Techs'!$J35</f>
        <v>1.6140000000000003</v>
      </c>
      <c r="L35" s="76">
        <f>'Key Inputs_BY Techs'!J$12*'Key Inputs_New Techs'!$J35</f>
        <v>1.6140000000000003</v>
      </c>
      <c r="M35" s="76">
        <f>'Key Inputs_BY Techs'!K$12*'Key Inputs_New Techs'!$J35</f>
        <v>1.6140000000000003</v>
      </c>
      <c r="N35" s="76">
        <f>'Key Inputs_BY Techs'!L$12*'Key Inputs_New Techs'!$J35</f>
        <v>1.6140000000000003</v>
      </c>
      <c r="O35" s="76">
        <f>'Key Inputs_BY Techs'!M$12*'Key Inputs_New Techs'!$J35</f>
        <v>1.6140000000000003</v>
      </c>
      <c r="P35" s="76">
        <f>'Key Inputs_BY Techs'!N$12*'Key Inputs_New Techs'!$J35</f>
        <v>1.6140000000000003</v>
      </c>
      <c r="Q35" s="76">
        <f>'Key Inputs_BY Techs'!O$12*'Key Inputs_New Techs'!$J35</f>
        <v>1.6140000000000003</v>
      </c>
      <c r="R35" s="76">
        <f>'Key Inputs_BY Techs'!P$12*'Key Inputs_New Techs'!$J35</f>
        <v>1.6140000000000003</v>
      </c>
      <c r="S35" s="76">
        <f>'Key Inputs_BY Techs'!Q$12*'Key Inputs_New Techs'!$J35</f>
        <v>1.6140000000000003</v>
      </c>
      <c r="T35" s="76">
        <f>'Key Inputs_BY Techs'!R$12*'Key Inputs_New Techs'!$J35</f>
        <v>1.6140000000000003</v>
      </c>
      <c r="U35" s="76">
        <f>'Key Inputs_BY Techs'!S$12*'Key Inputs_New Techs'!$J35</f>
        <v>1.6140000000000003</v>
      </c>
      <c r="V35" s="76">
        <f>'Key Inputs_BY Techs'!T$12*'Key Inputs_New Techs'!$J35</f>
        <v>1.6140000000000003</v>
      </c>
      <c r="W35" s="76">
        <f>'Key Inputs_BY Techs'!U$12*'Key Inputs_New Techs'!$J35</f>
        <v>1.6140000000000003</v>
      </c>
      <c r="X35" s="76">
        <f>'Key Inputs_BY Techs'!V$12*'Key Inputs_New Techs'!$J35</f>
        <v>1.6140000000000003</v>
      </c>
      <c r="Y35" s="76">
        <f>'Key Inputs_BY Techs'!W$12*'Key Inputs_New Techs'!$J35</f>
        <v>1.6140000000000003</v>
      </c>
      <c r="Z35" s="76">
        <f>'Key Inputs_BY Techs'!X$12*'Key Inputs_New Techs'!$J35</f>
        <v>1.6140000000000003</v>
      </c>
      <c r="AA35" s="76">
        <f>'Key Inputs_BY Techs'!Y$12*'Key Inputs_New Techs'!$J35</f>
        <v>1.6140000000000003</v>
      </c>
      <c r="AB35" s="76">
        <f>'Key Inputs_BY Techs'!Z$12*'Key Inputs_New Techs'!$J35</f>
        <v>1.6140000000000003</v>
      </c>
      <c r="AC35" s="76">
        <f>'Key Inputs_BY Techs'!AA$12*'Key Inputs_New Techs'!$J35</f>
        <v>1.6140000000000003</v>
      </c>
      <c r="AD35" s="76">
        <f>'Key Inputs_BY Techs'!AB$12*'Key Inputs_New Techs'!$J35</f>
        <v>1.6140000000000003</v>
      </c>
      <c r="AE35" s="76">
        <f>'Key Inputs_BY Techs'!AC$12*'Key Inputs_New Techs'!$J35</f>
        <v>1.6140000000000003</v>
      </c>
      <c r="AF35" s="76">
        <f>'Key Inputs_BY Techs'!AD$12*'Key Inputs_New Techs'!$J35</f>
        <v>1.6140000000000003</v>
      </c>
      <c r="AG35" s="76">
        <f>'Key Inputs_BY Techs'!AE$12*'Key Inputs_New Techs'!$J35</f>
        <v>1.6140000000000003</v>
      </c>
      <c r="AH35" s="76">
        <f>'Key Inputs_BY Techs'!AF$12*'Key Inputs_New Techs'!$J35</f>
        <v>1.6140000000000003</v>
      </c>
      <c r="AI35" s="76">
        <f>'Key Inputs_BY Techs'!AG$12*'Key Inputs_New Techs'!$J35</f>
        <v>1.6140000000000003</v>
      </c>
      <c r="AJ35" s="76">
        <f>'Key Inputs_BY Techs'!AH$12*'Key Inputs_New Techs'!$J35</f>
        <v>1.6140000000000003</v>
      </c>
      <c r="AK35" s="76">
        <f>'Key Inputs_BY Techs'!AI$12*'Key Inputs_New Techs'!$J35</f>
        <v>1.6140000000000003</v>
      </c>
      <c r="AL35" s="76">
        <f>'Key Inputs_BY Techs'!AJ$12*'Key Inputs_New Techs'!$J35</f>
        <v>1.6140000000000003</v>
      </c>
      <c r="AM35" s="426"/>
      <c r="AN35" s="426"/>
      <c r="AO35" s="426"/>
      <c r="AP35" s="426"/>
      <c r="AQ35" s="426"/>
      <c r="AR35" s="426"/>
      <c r="AS35" s="426"/>
      <c r="AT35" s="426"/>
      <c r="AU35" s="426"/>
      <c r="AV35" s="426"/>
      <c r="AW35" s="426"/>
      <c r="AX35" s="426"/>
      <c r="AY35" s="426"/>
    </row>
    <row r="36" spans="1:51" x14ac:dyDescent="0.25">
      <c r="B36" s="425"/>
      <c r="F36" s="443"/>
      <c r="G36" s="443"/>
      <c r="H36" s="445">
        <v>2050</v>
      </c>
      <c r="I36" s="134">
        <v>1.9618181818181823</v>
      </c>
      <c r="J36" s="161">
        <v>2.2659022659022661</v>
      </c>
      <c r="K36" s="76">
        <f>'Key Inputs_BY Techs'!I$12*'Key Inputs_New Techs'!$J36</f>
        <v>1.9618181818181823</v>
      </c>
      <c r="L36" s="76">
        <f>'Key Inputs_BY Techs'!J$12*'Key Inputs_New Techs'!$J36</f>
        <v>1.9618181818181823</v>
      </c>
      <c r="M36" s="76">
        <f>'Key Inputs_BY Techs'!K$12*'Key Inputs_New Techs'!$J36</f>
        <v>1.9618181818181823</v>
      </c>
      <c r="N36" s="76">
        <f>'Key Inputs_BY Techs'!L$12*'Key Inputs_New Techs'!$J36</f>
        <v>1.9618181818181823</v>
      </c>
      <c r="O36" s="76">
        <f>'Key Inputs_BY Techs'!M$12*'Key Inputs_New Techs'!$J36</f>
        <v>1.9618181818181823</v>
      </c>
      <c r="P36" s="76">
        <f>'Key Inputs_BY Techs'!N$12*'Key Inputs_New Techs'!$J36</f>
        <v>1.9618181818181823</v>
      </c>
      <c r="Q36" s="76">
        <f>'Key Inputs_BY Techs'!O$12*'Key Inputs_New Techs'!$J36</f>
        <v>1.9618181818181823</v>
      </c>
      <c r="R36" s="76">
        <f>'Key Inputs_BY Techs'!P$12*'Key Inputs_New Techs'!$J36</f>
        <v>1.9618181818181823</v>
      </c>
      <c r="S36" s="76">
        <f>'Key Inputs_BY Techs'!Q$12*'Key Inputs_New Techs'!$J36</f>
        <v>1.9618181818181823</v>
      </c>
      <c r="T36" s="76">
        <f>'Key Inputs_BY Techs'!R$12*'Key Inputs_New Techs'!$J36</f>
        <v>1.9618181818181823</v>
      </c>
      <c r="U36" s="76">
        <f>'Key Inputs_BY Techs'!S$12*'Key Inputs_New Techs'!$J36</f>
        <v>1.9618181818181823</v>
      </c>
      <c r="V36" s="76">
        <f>'Key Inputs_BY Techs'!T$12*'Key Inputs_New Techs'!$J36</f>
        <v>1.9618181818181823</v>
      </c>
      <c r="W36" s="76">
        <f>'Key Inputs_BY Techs'!U$12*'Key Inputs_New Techs'!$J36</f>
        <v>1.9618181818181823</v>
      </c>
      <c r="X36" s="76">
        <f>'Key Inputs_BY Techs'!V$12*'Key Inputs_New Techs'!$J36</f>
        <v>1.9618181818181823</v>
      </c>
      <c r="Y36" s="76">
        <f>'Key Inputs_BY Techs'!W$12*'Key Inputs_New Techs'!$J36</f>
        <v>1.9618181818181823</v>
      </c>
      <c r="Z36" s="76">
        <f>'Key Inputs_BY Techs'!X$12*'Key Inputs_New Techs'!$J36</f>
        <v>1.9618181818181823</v>
      </c>
      <c r="AA36" s="76">
        <f>'Key Inputs_BY Techs'!Y$12*'Key Inputs_New Techs'!$J36</f>
        <v>1.9618181818181823</v>
      </c>
      <c r="AB36" s="76">
        <f>'Key Inputs_BY Techs'!Z$12*'Key Inputs_New Techs'!$J36</f>
        <v>1.9618181818181823</v>
      </c>
      <c r="AC36" s="76">
        <f>'Key Inputs_BY Techs'!AA$12*'Key Inputs_New Techs'!$J36</f>
        <v>1.9618181818181823</v>
      </c>
      <c r="AD36" s="76">
        <f>'Key Inputs_BY Techs'!AB$12*'Key Inputs_New Techs'!$J36</f>
        <v>1.9618181818181823</v>
      </c>
      <c r="AE36" s="76">
        <f>'Key Inputs_BY Techs'!AC$12*'Key Inputs_New Techs'!$J36</f>
        <v>1.9618181818181823</v>
      </c>
      <c r="AF36" s="76">
        <f>'Key Inputs_BY Techs'!AD$12*'Key Inputs_New Techs'!$J36</f>
        <v>1.9618181818181823</v>
      </c>
      <c r="AG36" s="76">
        <f>'Key Inputs_BY Techs'!AE$12*'Key Inputs_New Techs'!$J36</f>
        <v>1.9618181818181823</v>
      </c>
      <c r="AH36" s="76">
        <f>'Key Inputs_BY Techs'!AF$12*'Key Inputs_New Techs'!$J36</f>
        <v>1.9618181818181823</v>
      </c>
      <c r="AI36" s="76">
        <f>'Key Inputs_BY Techs'!AG$12*'Key Inputs_New Techs'!$J36</f>
        <v>1.9618181818181823</v>
      </c>
      <c r="AJ36" s="76">
        <f>'Key Inputs_BY Techs'!AH$12*'Key Inputs_New Techs'!$J36</f>
        <v>1.9618181818181823</v>
      </c>
      <c r="AK36" s="76">
        <f>'Key Inputs_BY Techs'!AI$12*'Key Inputs_New Techs'!$J36</f>
        <v>1.9618181818181823</v>
      </c>
      <c r="AL36" s="76">
        <f>'Key Inputs_BY Techs'!AJ$12*'Key Inputs_New Techs'!$J36</f>
        <v>1.9618181818181823</v>
      </c>
      <c r="AM36" s="426"/>
      <c r="AN36" s="426"/>
      <c r="AO36" s="426"/>
      <c r="AP36" s="426"/>
      <c r="AQ36" s="426"/>
      <c r="AR36" s="426"/>
      <c r="AS36" s="426"/>
      <c r="AT36" s="426"/>
      <c r="AU36" s="426"/>
      <c r="AV36" s="426"/>
      <c r="AW36" s="426"/>
      <c r="AX36" s="426"/>
      <c r="AY36" s="426"/>
    </row>
    <row r="37" spans="1:51" x14ac:dyDescent="0.25">
      <c r="A37" s="424" t="s">
        <v>122</v>
      </c>
      <c r="B37" s="425" t="s">
        <v>522</v>
      </c>
      <c r="C37" s="425" t="s">
        <v>515</v>
      </c>
      <c r="D37" s="425" t="s">
        <v>516</v>
      </c>
      <c r="E37" s="425" t="s">
        <v>269</v>
      </c>
      <c r="F37" s="443">
        <v>2030</v>
      </c>
      <c r="G37" s="443">
        <v>15</v>
      </c>
      <c r="H37" s="445">
        <v>2030</v>
      </c>
      <c r="I37" s="134">
        <v>1.7806060606060605</v>
      </c>
      <c r="J37" s="161">
        <v>2.0566020566020562</v>
      </c>
      <c r="K37" s="76">
        <f>'Key Inputs_BY Techs'!I$12*'Key Inputs_New Techs'!$J37</f>
        <v>1.7806060606060605</v>
      </c>
      <c r="L37" s="76">
        <f>'Key Inputs_BY Techs'!J$12*'Key Inputs_New Techs'!$J37</f>
        <v>1.7806060606060605</v>
      </c>
      <c r="M37" s="76">
        <f>'Key Inputs_BY Techs'!K$12*'Key Inputs_New Techs'!$J37</f>
        <v>1.7806060606060605</v>
      </c>
      <c r="N37" s="76">
        <f>'Key Inputs_BY Techs'!L$12*'Key Inputs_New Techs'!$J37</f>
        <v>1.7806060606060605</v>
      </c>
      <c r="O37" s="76">
        <f>'Key Inputs_BY Techs'!M$12*'Key Inputs_New Techs'!$J37</f>
        <v>1.7806060606060605</v>
      </c>
      <c r="P37" s="76">
        <f>'Key Inputs_BY Techs'!N$12*'Key Inputs_New Techs'!$J37</f>
        <v>1.7806060606060605</v>
      </c>
      <c r="Q37" s="76">
        <f>'Key Inputs_BY Techs'!O$12*'Key Inputs_New Techs'!$J37</f>
        <v>1.7806060606060605</v>
      </c>
      <c r="R37" s="76">
        <f>'Key Inputs_BY Techs'!P$12*'Key Inputs_New Techs'!$J37</f>
        <v>1.7806060606060605</v>
      </c>
      <c r="S37" s="76">
        <f>'Key Inputs_BY Techs'!Q$12*'Key Inputs_New Techs'!$J37</f>
        <v>1.7806060606060605</v>
      </c>
      <c r="T37" s="76">
        <f>'Key Inputs_BY Techs'!R$12*'Key Inputs_New Techs'!$J37</f>
        <v>1.7806060606060605</v>
      </c>
      <c r="U37" s="76">
        <f>'Key Inputs_BY Techs'!S$12*'Key Inputs_New Techs'!$J37</f>
        <v>1.7806060606060605</v>
      </c>
      <c r="V37" s="76">
        <f>'Key Inputs_BY Techs'!T$12*'Key Inputs_New Techs'!$J37</f>
        <v>1.7806060606060605</v>
      </c>
      <c r="W37" s="76">
        <f>'Key Inputs_BY Techs'!U$12*'Key Inputs_New Techs'!$J37</f>
        <v>1.7806060606060605</v>
      </c>
      <c r="X37" s="76">
        <f>'Key Inputs_BY Techs'!V$12*'Key Inputs_New Techs'!$J37</f>
        <v>1.7806060606060605</v>
      </c>
      <c r="Y37" s="76">
        <f>'Key Inputs_BY Techs'!W$12*'Key Inputs_New Techs'!$J37</f>
        <v>1.7806060606060605</v>
      </c>
      <c r="Z37" s="76">
        <f>'Key Inputs_BY Techs'!X$12*'Key Inputs_New Techs'!$J37</f>
        <v>1.7806060606060605</v>
      </c>
      <c r="AA37" s="76">
        <f>'Key Inputs_BY Techs'!Y$12*'Key Inputs_New Techs'!$J37</f>
        <v>1.7806060606060605</v>
      </c>
      <c r="AB37" s="76">
        <f>'Key Inputs_BY Techs'!Z$12*'Key Inputs_New Techs'!$J37</f>
        <v>1.7806060606060605</v>
      </c>
      <c r="AC37" s="76">
        <f>'Key Inputs_BY Techs'!AA$12*'Key Inputs_New Techs'!$J37</f>
        <v>1.7806060606060605</v>
      </c>
      <c r="AD37" s="76">
        <f>'Key Inputs_BY Techs'!AB$12*'Key Inputs_New Techs'!$J37</f>
        <v>1.7806060606060605</v>
      </c>
      <c r="AE37" s="76">
        <f>'Key Inputs_BY Techs'!AC$12*'Key Inputs_New Techs'!$J37</f>
        <v>1.7806060606060605</v>
      </c>
      <c r="AF37" s="76">
        <f>'Key Inputs_BY Techs'!AD$12*'Key Inputs_New Techs'!$J37</f>
        <v>1.7806060606060605</v>
      </c>
      <c r="AG37" s="76">
        <f>'Key Inputs_BY Techs'!AE$12*'Key Inputs_New Techs'!$J37</f>
        <v>1.7806060606060605</v>
      </c>
      <c r="AH37" s="76">
        <f>'Key Inputs_BY Techs'!AF$12*'Key Inputs_New Techs'!$J37</f>
        <v>1.7806060606060605</v>
      </c>
      <c r="AI37" s="76">
        <f>'Key Inputs_BY Techs'!AG$12*'Key Inputs_New Techs'!$J37</f>
        <v>1.7806060606060605</v>
      </c>
      <c r="AJ37" s="76">
        <f>'Key Inputs_BY Techs'!AH$12*'Key Inputs_New Techs'!$J37</f>
        <v>1.7806060606060605</v>
      </c>
      <c r="AK37" s="76">
        <f>'Key Inputs_BY Techs'!AI$12*'Key Inputs_New Techs'!$J37</f>
        <v>1.7806060606060605</v>
      </c>
      <c r="AL37" s="76">
        <f>'Key Inputs_BY Techs'!AJ$12*'Key Inputs_New Techs'!$J37</f>
        <v>1.7806060606060605</v>
      </c>
      <c r="AM37" s="426"/>
      <c r="AN37" s="426"/>
      <c r="AO37" s="426"/>
      <c r="AP37" s="426"/>
      <c r="AQ37" s="426"/>
      <c r="AR37" s="426"/>
      <c r="AS37" s="426"/>
      <c r="AT37" s="426"/>
      <c r="AU37" s="426"/>
      <c r="AV37" s="426"/>
      <c r="AW37" s="426"/>
      <c r="AX37" s="426"/>
      <c r="AY37" s="426"/>
    </row>
    <row r="38" spans="1:51" x14ac:dyDescent="0.25">
      <c r="B38" s="425"/>
      <c r="F38" s="443"/>
      <c r="G38" s="443"/>
      <c r="H38" s="445">
        <v>2050</v>
      </c>
      <c r="I38" s="134">
        <v>2.1440557223015881</v>
      </c>
      <c r="J38" s="161">
        <v>2.4763868356451697</v>
      </c>
      <c r="K38" s="76">
        <f>'Key Inputs_BY Techs'!I$12*'Key Inputs_New Techs'!$J38</f>
        <v>2.1440557223015881</v>
      </c>
      <c r="L38" s="76">
        <f>'Key Inputs_BY Techs'!J$12*'Key Inputs_New Techs'!$J38</f>
        <v>2.1440557223015881</v>
      </c>
      <c r="M38" s="76">
        <f>'Key Inputs_BY Techs'!K$12*'Key Inputs_New Techs'!$J38</f>
        <v>2.1440557223015881</v>
      </c>
      <c r="N38" s="76">
        <f>'Key Inputs_BY Techs'!L$12*'Key Inputs_New Techs'!$J38</f>
        <v>2.1440557223015881</v>
      </c>
      <c r="O38" s="76">
        <f>'Key Inputs_BY Techs'!M$12*'Key Inputs_New Techs'!$J38</f>
        <v>2.1440557223015881</v>
      </c>
      <c r="P38" s="76">
        <f>'Key Inputs_BY Techs'!N$12*'Key Inputs_New Techs'!$J38</f>
        <v>2.1440557223015881</v>
      </c>
      <c r="Q38" s="76">
        <f>'Key Inputs_BY Techs'!O$12*'Key Inputs_New Techs'!$J38</f>
        <v>2.1440557223015881</v>
      </c>
      <c r="R38" s="76">
        <f>'Key Inputs_BY Techs'!P$12*'Key Inputs_New Techs'!$J38</f>
        <v>2.1440557223015881</v>
      </c>
      <c r="S38" s="76">
        <f>'Key Inputs_BY Techs'!Q$12*'Key Inputs_New Techs'!$J38</f>
        <v>2.1440557223015881</v>
      </c>
      <c r="T38" s="76">
        <f>'Key Inputs_BY Techs'!R$12*'Key Inputs_New Techs'!$J38</f>
        <v>2.1440557223015881</v>
      </c>
      <c r="U38" s="76">
        <f>'Key Inputs_BY Techs'!S$12*'Key Inputs_New Techs'!$J38</f>
        <v>2.1440557223015881</v>
      </c>
      <c r="V38" s="76">
        <f>'Key Inputs_BY Techs'!T$12*'Key Inputs_New Techs'!$J38</f>
        <v>2.1440557223015881</v>
      </c>
      <c r="W38" s="76">
        <f>'Key Inputs_BY Techs'!U$12*'Key Inputs_New Techs'!$J38</f>
        <v>2.1440557223015881</v>
      </c>
      <c r="X38" s="76">
        <f>'Key Inputs_BY Techs'!V$12*'Key Inputs_New Techs'!$J38</f>
        <v>2.1440557223015881</v>
      </c>
      <c r="Y38" s="76">
        <f>'Key Inputs_BY Techs'!W$12*'Key Inputs_New Techs'!$J38</f>
        <v>2.1440557223015881</v>
      </c>
      <c r="Z38" s="76">
        <f>'Key Inputs_BY Techs'!X$12*'Key Inputs_New Techs'!$J38</f>
        <v>2.1440557223015881</v>
      </c>
      <c r="AA38" s="76">
        <f>'Key Inputs_BY Techs'!Y$12*'Key Inputs_New Techs'!$J38</f>
        <v>2.1440557223015881</v>
      </c>
      <c r="AB38" s="76">
        <f>'Key Inputs_BY Techs'!Z$12*'Key Inputs_New Techs'!$J38</f>
        <v>2.1440557223015881</v>
      </c>
      <c r="AC38" s="76">
        <f>'Key Inputs_BY Techs'!AA$12*'Key Inputs_New Techs'!$J38</f>
        <v>2.1440557223015881</v>
      </c>
      <c r="AD38" s="76">
        <f>'Key Inputs_BY Techs'!AB$12*'Key Inputs_New Techs'!$J38</f>
        <v>2.1440557223015881</v>
      </c>
      <c r="AE38" s="76">
        <f>'Key Inputs_BY Techs'!AC$12*'Key Inputs_New Techs'!$J38</f>
        <v>2.1440557223015881</v>
      </c>
      <c r="AF38" s="76">
        <f>'Key Inputs_BY Techs'!AD$12*'Key Inputs_New Techs'!$J38</f>
        <v>2.1440557223015881</v>
      </c>
      <c r="AG38" s="76">
        <f>'Key Inputs_BY Techs'!AE$12*'Key Inputs_New Techs'!$J38</f>
        <v>2.1440557223015881</v>
      </c>
      <c r="AH38" s="76">
        <f>'Key Inputs_BY Techs'!AF$12*'Key Inputs_New Techs'!$J38</f>
        <v>2.1440557223015881</v>
      </c>
      <c r="AI38" s="76">
        <f>'Key Inputs_BY Techs'!AG$12*'Key Inputs_New Techs'!$J38</f>
        <v>2.1440557223015881</v>
      </c>
      <c r="AJ38" s="76">
        <f>'Key Inputs_BY Techs'!AH$12*'Key Inputs_New Techs'!$J38</f>
        <v>2.1440557223015881</v>
      </c>
      <c r="AK38" s="76">
        <f>'Key Inputs_BY Techs'!AI$12*'Key Inputs_New Techs'!$J38</f>
        <v>2.1440557223015881</v>
      </c>
      <c r="AL38" s="76">
        <f>'Key Inputs_BY Techs'!AJ$12*'Key Inputs_New Techs'!$J38</f>
        <v>2.1440557223015881</v>
      </c>
      <c r="AM38" s="426"/>
      <c r="AN38" s="426"/>
      <c r="AO38" s="426"/>
      <c r="AP38" s="426"/>
      <c r="AQ38" s="426"/>
      <c r="AR38" s="426"/>
      <c r="AS38" s="426"/>
      <c r="AT38" s="426"/>
      <c r="AU38" s="426"/>
      <c r="AV38" s="426"/>
      <c r="AW38" s="426"/>
      <c r="AX38" s="426"/>
      <c r="AY38" s="426"/>
    </row>
    <row r="39" spans="1:51" x14ac:dyDescent="0.25">
      <c r="A39" s="424" t="s">
        <v>122</v>
      </c>
      <c r="B39" s="425" t="s">
        <v>523</v>
      </c>
      <c r="C39" s="425" t="s">
        <v>19</v>
      </c>
      <c r="D39" s="425" t="s">
        <v>105</v>
      </c>
      <c r="E39" s="425" t="s">
        <v>243</v>
      </c>
      <c r="F39" s="443">
        <v>2020</v>
      </c>
      <c r="G39" s="444">
        <v>15</v>
      </c>
      <c r="H39" s="445">
        <v>2020</v>
      </c>
      <c r="I39" s="134">
        <v>3.6</v>
      </c>
      <c r="J39" s="161">
        <v>1.5138966516450421</v>
      </c>
      <c r="K39" s="76">
        <f>'Key Inputs_BY Techs'!I$13*'Key Inputs_New Techs'!$J39</f>
        <v>1.0948635097454591</v>
      </c>
      <c r="L39" s="76">
        <f>'Key Inputs_BY Techs'!J$13*'Key Inputs_New Techs'!$J39</f>
        <v>1.0948635097454591</v>
      </c>
      <c r="M39" s="76">
        <f>'Key Inputs_BY Techs'!K$13*'Key Inputs_New Techs'!$J39</f>
        <v>1.0948635097454591</v>
      </c>
      <c r="N39" s="76">
        <f>'Key Inputs_BY Techs'!L$13*'Key Inputs_New Techs'!$J39</f>
        <v>1.0948635097454591</v>
      </c>
      <c r="O39" s="76">
        <f>'Key Inputs_BY Techs'!M$13*'Key Inputs_New Techs'!$J39</f>
        <v>1.0948635097454591</v>
      </c>
      <c r="P39" s="76">
        <f>'Key Inputs_BY Techs'!N$13*'Key Inputs_New Techs'!$J39</f>
        <v>1.0948635097454591</v>
      </c>
      <c r="Q39" s="76">
        <f>'Key Inputs_BY Techs'!O$13*'Key Inputs_New Techs'!$J39</f>
        <v>1.0948635097454591</v>
      </c>
      <c r="R39" s="76">
        <f>'Key Inputs_BY Techs'!P$13*'Key Inputs_New Techs'!$J39</f>
        <v>1.0948635097454591</v>
      </c>
      <c r="S39" s="76">
        <f>'Key Inputs_BY Techs'!Q$13*'Key Inputs_New Techs'!$J39</f>
        <v>1.0948635097454591</v>
      </c>
      <c r="T39" s="76">
        <f>'Key Inputs_BY Techs'!R$13*'Key Inputs_New Techs'!$J39</f>
        <v>1.0948635097454591</v>
      </c>
      <c r="U39" s="76">
        <f>'Key Inputs_BY Techs'!S$13*'Key Inputs_New Techs'!$J39</f>
        <v>1.0948635097454591</v>
      </c>
      <c r="V39" s="76">
        <f>'Key Inputs_BY Techs'!T$13*'Key Inputs_New Techs'!$J39</f>
        <v>1.0948635097454591</v>
      </c>
      <c r="W39" s="76">
        <f>'Key Inputs_BY Techs'!U$13*'Key Inputs_New Techs'!$J39</f>
        <v>1.0948635097454591</v>
      </c>
      <c r="X39" s="76">
        <f>'Key Inputs_BY Techs'!V$13*'Key Inputs_New Techs'!$J39</f>
        <v>1.0948635097454591</v>
      </c>
      <c r="Y39" s="76">
        <f>'Key Inputs_BY Techs'!W$13*'Key Inputs_New Techs'!$J39</f>
        <v>1.0948635097454591</v>
      </c>
      <c r="Z39" s="76">
        <f>'Key Inputs_BY Techs'!X$13*'Key Inputs_New Techs'!$J39</f>
        <v>1.0948635097454591</v>
      </c>
      <c r="AA39" s="76">
        <f>'Key Inputs_BY Techs'!Y$13*'Key Inputs_New Techs'!$J39</f>
        <v>1.0948635097454591</v>
      </c>
      <c r="AB39" s="76">
        <f>'Key Inputs_BY Techs'!Z$13*'Key Inputs_New Techs'!$J39</f>
        <v>1.0948635097454591</v>
      </c>
      <c r="AC39" s="76">
        <f>'Key Inputs_BY Techs'!AA$13*'Key Inputs_New Techs'!$J39</f>
        <v>1.0948635097454591</v>
      </c>
      <c r="AD39" s="76">
        <f>'Key Inputs_BY Techs'!AB$13*'Key Inputs_New Techs'!$J39</f>
        <v>1.0948635097454591</v>
      </c>
      <c r="AE39" s="76">
        <f>'Key Inputs_BY Techs'!AC$13*'Key Inputs_New Techs'!$J39</f>
        <v>1.0948635097454591</v>
      </c>
      <c r="AF39" s="76">
        <f>'Key Inputs_BY Techs'!AD$13*'Key Inputs_New Techs'!$J39</f>
        <v>1.0948635097454591</v>
      </c>
      <c r="AG39" s="76">
        <f>'Key Inputs_BY Techs'!AE$13*'Key Inputs_New Techs'!$J39</f>
        <v>1.0948635097454591</v>
      </c>
      <c r="AH39" s="76">
        <f>'Key Inputs_BY Techs'!AF$13*'Key Inputs_New Techs'!$J39</f>
        <v>1.0948635097454591</v>
      </c>
      <c r="AI39" s="76">
        <f>'Key Inputs_BY Techs'!AG$13*'Key Inputs_New Techs'!$J39</f>
        <v>1.0948635097454591</v>
      </c>
      <c r="AJ39" s="76">
        <f>'Key Inputs_BY Techs'!AH$13*'Key Inputs_New Techs'!$J39</f>
        <v>1.0948635097454591</v>
      </c>
      <c r="AK39" s="76">
        <f>'Key Inputs_BY Techs'!AI$13*'Key Inputs_New Techs'!$J39</f>
        <v>1.0948635097454591</v>
      </c>
      <c r="AL39" s="76">
        <f>'Key Inputs_BY Techs'!AJ$13*'Key Inputs_New Techs'!$J39</f>
        <v>1.0948635097454591</v>
      </c>
      <c r="AM39" s="426"/>
      <c r="AN39" s="426"/>
      <c r="AO39" s="426"/>
      <c r="AP39" s="426"/>
      <c r="AQ39" s="426"/>
      <c r="AR39" s="426"/>
      <c r="AS39" s="426"/>
      <c r="AT39" s="426"/>
      <c r="AU39" s="426"/>
      <c r="AV39" s="426"/>
      <c r="AW39" s="426"/>
      <c r="AX39" s="426"/>
      <c r="AY39" s="426"/>
    </row>
    <row r="40" spans="1:51" ht="15" customHeight="1" x14ac:dyDescent="0.25">
      <c r="A40" s="424" t="s">
        <v>122</v>
      </c>
      <c r="B40" s="425" t="s">
        <v>524</v>
      </c>
      <c r="C40" s="425" t="s">
        <v>19</v>
      </c>
      <c r="D40" s="425" t="s">
        <v>105</v>
      </c>
      <c r="E40" s="425" t="s">
        <v>244</v>
      </c>
      <c r="F40" s="443">
        <v>2025</v>
      </c>
      <c r="G40" s="443">
        <v>15</v>
      </c>
      <c r="H40" s="445">
        <v>2025</v>
      </c>
      <c r="I40" s="134">
        <v>3.6</v>
      </c>
      <c r="J40" s="161">
        <v>1.5138966516450421</v>
      </c>
      <c r="K40" s="76">
        <f>'Key Inputs_BY Techs'!I$13*'Key Inputs_New Techs'!$J40</f>
        <v>1.0948635097454591</v>
      </c>
      <c r="L40" s="76">
        <f>'Key Inputs_BY Techs'!J$13*'Key Inputs_New Techs'!$J40</f>
        <v>1.0948635097454591</v>
      </c>
      <c r="M40" s="76">
        <f>'Key Inputs_BY Techs'!K$13*'Key Inputs_New Techs'!$J40</f>
        <v>1.0948635097454591</v>
      </c>
      <c r="N40" s="76">
        <f>'Key Inputs_BY Techs'!L$13*'Key Inputs_New Techs'!$J40</f>
        <v>1.0948635097454591</v>
      </c>
      <c r="O40" s="76">
        <f>'Key Inputs_BY Techs'!M$13*'Key Inputs_New Techs'!$J40</f>
        <v>1.0948635097454591</v>
      </c>
      <c r="P40" s="76">
        <f>'Key Inputs_BY Techs'!N$13*'Key Inputs_New Techs'!$J40</f>
        <v>1.0948635097454591</v>
      </c>
      <c r="Q40" s="76">
        <f>'Key Inputs_BY Techs'!O$13*'Key Inputs_New Techs'!$J40</f>
        <v>1.0948635097454591</v>
      </c>
      <c r="R40" s="76">
        <f>'Key Inputs_BY Techs'!P$13*'Key Inputs_New Techs'!$J40</f>
        <v>1.0948635097454591</v>
      </c>
      <c r="S40" s="76">
        <f>'Key Inputs_BY Techs'!Q$13*'Key Inputs_New Techs'!$J40</f>
        <v>1.0948635097454591</v>
      </c>
      <c r="T40" s="76">
        <f>'Key Inputs_BY Techs'!R$13*'Key Inputs_New Techs'!$J40</f>
        <v>1.0948635097454591</v>
      </c>
      <c r="U40" s="76">
        <f>'Key Inputs_BY Techs'!S$13*'Key Inputs_New Techs'!$J40</f>
        <v>1.0948635097454591</v>
      </c>
      <c r="V40" s="76">
        <f>'Key Inputs_BY Techs'!T$13*'Key Inputs_New Techs'!$J40</f>
        <v>1.0948635097454591</v>
      </c>
      <c r="W40" s="76">
        <f>'Key Inputs_BY Techs'!U$13*'Key Inputs_New Techs'!$J40</f>
        <v>1.0948635097454591</v>
      </c>
      <c r="X40" s="76">
        <f>'Key Inputs_BY Techs'!V$13*'Key Inputs_New Techs'!$J40</f>
        <v>1.0948635097454591</v>
      </c>
      <c r="Y40" s="76">
        <f>'Key Inputs_BY Techs'!W$13*'Key Inputs_New Techs'!$J40</f>
        <v>1.0948635097454591</v>
      </c>
      <c r="Z40" s="76">
        <f>'Key Inputs_BY Techs'!X$13*'Key Inputs_New Techs'!$J40</f>
        <v>1.0948635097454591</v>
      </c>
      <c r="AA40" s="76">
        <f>'Key Inputs_BY Techs'!Y$13*'Key Inputs_New Techs'!$J40</f>
        <v>1.0948635097454591</v>
      </c>
      <c r="AB40" s="76">
        <f>'Key Inputs_BY Techs'!Z$13*'Key Inputs_New Techs'!$J40</f>
        <v>1.0948635097454591</v>
      </c>
      <c r="AC40" s="76">
        <f>'Key Inputs_BY Techs'!AA$13*'Key Inputs_New Techs'!$J40</f>
        <v>1.0948635097454591</v>
      </c>
      <c r="AD40" s="76">
        <f>'Key Inputs_BY Techs'!AB$13*'Key Inputs_New Techs'!$J40</f>
        <v>1.0948635097454591</v>
      </c>
      <c r="AE40" s="76">
        <f>'Key Inputs_BY Techs'!AC$13*'Key Inputs_New Techs'!$J40</f>
        <v>1.0948635097454591</v>
      </c>
      <c r="AF40" s="76">
        <f>'Key Inputs_BY Techs'!AD$13*'Key Inputs_New Techs'!$J40</f>
        <v>1.0948635097454591</v>
      </c>
      <c r="AG40" s="76">
        <f>'Key Inputs_BY Techs'!AE$13*'Key Inputs_New Techs'!$J40</f>
        <v>1.0948635097454591</v>
      </c>
      <c r="AH40" s="76">
        <f>'Key Inputs_BY Techs'!AF$13*'Key Inputs_New Techs'!$J40</f>
        <v>1.0948635097454591</v>
      </c>
      <c r="AI40" s="76">
        <f>'Key Inputs_BY Techs'!AG$13*'Key Inputs_New Techs'!$J40</f>
        <v>1.0948635097454591</v>
      </c>
      <c r="AJ40" s="76">
        <f>'Key Inputs_BY Techs'!AH$13*'Key Inputs_New Techs'!$J40</f>
        <v>1.0948635097454591</v>
      </c>
      <c r="AK40" s="76">
        <f>'Key Inputs_BY Techs'!AI$13*'Key Inputs_New Techs'!$J40</f>
        <v>1.0948635097454591</v>
      </c>
      <c r="AL40" s="76">
        <f>'Key Inputs_BY Techs'!AJ$13*'Key Inputs_New Techs'!$J40</f>
        <v>1.0948635097454591</v>
      </c>
      <c r="AM40" s="426"/>
      <c r="AN40" s="426"/>
      <c r="AO40" s="426"/>
      <c r="AP40" s="426"/>
      <c r="AQ40" s="426"/>
      <c r="AR40" s="426"/>
      <c r="AS40" s="426"/>
      <c r="AT40" s="426"/>
      <c r="AU40" s="426"/>
      <c r="AV40" s="426"/>
      <c r="AW40" s="426"/>
      <c r="AX40" s="426"/>
      <c r="AY40" s="426"/>
    </row>
    <row r="41" spans="1:51" ht="15" customHeight="1" x14ac:dyDescent="0.25">
      <c r="C41" s="424"/>
      <c r="D41" s="424"/>
      <c r="E41" s="424"/>
      <c r="F41" s="446"/>
      <c r="G41" s="446"/>
      <c r="H41" s="445">
        <v>2030</v>
      </c>
      <c r="I41" s="134">
        <v>3.8769230769230769</v>
      </c>
      <c r="J41" s="161">
        <v>1.6303502402331222</v>
      </c>
      <c r="K41" s="76">
        <f>'Key Inputs_BY Techs'!I$13*'Key Inputs_New Techs'!$J41</f>
        <v>1.1790837797258791</v>
      </c>
      <c r="L41" s="76">
        <f>'Key Inputs_BY Techs'!J$13*'Key Inputs_New Techs'!$J41</f>
        <v>1.1790837797258791</v>
      </c>
      <c r="M41" s="76">
        <f>'Key Inputs_BY Techs'!K$13*'Key Inputs_New Techs'!$J41</f>
        <v>1.1790837797258791</v>
      </c>
      <c r="N41" s="76">
        <f>'Key Inputs_BY Techs'!L$13*'Key Inputs_New Techs'!$J41</f>
        <v>1.1790837797258791</v>
      </c>
      <c r="O41" s="76">
        <f>'Key Inputs_BY Techs'!M$13*'Key Inputs_New Techs'!$J41</f>
        <v>1.1790837797258791</v>
      </c>
      <c r="P41" s="76">
        <f>'Key Inputs_BY Techs'!N$13*'Key Inputs_New Techs'!$J41</f>
        <v>1.1790837797258791</v>
      </c>
      <c r="Q41" s="76">
        <f>'Key Inputs_BY Techs'!O$13*'Key Inputs_New Techs'!$J41</f>
        <v>1.1790837797258791</v>
      </c>
      <c r="R41" s="76">
        <f>'Key Inputs_BY Techs'!P$13*'Key Inputs_New Techs'!$J41</f>
        <v>1.1790837797258791</v>
      </c>
      <c r="S41" s="76">
        <f>'Key Inputs_BY Techs'!Q$13*'Key Inputs_New Techs'!$J41</f>
        <v>1.1790837797258791</v>
      </c>
      <c r="T41" s="76">
        <f>'Key Inputs_BY Techs'!R$13*'Key Inputs_New Techs'!$J41</f>
        <v>1.1790837797258791</v>
      </c>
      <c r="U41" s="76">
        <f>'Key Inputs_BY Techs'!S$13*'Key Inputs_New Techs'!$J41</f>
        <v>1.1790837797258791</v>
      </c>
      <c r="V41" s="76">
        <f>'Key Inputs_BY Techs'!T$13*'Key Inputs_New Techs'!$J41</f>
        <v>1.1790837797258791</v>
      </c>
      <c r="W41" s="76">
        <f>'Key Inputs_BY Techs'!U$13*'Key Inputs_New Techs'!$J41</f>
        <v>1.1790837797258791</v>
      </c>
      <c r="X41" s="76">
        <f>'Key Inputs_BY Techs'!V$13*'Key Inputs_New Techs'!$J41</f>
        <v>1.1790837797258791</v>
      </c>
      <c r="Y41" s="76">
        <f>'Key Inputs_BY Techs'!W$13*'Key Inputs_New Techs'!$J41</f>
        <v>1.1790837797258791</v>
      </c>
      <c r="Z41" s="76">
        <f>'Key Inputs_BY Techs'!X$13*'Key Inputs_New Techs'!$J41</f>
        <v>1.1790837797258791</v>
      </c>
      <c r="AA41" s="76">
        <f>'Key Inputs_BY Techs'!Y$13*'Key Inputs_New Techs'!$J41</f>
        <v>1.1790837797258791</v>
      </c>
      <c r="AB41" s="76">
        <f>'Key Inputs_BY Techs'!Z$13*'Key Inputs_New Techs'!$J41</f>
        <v>1.1790837797258791</v>
      </c>
      <c r="AC41" s="76">
        <f>'Key Inputs_BY Techs'!AA$13*'Key Inputs_New Techs'!$J41</f>
        <v>1.1790837797258791</v>
      </c>
      <c r="AD41" s="76">
        <f>'Key Inputs_BY Techs'!AB$13*'Key Inputs_New Techs'!$J41</f>
        <v>1.1790837797258791</v>
      </c>
      <c r="AE41" s="76">
        <f>'Key Inputs_BY Techs'!AC$13*'Key Inputs_New Techs'!$J41</f>
        <v>1.1790837797258791</v>
      </c>
      <c r="AF41" s="76">
        <f>'Key Inputs_BY Techs'!AD$13*'Key Inputs_New Techs'!$J41</f>
        <v>1.1790837797258791</v>
      </c>
      <c r="AG41" s="76">
        <f>'Key Inputs_BY Techs'!AE$13*'Key Inputs_New Techs'!$J41</f>
        <v>1.1790837797258791</v>
      </c>
      <c r="AH41" s="76">
        <f>'Key Inputs_BY Techs'!AF$13*'Key Inputs_New Techs'!$J41</f>
        <v>1.1790837797258791</v>
      </c>
      <c r="AI41" s="76">
        <f>'Key Inputs_BY Techs'!AG$13*'Key Inputs_New Techs'!$J41</f>
        <v>1.1790837797258791</v>
      </c>
      <c r="AJ41" s="76">
        <f>'Key Inputs_BY Techs'!AH$13*'Key Inputs_New Techs'!$J41</f>
        <v>1.1790837797258791</v>
      </c>
      <c r="AK41" s="76">
        <f>'Key Inputs_BY Techs'!AI$13*'Key Inputs_New Techs'!$J41</f>
        <v>1.1790837797258791</v>
      </c>
      <c r="AL41" s="76">
        <f>'Key Inputs_BY Techs'!AJ$13*'Key Inputs_New Techs'!$J41</f>
        <v>1.1790837797258791</v>
      </c>
      <c r="AM41" s="426"/>
      <c r="AN41" s="426"/>
      <c r="AO41" s="426"/>
      <c r="AP41" s="426"/>
      <c r="AQ41" s="426"/>
      <c r="AR41" s="426"/>
      <c r="AS41" s="426"/>
      <c r="AT41" s="426"/>
      <c r="AU41" s="426"/>
      <c r="AV41" s="426"/>
      <c r="AW41" s="426"/>
      <c r="AX41" s="426"/>
      <c r="AY41" s="426"/>
    </row>
    <row r="42" spans="1:51" x14ac:dyDescent="0.25">
      <c r="B42" s="425"/>
      <c r="F42" s="443"/>
      <c r="G42" s="443"/>
      <c r="H42" s="445">
        <v>2050</v>
      </c>
      <c r="I42" s="134">
        <v>3.904615384615385</v>
      </c>
      <c r="J42" s="161">
        <v>2.073579656192603</v>
      </c>
      <c r="K42" s="76">
        <f>'Key Inputs_BY Techs'!I$13*'Key Inputs_New Techs'!$J42</f>
        <v>1.4996312315301439</v>
      </c>
      <c r="L42" s="76">
        <f>'Key Inputs_BY Techs'!J$13*'Key Inputs_New Techs'!$J42</f>
        <v>1.4996312315301439</v>
      </c>
      <c r="M42" s="76">
        <f>'Key Inputs_BY Techs'!K$13*'Key Inputs_New Techs'!$J42</f>
        <v>1.4996312315301439</v>
      </c>
      <c r="N42" s="76">
        <f>'Key Inputs_BY Techs'!L$13*'Key Inputs_New Techs'!$J42</f>
        <v>1.4996312315301439</v>
      </c>
      <c r="O42" s="76">
        <f>'Key Inputs_BY Techs'!M$13*'Key Inputs_New Techs'!$J42</f>
        <v>1.4996312315301439</v>
      </c>
      <c r="P42" s="76">
        <f>'Key Inputs_BY Techs'!N$13*'Key Inputs_New Techs'!$J42</f>
        <v>1.4996312315301439</v>
      </c>
      <c r="Q42" s="76">
        <f>'Key Inputs_BY Techs'!O$13*'Key Inputs_New Techs'!$J42</f>
        <v>1.4996312315301439</v>
      </c>
      <c r="R42" s="76">
        <f>'Key Inputs_BY Techs'!P$13*'Key Inputs_New Techs'!$J42</f>
        <v>1.4996312315301439</v>
      </c>
      <c r="S42" s="76">
        <f>'Key Inputs_BY Techs'!Q$13*'Key Inputs_New Techs'!$J42</f>
        <v>1.4996312315301439</v>
      </c>
      <c r="T42" s="76">
        <f>'Key Inputs_BY Techs'!R$13*'Key Inputs_New Techs'!$J42</f>
        <v>1.4996312315301439</v>
      </c>
      <c r="U42" s="76">
        <f>'Key Inputs_BY Techs'!S$13*'Key Inputs_New Techs'!$J42</f>
        <v>1.4996312315301439</v>
      </c>
      <c r="V42" s="76">
        <f>'Key Inputs_BY Techs'!T$13*'Key Inputs_New Techs'!$J42</f>
        <v>1.4996312315301439</v>
      </c>
      <c r="W42" s="76">
        <f>'Key Inputs_BY Techs'!U$13*'Key Inputs_New Techs'!$J42</f>
        <v>1.4996312315301439</v>
      </c>
      <c r="X42" s="76">
        <f>'Key Inputs_BY Techs'!V$13*'Key Inputs_New Techs'!$J42</f>
        <v>1.4996312315301439</v>
      </c>
      <c r="Y42" s="76">
        <f>'Key Inputs_BY Techs'!W$13*'Key Inputs_New Techs'!$J42</f>
        <v>1.4996312315301439</v>
      </c>
      <c r="Z42" s="76">
        <f>'Key Inputs_BY Techs'!X$13*'Key Inputs_New Techs'!$J42</f>
        <v>1.4996312315301439</v>
      </c>
      <c r="AA42" s="76">
        <f>'Key Inputs_BY Techs'!Y$13*'Key Inputs_New Techs'!$J42</f>
        <v>1.4996312315301439</v>
      </c>
      <c r="AB42" s="76">
        <f>'Key Inputs_BY Techs'!Z$13*'Key Inputs_New Techs'!$J42</f>
        <v>1.4996312315301439</v>
      </c>
      <c r="AC42" s="76">
        <f>'Key Inputs_BY Techs'!AA$13*'Key Inputs_New Techs'!$J42</f>
        <v>1.4996312315301439</v>
      </c>
      <c r="AD42" s="76">
        <f>'Key Inputs_BY Techs'!AB$13*'Key Inputs_New Techs'!$J42</f>
        <v>1.4996312315301439</v>
      </c>
      <c r="AE42" s="76">
        <f>'Key Inputs_BY Techs'!AC$13*'Key Inputs_New Techs'!$J42</f>
        <v>1.4996312315301439</v>
      </c>
      <c r="AF42" s="76">
        <f>'Key Inputs_BY Techs'!AD$13*'Key Inputs_New Techs'!$J42</f>
        <v>1.4996312315301439</v>
      </c>
      <c r="AG42" s="76">
        <f>'Key Inputs_BY Techs'!AE$13*'Key Inputs_New Techs'!$J42</f>
        <v>1.4996312315301439</v>
      </c>
      <c r="AH42" s="76">
        <f>'Key Inputs_BY Techs'!AF$13*'Key Inputs_New Techs'!$J42</f>
        <v>1.4996312315301439</v>
      </c>
      <c r="AI42" s="76">
        <f>'Key Inputs_BY Techs'!AG$13*'Key Inputs_New Techs'!$J42</f>
        <v>1.4996312315301439</v>
      </c>
      <c r="AJ42" s="76">
        <f>'Key Inputs_BY Techs'!AH$13*'Key Inputs_New Techs'!$J42</f>
        <v>1.4996312315301439</v>
      </c>
      <c r="AK42" s="76">
        <f>'Key Inputs_BY Techs'!AI$13*'Key Inputs_New Techs'!$J42</f>
        <v>1.4996312315301439</v>
      </c>
      <c r="AL42" s="76">
        <f>'Key Inputs_BY Techs'!AJ$13*'Key Inputs_New Techs'!$J42</f>
        <v>1.4996312315301439</v>
      </c>
      <c r="AM42" s="426"/>
      <c r="AN42" s="426"/>
      <c r="AO42" s="426"/>
      <c r="AP42" s="426"/>
      <c r="AQ42" s="426"/>
      <c r="AR42" s="426"/>
      <c r="AS42" s="426"/>
      <c r="AT42" s="426"/>
      <c r="AU42" s="426"/>
      <c r="AV42" s="426"/>
      <c r="AW42" s="426"/>
      <c r="AX42" s="426"/>
      <c r="AY42" s="426"/>
    </row>
    <row r="43" spans="1:51" x14ac:dyDescent="0.25">
      <c r="A43" s="424" t="s">
        <v>122</v>
      </c>
      <c r="B43" s="425" t="s">
        <v>525</v>
      </c>
      <c r="C43" s="425" t="s">
        <v>19</v>
      </c>
      <c r="D43" s="425" t="s">
        <v>105</v>
      </c>
      <c r="E43" s="425" t="s">
        <v>245</v>
      </c>
      <c r="F43" s="443">
        <v>2025</v>
      </c>
      <c r="G43" s="443">
        <v>15</v>
      </c>
      <c r="H43" s="445">
        <v>2030</v>
      </c>
      <c r="I43" s="134">
        <v>4.9309090909090907</v>
      </c>
      <c r="J43" s="161">
        <v>1.6419955990919304</v>
      </c>
      <c r="K43" s="76">
        <f>'Key Inputs_BY Techs'!I$13*'Key Inputs_New Techs'!$J43</f>
        <v>1.187505806723921</v>
      </c>
      <c r="L43" s="76">
        <f>'Key Inputs_BY Techs'!J$13*'Key Inputs_New Techs'!$J43</f>
        <v>1.187505806723921</v>
      </c>
      <c r="M43" s="76">
        <f>'Key Inputs_BY Techs'!K$13*'Key Inputs_New Techs'!$J43</f>
        <v>1.187505806723921</v>
      </c>
      <c r="N43" s="76">
        <f>'Key Inputs_BY Techs'!L$13*'Key Inputs_New Techs'!$J43</f>
        <v>1.187505806723921</v>
      </c>
      <c r="O43" s="76">
        <f>'Key Inputs_BY Techs'!M$13*'Key Inputs_New Techs'!$J43</f>
        <v>1.187505806723921</v>
      </c>
      <c r="P43" s="76">
        <f>'Key Inputs_BY Techs'!N$13*'Key Inputs_New Techs'!$J43</f>
        <v>1.187505806723921</v>
      </c>
      <c r="Q43" s="76">
        <f>'Key Inputs_BY Techs'!O$13*'Key Inputs_New Techs'!$J43</f>
        <v>1.187505806723921</v>
      </c>
      <c r="R43" s="76">
        <f>'Key Inputs_BY Techs'!P$13*'Key Inputs_New Techs'!$J43</f>
        <v>1.187505806723921</v>
      </c>
      <c r="S43" s="76">
        <f>'Key Inputs_BY Techs'!Q$13*'Key Inputs_New Techs'!$J43</f>
        <v>1.187505806723921</v>
      </c>
      <c r="T43" s="76">
        <f>'Key Inputs_BY Techs'!R$13*'Key Inputs_New Techs'!$J43</f>
        <v>1.187505806723921</v>
      </c>
      <c r="U43" s="76">
        <f>'Key Inputs_BY Techs'!S$13*'Key Inputs_New Techs'!$J43</f>
        <v>1.187505806723921</v>
      </c>
      <c r="V43" s="76">
        <f>'Key Inputs_BY Techs'!T$13*'Key Inputs_New Techs'!$J43</f>
        <v>1.187505806723921</v>
      </c>
      <c r="W43" s="76">
        <f>'Key Inputs_BY Techs'!U$13*'Key Inputs_New Techs'!$J43</f>
        <v>1.187505806723921</v>
      </c>
      <c r="X43" s="76">
        <f>'Key Inputs_BY Techs'!V$13*'Key Inputs_New Techs'!$J43</f>
        <v>1.187505806723921</v>
      </c>
      <c r="Y43" s="76">
        <f>'Key Inputs_BY Techs'!W$13*'Key Inputs_New Techs'!$J43</f>
        <v>1.187505806723921</v>
      </c>
      <c r="Z43" s="76">
        <f>'Key Inputs_BY Techs'!X$13*'Key Inputs_New Techs'!$J43</f>
        <v>1.187505806723921</v>
      </c>
      <c r="AA43" s="76">
        <f>'Key Inputs_BY Techs'!Y$13*'Key Inputs_New Techs'!$J43</f>
        <v>1.187505806723921</v>
      </c>
      <c r="AB43" s="76">
        <f>'Key Inputs_BY Techs'!Z$13*'Key Inputs_New Techs'!$J43</f>
        <v>1.187505806723921</v>
      </c>
      <c r="AC43" s="76">
        <f>'Key Inputs_BY Techs'!AA$13*'Key Inputs_New Techs'!$J43</f>
        <v>1.187505806723921</v>
      </c>
      <c r="AD43" s="76">
        <f>'Key Inputs_BY Techs'!AB$13*'Key Inputs_New Techs'!$J43</f>
        <v>1.187505806723921</v>
      </c>
      <c r="AE43" s="76">
        <f>'Key Inputs_BY Techs'!AC$13*'Key Inputs_New Techs'!$J43</f>
        <v>1.187505806723921</v>
      </c>
      <c r="AF43" s="76">
        <f>'Key Inputs_BY Techs'!AD$13*'Key Inputs_New Techs'!$J43</f>
        <v>1.187505806723921</v>
      </c>
      <c r="AG43" s="76">
        <f>'Key Inputs_BY Techs'!AE$13*'Key Inputs_New Techs'!$J43</f>
        <v>1.187505806723921</v>
      </c>
      <c r="AH43" s="76">
        <f>'Key Inputs_BY Techs'!AF$13*'Key Inputs_New Techs'!$J43</f>
        <v>1.187505806723921</v>
      </c>
      <c r="AI43" s="76">
        <f>'Key Inputs_BY Techs'!AG$13*'Key Inputs_New Techs'!$J43</f>
        <v>1.187505806723921</v>
      </c>
      <c r="AJ43" s="76">
        <f>'Key Inputs_BY Techs'!AH$13*'Key Inputs_New Techs'!$J43</f>
        <v>1.187505806723921</v>
      </c>
      <c r="AK43" s="76">
        <f>'Key Inputs_BY Techs'!AI$13*'Key Inputs_New Techs'!$J43</f>
        <v>1.187505806723921</v>
      </c>
      <c r="AL43" s="76">
        <f>'Key Inputs_BY Techs'!AJ$13*'Key Inputs_New Techs'!$J43</f>
        <v>1.187505806723921</v>
      </c>
      <c r="AM43" s="426"/>
      <c r="AN43" s="426"/>
      <c r="AO43" s="426"/>
      <c r="AP43" s="426"/>
      <c r="AQ43" s="426"/>
      <c r="AR43" s="426"/>
      <c r="AS43" s="426"/>
      <c r="AT43" s="426"/>
      <c r="AU43" s="426"/>
      <c r="AV43" s="426"/>
      <c r="AW43" s="426"/>
      <c r="AX43" s="426"/>
      <c r="AY43" s="426"/>
    </row>
    <row r="44" spans="1:51" x14ac:dyDescent="0.25">
      <c r="B44" s="425"/>
      <c r="F44" s="443"/>
      <c r="G44" s="443"/>
      <c r="H44" s="445">
        <v>2050</v>
      </c>
      <c r="I44" s="134">
        <v>5.9373850771428591</v>
      </c>
      <c r="J44" s="161">
        <v>2.4968298299482816</v>
      </c>
      <c r="K44" s="76">
        <f>'Key Inputs_BY Techs'!I$13*'Key Inputs_New Techs'!$J44</f>
        <v>1.8057295178530399</v>
      </c>
      <c r="L44" s="76">
        <f>'Key Inputs_BY Techs'!J$13*'Key Inputs_New Techs'!$J44</f>
        <v>1.8057295178530399</v>
      </c>
      <c r="M44" s="76">
        <f>'Key Inputs_BY Techs'!K$13*'Key Inputs_New Techs'!$J44</f>
        <v>1.8057295178530399</v>
      </c>
      <c r="N44" s="76">
        <f>'Key Inputs_BY Techs'!L$13*'Key Inputs_New Techs'!$J44</f>
        <v>1.8057295178530399</v>
      </c>
      <c r="O44" s="76">
        <f>'Key Inputs_BY Techs'!M$13*'Key Inputs_New Techs'!$J44</f>
        <v>1.8057295178530399</v>
      </c>
      <c r="P44" s="76">
        <f>'Key Inputs_BY Techs'!N$13*'Key Inputs_New Techs'!$J44</f>
        <v>1.8057295178530399</v>
      </c>
      <c r="Q44" s="76">
        <f>'Key Inputs_BY Techs'!O$13*'Key Inputs_New Techs'!$J44</f>
        <v>1.8057295178530399</v>
      </c>
      <c r="R44" s="76">
        <f>'Key Inputs_BY Techs'!P$13*'Key Inputs_New Techs'!$J44</f>
        <v>1.8057295178530399</v>
      </c>
      <c r="S44" s="76">
        <f>'Key Inputs_BY Techs'!Q$13*'Key Inputs_New Techs'!$J44</f>
        <v>1.8057295178530399</v>
      </c>
      <c r="T44" s="76">
        <f>'Key Inputs_BY Techs'!R$13*'Key Inputs_New Techs'!$J44</f>
        <v>1.8057295178530399</v>
      </c>
      <c r="U44" s="76">
        <f>'Key Inputs_BY Techs'!S$13*'Key Inputs_New Techs'!$J44</f>
        <v>1.8057295178530399</v>
      </c>
      <c r="V44" s="76">
        <f>'Key Inputs_BY Techs'!T$13*'Key Inputs_New Techs'!$J44</f>
        <v>1.8057295178530399</v>
      </c>
      <c r="W44" s="76">
        <f>'Key Inputs_BY Techs'!U$13*'Key Inputs_New Techs'!$J44</f>
        <v>1.8057295178530399</v>
      </c>
      <c r="X44" s="76">
        <f>'Key Inputs_BY Techs'!V$13*'Key Inputs_New Techs'!$J44</f>
        <v>1.8057295178530399</v>
      </c>
      <c r="Y44" s="76">
        <f>'Key Inputs_BY Techs'!W$13*'Key Inputs_New Techs'!$J44</f>
        <v>1.8057295178530399</v>
      </c>
      <c r="Z44" s="76">
        <f>'Key Inputs_BY Techs'!X$13*'Key Inputs_New Techs'!$J44</f>
        <v>1.8057295178530399</v>
      </c>
      <c r="AA44" s="76">
        <f>'Key Inputs_BY Techs'!Y$13*'Key Inputs_New Techs'!$J44</f>
        <v>1.8057295178530399</v>
      </c>
      <c r="AB44" s="76">
        <f>'Key Inputs_BY Techs'!Z$13*'Key Inputs_New Techs'!$J44</f>
        <v>1.8057295178530399</v>
      </c>
      <c r="AC44" s="76">
        <f>'Key Inputs_BY Techs'!AA$13*'Key Inputs_New Techs'!$J44</f>
        <v>1.8057295178530399</v>
      </c>
      <c r="AD44" s="76">
        <f>'Key Inputs_BY Techs'!AB$13*'Key Inputs_New Techs'!$J44</f>
        <v>1.8057295178530399</v>
      </c>
      <c r="AE44" s="76">
        <f>'Key Inputs_BY Techs'!AC$13*'Key Inputs_New Techs'!$J44</f>
        <v>1.8057295178530399</v>
      </c>
      <c r="AF44" s="76">
        <f>'Key Inputs_BY Techs'!AD$13*'Key Inputs_New Techs'!$J44</f>
        <v>1.8057295178530399</v>
      </c>
      <c r="AG44" s="76">
        <f>'Key Inputs_BY Techs'!AE$13*'Key Inputs_New Techs'!$J44</f>
        <v>1.8057295178530399</v>
      </c>
      <c r="AH44" s="76">
        <f>'Key Inputs_BY Techs'!AF$13*'Key Inputs_New Techs'!$J44</f>
        <v>1.8057295178530399</v>
      </c>
      <c r="AI44" s="76">
        <f>'Key Inputs_BY Techs'!AG$13*'Key Inputs_New Techs'!$J44</f>
        <v>1.8057295178530399</v>
      </c>
      <c r="AJ44" s="76">
        <f>'Key Inputs_BY Techs'!AH$13*'Key Inputs_New Techs'!$J44</f>
        <v>1.8057295178530399</v>
      </c>
      <c r="AK44" s="76">
        <f>'Key Inputs_BY Techs'!AI$13*'Key Inputs_New Techs'!$J44</f>
        <v>1.8057295178530399</v>
      </c>
      <c r="AL44" s="76">
        <f>'Key Inputs_BY Techs'!AJ$13*'Key Inputs_New Techs'!$J44</f>
        <v>1.8057295178530399</v>
      </c>
      <c r="AM44" s="426"/>
      <c r="AN44" s="426"/>
      <c r="AO44" s="426"/>
      <c r="AP44" s="426"/>
      <c r="AQ44" s="426"/>
      <c r="AR44" s="426"/>
      <c r="AS44" s="426"/>
      <c r="AT44" s="426"/>
      <c r="AU44" s="426"/>
      <c r="AV44" s="426"/>
      <c r="AW44" s="426"/>
      <c r="AX44" s="426"/>
      <c r="AY44" s="426"/>
    </row>
    <row r="45" spans="1:51" x14ac:dyDescent="0.25">
      <c r="A45" s="424" t="s">
        <v>122</v>
      </c>
      <c r="B45" s="425" t="s">
        <v>526</v>
      </c>
      <c r="C45" s="425" t="s">
        <v>474</v>
      </c>
      <c r="D45" s="425" t="s">
        <v>475</v>
      </c>
      <c r="E45" s="425" t="s">
        <v>265</v>
      </c>
      <c r="F45" s="443">
        <v>2020</v>
      </c>
      <c r="G45" s="444">
        <v>17</v>
      </c>
      <c r="H45" s="445">
        <v>2020</v>
      </c>
      <c r="I45" s="134">
        <v>0.94340000000000002</v>
      </c>
      <c r="J45" s="161">
        <v>1</v>
      </c>
      <c r="K45" s="76">
        <f>'Key Inputs_BY Techs'!I$17*'Key Inputs_New Techs'!$J45</f>
        <v>0.94340000000000002</v>
      </c>
      <c r="L45" s="76">
        <f>'Key Inputs_BY Techs'!J$17*'Key Inputs_New Techs'!$J45</f>
        <v>0.94340000000000002</v>
      </c>
      <c r="M45" s="76">
        <f>'Key Inputs_BY Techs'!K$17*'Key Inputs_New Techs'!$J45</f>
        <v>0.94340000000000002</v>
      </c>
      <c r="N45" s="76">
        <f>'Key Inputs_BY Techs'!L$17*'Key Inputs_New Techs'!$J45</f>
        <v>0.94340000000000002</v>
      </c>
      <c r="O45" s="76">
        <f>'Key Inputs_BY Techs'!M$17*'Key Inputs_New Techs'!$J45</f>
        <v>0.94340000000000002</v>
      </c>
      <c r="P45" s="76">
        <f>'Key Inputs_BY Techs'!N$17*'Key Inputs_New Techs'!$J45</f>
        <v>0.94340000000000002</v>
      </c>
      <c r="Q45" s="76">
        <f>'Key Inputs_BY Techs'!O$17*'Key Inputs_New Techs'!$J45</f>
        <v>0.94340000000000002</v>
      </c>
      <c r="R45" s="76">
        <f>'Key Inputs_BY Techs'!P$17*'Key Inputs_New Techs'!$J45</f>
        <v>0.94340000000000002</v>
      </c>
      <c r="S45" s="76">
        <f>'Key Inputs_BY Techs'!Q$17*'Key Inputs_New Techs'!$J45</f>
        <v>0.94340000000000002</v>
      </c>
      <c r="T45" s="76">
        <f>'Key Inputs_BY Techs'!R$17*'Key Inputs_New Techs'!$J45</f>
        <v>0.94340000000000002</v>
      </c>
      <c r="U45" s="76">
        <f>'Key Inputs_BY Techs'!S$17*'Key Inputs_New Techs'!$J45</f>
        <v>0.94340000000000002</v>
      </c>
      <c r="V45" s="76">
        <f>'Key Inputs_BY Techs'!T$17*'Key Inputs_New Techs'!$J45</f>
        <v>0.94340000000000002</v>
      </c>
      <c r="W45" s="76">
        <f>'Key Inputs_BY Techs'!U$17*'Key Inputs_New Techs'!$J45</f>
        <v>0.94340000000000002</v>
      </c>
      <c r="X45" s="76">
        <f>'Key Inputs_BY Techs'!V$17*'Key Inputs_New Techs'!$J45</f>
        <v>0.94340000000000002</v>
      </c>
      <c r="Y45" s="76">
        <f>'Key Inputs_BY Techs'!W$17*'Key Inputs_New Techs'!$J45</f>
        <v>0.94340000000000002</v>
      </c>
      <c r="Z45" s="76">
        <f>'Key Inputs_BY Techs'!X$17*'Key Inputs_New Techs'!$J45</f>
        <v>0.94340000000000002</v>
      </c>
      <c r="AA45" s="76">
        <f>'Key Inputs_BY Techs'!Y$17*'Key Inputs_New Techs'!$J45</f>
        <v>0.94340000000000002</v>
      </c>
      <c r="AB45" s="76">
        <f>'Key Inputs_BY Techs'!Z$17*'Key Inputs_New Techs'!$J45</f>
        <v>0.94340000000000002</v>
      </c>
      <c r="AC45" s="76">
        <f>'Key Inputs_BY Techs'!AA$17*'Key Inputs_New Techs'!$J45</f>
        <v>0.94340000000000002</v>
      </c>
      <c r="AD45" s="76">
        <f>'Key Inputs_BY Techs'!AB$17*'Key Inputs_New Techs'!$J45</f>
        <v>0.94340000000000002</v>
      </c>
      <c r="AE45" s="76">
        <f>'Key Inputs_BY Techs'!AC$17*'Key Inputs_New Techs'!$J45</f>
        <v>0.94340000000000002</v>
      </c>
      <c r="AF45" s="76">
        <f>'Key Inputs_BY Techs'!AD$17*'Key Inputs_New Techs'!$J45</f>
        <v>0.94340000000000002</v>
      </c>
      <c r="AG45" s="76">
        <f>'Key Inputs_BY Techs'!AE$17*'Key Inputs_New Techs'!$J45</f>
        <v>0.94340000000000002</v>
      </c>
      <c r="AH45" s="76">
        <f>'Key Inputs_BY Techs'!AF$17*'Key Inputs_New Techs'!$J45</f>
        <v>0.94340000000000002</v>
      </c>
      <c r="AI45" s="76">
        <f>'Key Inputs_BY Techs'!AG$17*'Key Inputs_New Techs'!$J45</f>
        <v>0.94340000000000002</v>
      </c>
      <c r="AJ45" s="76">
        <f>'Key Inputs_BY Techs'!AH$17*'Key Inputs_New Techs'!$J45</f>
        <v>0.94340000000000002</v>
      </c>
      <c r="AK45" s="76">
        <f>'Key Inputs_BY Techs'!AI$17*'Key Inputs_New Techs'!$J45</f>
        <v>0.94340000000000002</v>
      </c>
      <c r="AL45" s="76">
        <f>'Key Inputs_BY Techs'!AJ$17*'Key Inputs_New Techs'!$J45</f>
        <v>0.94340000000000002</v>
      </c>
      <c r="AM45" s="426"/>
      <c r="AN45" s="426"/>
      <c r="AO45" s="426"/>
      <c r="AP45" s="426"/>
      <c r="AQ45" s="426"/>
      <c r="AR45" s="426"/>
      <c r="AS45" s="426"/>
      <c r="AT45" s="426"/>
      <c r="AU45" s="426"/>
      <c r="AV45" s="426"/>
      <c r="AW45" s="426"/>
      <c r="AX45" s="426"/>
      <c r="AY45" s="426"/>
    </row>
    <row r="46" spans="1:51" x14ac:dyDescent="0.25">
      <c r="A46" s="424" t="s">
        <v>122</v>
      </c>
      <c r="B46" s="425" t="s">
        <v>527</v>
      </c>
      <c r="C46" s="425" t="s">
        <v>474</v>
      </c>
      <c r="D46" s="425" t="s">
        <v>475</v>
      </c>
      <c r="E46" s="425" t="s">
        <v>274</v>
      </c>
      <c r="F46" s="443">
        <v>2020</v>
      </c>
      <c r="G46" s="443">
        <v>17</v>
      </c>
      <c r="H46" s="445">
        <v>2020</v>
      </c>
      <c r="I46" s="134">
        <v>0.9857999999999999</v>
      </c>
      <c r="J46" s="161">
        <v>1.044943820224719</v>
      </c>
      <c r="K46" s="76">
        <f>'Key Inputs_BY Techs'!I$17*'Key Inputs_New Techs'!$J46</f>
        <v>0.9857999999999999</v>
      </c>
      <c r="L46" s="76">
        <f>'Key Inputs_BY Techs'!J$17*'Key Inputs_New Techs'!$J46</f>
        <v>0.9857999999999999</v>
      </c>
      <c r="M46" s="76">
        <f>'Key Inputs_BY Techs'!K$17*'Key Inputs_New Techs'!$J46</f>
        <v>0.9857999999999999</v>
      </c>
      <c r="N46" s="76">
        <f>'Key Inputs_BY Techs'!L$17*'Key Inputs_New Techs'!$J46</f>
        <v>0.9857999999999999</v>
      </c>
      <c r="O46" s="76">
        <f>'Key Inputs_BY Techs'!M$17*'Key Inputs_New Techs'!$J46</f>
        <v>0.9857999999999999</v>
      </c>
      <c r="P46" s="76">
        <f>'Key Inputs_BY Techs'!N$17*'Key Inputs_New Techs'!$J46</f>
        <v>0.9857999999999999</v>
      </c>
      <c r="Q46" s="76">
        <f>'Key Inputs_BY Techs'!O$17*'Key Inputs_New Techs'!$J46</f>
        <v>0.9857999999999999</v>
      </c>
      <c r="R46" s="76">
        <f>'Key Inputs_BY Techs'!P$17*'Key Inputs_New Techs'!$J46</f>
        <v>0.9857999999999999</v>
      </c>
      <c r="S46" s="76">
        <f>'Key Inputs_BY Techs'!Q$17*'Key Inputs_New Techs'!$J46</f>
        <v>0.9857999999999999</v>
      </c>
      <c r="T46" s="76">
        <f>'Key Inputs_BY Techs'!R$17*'Key Inputs_New Techs'!$J46</f>
        <v>0.9857999999999999</v>
      </c>
      <c r="U46" s="76">
        <f>'Key Inputs_BY Techs'!S$17*'Key Inputs_New Techs'!$J46</f>
        <v>0.9857999999999999</v>
      </c>
      <c r="V46" s="76">
        <f>'Key Inputs_BY Techs'!T$17*'Key Inputs_New Techs'!$J46</f>
        <v>0.9857999999999999</v>
      </c>
      <c r="W46" s="76">
        <f>'Key Inputs_BY Techs'!U$17*'Key Inputs_New Techs'!$J46</f>
        <v>0.9857999999999999</v>
      </c>
      <c r="X46" s="76">
        <f>'Key Inputs_BY Techs'!V$17*'Key Inputs_New Techs'!$J46</f>
        <v>0.9857999999999999</v>
      </c>
      <c r="Y46" s="76">
        <f>'Key Inputs_BY Techs'!W$17*'Key Inputs_New Techs'!$J46</f>
        <v>0.9857999999999999</v>
      </c>
      <c r="Z46" s="76">
        <f>'Key Inputs_BY Techs'!X$17*'Key Inputs_New Techs'!$J46</f>
        <v>0.9857999999999999</v>
      </c>
      <c r="AA46" s="76">
        <f>'Key Inputs_BY Techs'!Y$17*'Key Inputs_New Techs'!$J46</f>
        <v>0.9857999999999999</v>
      </c>
      <c r="AB46" s="76">
        <f>'Key Inputs_BY Techs'!Z$17*'Key Inputs_New Techs'!$J46</f>
        <v>0.9857999999999999</v>
      </c>
      <c r="AC46" s="76">
        <f>'Key Inputs_BY Techs'!AA$17*'Key Inputs_New Techs'!$J46</f>
        <v>0.9857999999999999</v>
      </c>
      <c r="AD46" s="76">
        <f>'Key Inputs_BY Techs'!AB$17*'Key Inputs_New Techs'!$J46</f>
        <v>0.9857999999999999</v>
      </c>
      <c r="AE46" s="76">
        <f>'Key Inputs_BY Techs'!AC$17*'Key Inputs_New Techs'!$J46</f>
        <v>0.9857999999999999</v>
      </c>
      <c r="AF46" s="76">
        <f>'Key Inputs_BY Techs'!AD$17*'Key Inputs_New Techs'!$J46</f>
        <v>0.9857999999999999</v>
      </c>
      <c r="AG46" s="76">
        <f>'Key Inputs_BY Techs'!AE$17*'Key Inputs_New Techs'!$J46</f>
        <v>0.9857999999999999</v>
      </c>
      <c r="AH46" s="76">
        <f>'Key Inputs_BY Techs'!AF$17*'Key Inputs_New Techs'!$J46</f>
        <v>0.9857999999999999</v>
      </c>
      <c r="AI46" s="76">
        <f>'Key Inputs_BY Techs'!AG$17*'Key Inputs_New Techs'!$J46</f>
        <v>0.9857999999999999</v>
      </c>
      <c r="AJ46" s="76">
        <f>'Key Inputs_BY Techs'!AH$17*'Key Inputs_New Techs'!$J46</f>
        <v>0.9857999999999999</v>
      </c>
      <c r="AK46" s="76">
        <f>'Key Inputs_BY Techs'!AI$17*'Key Inputs_New Techs'!$J46</f>
        <v>0.9857999999999999</v>
      </c>
      <c r="AL46" s="76">
        <f>'Key Inputs_BY Techs'!AJ$17*'Key Inputs_New Techs'!$J46</f>
        <v>0.9857999999999999</v>
      </c>
      <c r="AM46" s="426"/>
      <c r="AN46" s="426"/>
      <c r="AO46" s="426"/>
      <c r="AP46" s="426"/>
      <c r="AQ46" s="426"/>
      <c r="AR46" s="426"/>
      <c r="AS46" s="426"/>
      <c r="AT46" s="426"/>
      <c r="AU46" s="426"/>
      <c r="AV46" s="426"/>
      <c r="AW46" s="426"/>
      <c r="AX46" s="426"/>
      <c r="AY46" s="426"/>
    </row>
    <row r="47" spans="1:51" x14ac:dyDescent="0.25">
      <c r="A47" s="424" t="s">
        <v>122</v>
      </c>
      <c r="B47" s="425" t="s">
        <v>528</v>
      </c>
      <c r="C47" s="425" t="s">
        <v>474</v>
      </c>
      <c r="D47" s="425" t="s">
        <v>475</v>
      </c>
      <c r="E47" s="425" t="s">
        <v>273</v>
      </c>
      <c r="F47" s="443">
        <v>2025</v>
      </c>
      <c r="G47" s="443">
        <v>17</v>
      </c>
      <c r="H47" s="445">
        <v>2025</v>
      </c>
      <c r="I47" s="134">
        <v>0.9857999999999999</v>
      </c>
      <c r="J47" s="161">
        <v>1.044943820224719</v>
      </c>
      <c r="K47" s="76">
        <f>'Key Inputs_BY Techs'!I$17*'Key Inputs_New Techs'!$J47</f>
        <v>0.9857999999999999</v>
      </c>
      <c r="L47" s="76">
        <f>'Key Inputs_BY Techs'!J$17*'Key Inputs_New Techs'!$J47</f>
        <v>0.9857999999999999</v>
      </c>
      <c r="M47" s="76">
        <f>'Key Inputs_BY Techs'!K$17*'Key Inputs_New Techs'!$J47</f>
        <v>0.9857999999999999</v>
      </c>
      <c r="N47" s="76">
        <f>'Key Inputs_BY Techs'!L$17*'Key Inputs_New Techs'!$J47</f>
        <v>0.9857999999999999</v>
      </c>
      <c r="O47" s="76">
        <f>'Key Inputs_BY Techs'!M$17*'Key Inputs_New Techs'!$J47</f>
        <v>0.9857999999999999</v>
      </c>
      <c r="P47" s="76">
        <f>'Key Inputs_BY Techs'!N$17*'Key Inputs_New Techs'!$J47</f>
        <v>0.9857999999999999</v>
      </c>
      <c r="Q47" s="76">
        <f>'Key Inputs_BY Techs'!O$17*'Key Inputs_New Techs'!$J47</f>
        <v>0.9857999999999999</v>
      </c>
      <c r="R47" s="76">
        <f>'Key Inputs_BY Techs'!P$17*'Key Inputs_New Techs'!$J47</f>
        <v>0.9857999999999999</v>
      </c>
      <c r="S47" s="76">
        <f>'Key Inputs_BY Techs'!Q$17*'Key Inputs_New Techs'!$J47</f>
        <v>0.9857999999999999</v>
      </c>
      <c r="T47" s="76">
        <f>'Key Inputs_BY Techs'!R$17*'Key Inputs_New Techs'!$J47</f>
        <v>0.9857999999999999</v>
      </c>
      <c r="U47" s="76">
        <f>'Key Inputs_BY Techs'!S$17*'Key Inputs_New Techs'!$J47</f>
        <v>0.9857999999999999</v>
      </c>
      <c r="V47" s="76">
        <f>'Key Inputs_BY Techs'!T$17*'Key Inputs_New Techs'!$J47</f>
        <v>0.9857999999999999</v>
      </c>
      <c r="W47" s="76">
        <f>'Key Inputs_BY Techs'!U$17*'Key Inputs_New Techs'!$J47</f>
        <v>0.9857999999999999</v>
      </c>
      <c r="X47" s="76">
        <f>'Key Inputs_BY Techs'!V$17*'Key Inputs_New Techs'!$J47</f>
        <v>0.9857999999999999</v>
      </c>
      <c r="Y47" s="76">
        <f>'Key Inputs_BY Techs'!W$17*'Key Inputs_New Techs'!$J47</f>
        <v>0.9857999999999999</v>
      </c>
      <c r="Z47" s="76">
        <f>'Key Inputs_BY Techs'!X$17*'Key Inputs_New Techs'!$J47</f>
        <v>0.9857999999999999</v>
      </c>
      <c r="AA47" s="76">
        <f>'Key Inputs_BY Techs'!Y$17*'Key Inputs_New Techs'!$J47</f>
        <v>0.9857999999999999</v>
      </c>
      <c r="AB47" s="76">
        <f>'Key Inputs_BY Techs'!Z$17*'Key Inputs_New Techs'!$J47</f>
        <v>0.9857999999999999</v>
      </c>
      <c r="AC47" s="76">
        <f>'Key Inputs_BY Techs'!AA$17*'Key Inputs_New Techs'!$J47</f>
        <v>0.9857999999999999</v>
      </c>
      <c r="AD47" s="76">
        <f>'Key Inputs_BY Techs'!AB$17*'Key Inputs_New Techs'!$J47</f>
        <v>0.9857999999999999</v>
      </c>
      <c r="AE47" s="76">
        <f>'Key Inputs_BY Techs'!AC$17*'Key Inputs_New Techs'!$J47</f>
        <v>0.9857999999999999</v>
      </c>
      <c r="AF47" s="76">
        <f>'Key Inputs_BY Techs'!AD$17*'Key Inputs_New Techs'!$J47</f>
        <v>0.9857999999999999</v>
      </c>
      <c r="AG47" s="76">
        <f>'Key Inputs_BY Techs'!AE$17*'Key Inputs_New Techs'!$J47</f>
        <v>0.9857999999999999</v>
      </c>
      <c r="AH47" s="76">
        <f>'Key Inputs_BY Techs'!AF$17*'Key Inputs_New Techs'!$J47</f>
        <v>0.9857999999999999</v>
      </c>
      <c r="AI47" s="76">
        <f>'Key Inputs_BY Techs'!AG$17*'Key Inputs_New Techs'!$J47</f>
        <v>0.9857999999999999</v>
      </c>
      <c r="AJ47" s="76">
        <f>'Key Inputs_BY Techs'!AH$17*'Key Inputs_New Techs'!$J47</f>
        <v>0.9857999999999999</v>
      </c>
      <c r="AK47" s="76">
        <f>'Key Inputs_BY Techs'!AI$17*'Key Inputs_New Techs'!$J47</f>
        <v>0.9857999999999999</v>
      </c>
      <c r="AL47" s="76">
        <f>'Key Inputs_BY Techs'!AJ$17*'Key Inputs_New Techs'!$J47</f>
        <v>0.9857999999999999</v>
      </c>
      <c r="AM47" s="426"/>
      <c r="AN47" s="426"/>
      <c r="AO47" s="426"/>
      <c r="AP47" s="426"/>
      <c r="AQ47" s="426"/>
      <c r="AR47" s="426"/>
      <c r="AS47" s="426"/>
      <c r="AT47" s="426"/>
      <c r="AU47" s="426"/>
      <c r="AV47" s="426"/>
      <c r="AW47" s="426"/>
      <c r="AX47" s="426"/>
      <c r="AY47" s="426"/>
    </row>
    <row r="48" spans="1:51" x14ac:dyDescent="0.25">
      <c r="C48" s="424"/>
      <c r="D48" s="424"/>
      <c r="E48" s="424"/>
      <c r="F48" s="446"/>
      <c r="G48" s="446"/>
      <c r="H48" s="445">
        <v>2030</v>
      </c>
      <c r="I48" s="134">
        <v>1.0176000000000001</v>
      </c>
      <c r="J48" s="161">
        <v>1.0786516853932584</v>
      </c>
      <c r="K48" s="76">
        <f>'Key Inputs_BY Techs'!I$17*'Key Inputs_New Techs'!$J48</f>
        <v>1.0176000000000001</v>
      </c>
      <c r="L48" s="76">
        <f>'Key Inputs_BY Techs'!J$17*'Key Inputs_New Techs'!$J48</f>
        <v>1.0176000000000001</v>
      </c>
      <c r="M48" s="76">
        <f>'Key Inputs_BY Techs'!K$17*'Key Inputs_New Techs'!$J48</f>
        <v>1.0176000000000001</v>
      </c>
      <c r="N48" s="76">
        <f>'Key Inputs_BY Techs'!L$17*'Key Inputs_New Techs'!$J48</f>
        <v>1.0176000000000001</v>
      </c>
      <c r="O48" s="76">
        <f>'Key Inputs_BY Techs'!M$17*'Key Inputs_New Techs'!$J48</f>
        <v>1.0176000000000001</v>
      </c>
      <c r="P48" s="76">
        <f>'Key Inputs_BY Techs'!N$17*'Key Inputs_New Techs'!$J48</f>
        <v>1.0176000000000001</v>
      </c>
      <c r="Q48" s="76">
        <f>'Key Inputs_BY Techs'!O$17*'Key Inputs_New Techs'!$J48</f>
        <v>1.0176000000000001</v>
      </c>
      <c r="R48" s="76">
        <f>'Key Inputs_BY Techs'!P$17*'Key Inputs_New Techs'!$J48</f>
        <v>1.0176000000000001</v>
      </c>
      <c r="S48" s="76">
        <f>'Key Inputs_BY Techs'!Q$17*'Key Inputs_New Techs'!$J48</f>
        <v>1.0176000000000001</v>
      </c>
      <c r="T48" s="76">
        <f>'Key Inputs_BY Techs'!R$17*'Key Inputs_New Techs'!$J48</f>
        <v>1.0176000000000001</v>
      </c>
      <c r="U48" s="76">
        <f>'Key Inputs_BY Techs'!S$17*'Key Inputs_New Techs'!$J48</f>
        <v>1.0176000000000001</v>
      </c>
      <c r="V48" s="76">
        <f>'Key Inputs_BY Techs'!T$17*'Key Inputs_New Techs'!$J48</f>
        <v>1.0176000000000001</v>
      </c>
      <c r="W48" s="76">
        <f>'Key Inputs_BY Techs'!U$17*'Key Inputs_New Techs'!$J48</f>
        <v>1.0176000000000001</v>
      </c>
      <c r="X48" s="76">
        <f>'Key Inputs_BY Techs'!V$17*'Key Inputs_New Techs'!$J48</f>
        <v>1.0176000000000001</v>
      </c>
      <c r="Y48" s="76">
        <f>'Key Inputs_BY Techs'!W$17*'Key Inputs_New Techs'!$J48</f>
        <v>1.0176000000000001</v>
      </c>
      <c r="Z48" s="76">
        <f>'Key Inputs_BY Techs'!X$17*'Key Inputs_New Techs'!$J48</f>
        <v>1.0176000000000001</v>
      </c>
      <c r="AA48" s="76">
        <f>'Key Inputs_BY Techs'!Y$17*'Key Inputs_New Techs'!$J48</f>
        <v>1.0176000000000001</v>
      </c>
      <c r="AB48" s="76">
        <f>'Key Inputs_BY Techs'!Z$17*'Key Inputs_New Techs'!$J48</f>
        <v>1.0176000000000001</v>
      </c>
      <c r="AC48" s="76">
        <f>'Key Inputs_BY Techs'!AA$17*'Key Inputs_New Techs'!$J48</f>
        <v>1.0176000000000001</v>
      </c>
      <c r="AD48" s="76">
        <f>'Key Inputs_BY Techs'!AB$17*'Key Inputs_New Techs'!$J48</f>
        <v>1.0176000000000001</v>
      </c>
      <c r="AE48" s="76">
        <f>'Key Inputs_BY Techs'!AC$17*'Key Inputs_New Techs'!$J48</f>
        <v>1.0176000000000001</v>
      </c>
      <c r="AF48" s="76">
        <f>'Key Inputs_BY Techs'!AD$17*'Key Inputs_New Techs'!$J48</f>
        <v>1.0176000000000001</v>
      </c>
      <c r="AG48" s="76">
        <f>'Key Inputs_BY Techs'!AE$17*'Key Inputs_New Techs'!$J48</f>
        <v>1.0176000000000001</v>
      </c>
      <c r="AH48" s="76">
        <f>'Key Inputs_BY Techs'!AF$17*'Key Inputs_New Techs'!$J48</f>
        <v>1.0176000000000001</v>
      </c>
      <c r="AI48" s="76">
        <f>'Key Inputs_BY Techs'!AG$17*'Key Inputs_New Techs'!$J48</f>
        <v>1.0176000000000001</v>
      </c>
      <c r="AJ48" s="76">
        <f>'Key Inputs_BY Techs'!AH$17*'Key Inputs_New Techs'!$J48</f>
        <v>1.0176000000000001</v>
      </c>
      <c r="AK48" s="76">
        <f>'Key Inputs_BY Techs'!AI$17*'Key Inputs_New Techs'!$J48</f>
        <v>1.0176000000000001</v>
      </c>
      <c r="AL48" s="76">
        <f>'Key Inputs_BY Techs'!AJ$17*'Key Inputs_New Techs'!$J48</f>
        <v>1.0176000000000001</v>
      </c>
      <c r="AM48" s="426"/>
      <c r="AN48" s="426"/>
      <c r="AO48" s="426"/>
      <c r="AP48" s="426"/>
      <c r="AQ48" s="426"/>
      <c r="AR48" s="426"/>
      <c r="AS48" s="426"/>
      <c r="AT48" s="426"/>
      <c r="AU48" s="426"/>
      <c r="AV48" s="426"/>
      <c r="AW48" s="426"/>
      <c r="AX48" s="426"/>
      <c r="AY48" s="426"/>
    </row>
    <row r="49" spans="1:51" x14ac:dyDescent="0.25">
      <c r="A49" s="424" t="s">
        <v>122</v>
      </c>
      <c r="B49" s="512" t="s">
        <v>589</v>
      </c>
      <c r="C49" s="512" t="s">
        <v>0</v>
      </c>
      <c r="D49" s="512" t="s">
        <v>109</v>
      </c>
      <c r="E49" s="425" t="s">
        <v>265</v>
      </c>
      <c r="F49" s="443">
        <v>2020</v>
      </c>
      <c r="G49" s="444">
        <v>17</v>
      </c>
      <c r="H49" s="445">
        <v>2020</v>
      </c>
      <c r="I49" s="134">
        <v>0.94340000000000002</v>
      </c>
      <c r="J49" s="161">
        <v>1</v>
      </c>
      <c r="K49" s="76">
        <f>K45</f>
        <v>0.94340000000000002</v>
      </c>
      <c r="L49" s="76">
        <f t="shared" ref="L49:AL49" si="0">L45</f>
        <v>0.94340000000000002</v>
      </c>
      <c r="M49" s="76">
        <f t="shared" si="0"/>
        <v>0.94340000000000002</v>
      </c>
      <c r="N49" s="76">
        <f t="shared" si="0"/>
        <v>0.94340000000000002</v>
      </c>
      <c r="O49" s="76">
        <f t="shared" si="0"/>
        <v>0.94340000000000002</v>
      </c>
      <c r="P49" s="76">
        <f t="shared" si="0"/>
        <v>0.94340000000000002</v>
      </c>
      <c r="Q49" s="76">
        <f t="shared" si="0"/>
        <v>0.94340000000000002</v>
      </c>
      <c r="R49" s="76">
        <f t="shared" si="0"/>
        <v>0.94340000000000002</v>
      </c>
      <c r="S49" s="76">
        <f t="shared" si="0"/>
        <v>0.94340000000000002</v>
      </c>
      <c r="T49" s="76">
        <f t="shared" si="0"/>
        <v>0.94340000000000002</v>
      </c>
      <c r="U49" s="76">
        <f t="shared" si="0"/>
        <v>0.94340000000000002</v>
      </c>
      <c r="V49" s="76">
        <f t="shared" si="0"/>
        <v>0.94340000000000002</v>
      </c>
      <c r="W49" s="76">
        <f t="shared" si="0"/>
        <v>0.94340000000000002</v>
      </c>
      <c r="X49" s="76">
        <f t="shared" si="0"/>
        <v>0.94340000000000002</v>
      </c>
      <c r="Y49" s="76">
        <f t="shared" si="0"/>
        <v>0.94340000000000002</v>
      </c>
      <c r="Z49" s="76">
        <f t="shared" si="0"/>
        <v>0.94340000000000002</v>
      </c>
      <c r="AA49" s="76">
        <f t="shared" si="0"/>
        <v>0.94340000000000002</v>
      </c>
      <c r="AB49" s="76">
        <f t="shared" si="0"/>
        <v>0.94340000000000002</v>
      </c>
      <c r="AC49" s="76">
        <f t="shared" si="0"/>
        <v>0.94340000000000002</v>
      </c>
      <c r="AD49" s="76">
        <f t="shared" si="0"/>
        <v>0.94340000000000002</v>
      </c>
      <c r="AE49" s="76">
        <f t="shared" si="0"/>
        <v>0.94340000000000002</v>
      </c>
      <c r="AF49" s="76">
        <f t="shared" si="0"/>
        <v>0.94340000000000002</v>
      </c>
      <c r="AG49" s="76">
        <f t="shared" si="0"/>
        <v>0.94340000000000002</v>
      </c>
      <c r="AH49" s="76">
        <f t="shared" si="0"/>
        <v>0.94340000000000002</v>
      </c>
      <c r="AI49" s="76">
        <f t="shared" si="0"/>
        <v>0.94340000000000002</v>
      </c>
      <c r="AJ49" s="76">
        <f t="shared" si="0"/>
        <v>0.94340000000000002</v>
      </c>
      <c r="AK49" s="76">
        <f t="shared" si="0"/>
        <v>0.94340000000000002</v>
      </c>
      <c r="AL49" s="76">
        <f t="shared" si="0"/>
        <v>0.94340000000000002</v>
      </c>
      <c r="AM49" s="426"/>
      <c r="AN49" s="426"/>
      <c r="AO49" s="426"/>
      <c r="AP49" s="426"/>
      <c r="AQ49" s="426"/>
      <c r="AR49" s="426"/>
      <c r="AS49" s="426"/>
      <c r="AT49" s="426"/>
      <c r="AU49" s="426"/>
      <c r="AV49" s="426"/>
      <c r="AW49" s="426"/>
      <c r="AX49" s="426"/>
      <c r="AY49" s="426"/>
    </row>
    <row r="50" spans="1:51" x14ac:dyDescent="0.25">
      <c r="A50" s="456" t="s">
        <v>122</v>
      </c>
      <c r="B50" s="432" t="s">
        <v>529</v>
      </c>
      <c r="C50" s="432" t="s">
        <v>22</v>
      </c>
      <c r="D50" s="432" t="s">
        <v>111</v>
      </c>
      <c r="E50" s="432" t="s">
        <v>270</v>
      </c>
      <c r="F50" s="457">
        <v>2020</v>
      </c>
      <c r="G50" s="461">
        <v>15</v>
      </c>
      <c r="H50" s="458">
        <v>2020</v>
      </c>
      <c r="I50" s="493">
        <v>1</v>
      </c>
      <c r="J50" s="163">
        <v>1</v>
      </c>
      <c r="K50" s="166">
        <f>'Key Inputs_BY Techs'!I8*'Key Inputs_New Techs'!$J50</f>
        <v>1</v>
      </c>
      <c r="L50" s="165">
        <f>'Key Inputs_BY Techs'!J8*'Key Inputs_New Techs'!$J50</f>
        <v>1</v>
      </c>
      <c r="M50" s="165">
        <f>'Key Inputs_BY Techs'!K8*'Key Inputs_New Techs'!$J50</f>
        <v>1</v>
      </c>
      <c r="N50" s="165">
        <f>'Key Inputs_BY Techs'!L8*'Key Inputs_New Techs'!$J50</f>
        <v>1</v>
      </c>
      <c r="O50" s="165">
        <f>'Key Inputs_BY Techs'!M8*'Key Inputs_New Techs'!$J50</f>
        <v>1</v>
      </c>
      <c r="P50" s="165">
        <f>'Key Inputs_BY Techs'!N8*'Key Inputs_New Techs'!$J50</f>
        <v>1</v>
      </c>
      <c r="Q50" s="165">
        <f>'Key Inputs_BY Techs'!O8*'Key Inputs_New Techs'!$J50</f>
        <v>1</v>
      </c>
      <c r="R50" s="165">
        <f>'Key Inputs_BY Techs'!P8*'Key Inputs_New Techs'!$J50</f>
        <v>1</v>
      </c>
      <c r="S50" s="165">
        <f>'Key Inputs_BY Techs'!Q8*'Key Inputs_New Techs'!$J50</f>
        <v>1</v>
      </c>
      <c r="T50" s="165">
        <f>'Key Inputs_BY Techs'!R8*'Key Inputs_New Techs'!$J50</f>
        <v>1</v>
      </c>
      <c r="U50" s="165">
        <f>'Key Inputs_BY Techs'!S8*'Key Inputs_New Techs'!$J50</f>
        <v>1</v>
      </c>
      <c r="V50" s="165">
        <f>'Key Inputs_BY Techs'!T8*'Key Inputs_New Techs'!$J50</f>
        <v>1</v>
      </c>
      <c r="W50" s="165">
        <f>'Key Inputs_BY Techs'!U8*'Key Inputs_New Techs'!$J50</f>
        <v>1</v>
      </c>
      <c r="X50" s="165">
        <f>'Key Inputs_BY Techs'!V8*'Key Inputs_New Techs'!$J50</f>
        <v>1</v>
      </c>
      <c r="Y50" s="165">
        <f>'Key Inputs_BY Techs'!W8*'Key Inputs_New Techs'!$J50</f>
        <v>1</v>
      </c>
      <c r="Z50" s="165">
        <f>'Key Inputs_BY Techs'!X8*'Key Inputs_New Techs'!$J50</f>
        <v>1</v>
      </c>
      <c r="AA50" s="165">
        <f>'Key Inputs_BY Techs'!Y8*'Key Inputs_New Techs'!$J50</f>
        <v>1</v>
      </c>
      <c r="AB50" s="165">
        <f>'Key Inputs_BY Techs'!Z8*'Key Inputs_New Techs'!$J50</f>
        <v>1</v>
      </c>
      <c r="AC50" s="165">
        <f>'Key Inputs_BY Techs'!AA8*'Key Inputs_New Techs'!$J50</f>
        <v>1</v>
      </c>
      <c r="AD50" s="165">
        <f>'Key Inputs_BY Techs'!AB8*'Key Inputs_New Techs'!$J50</f>
        <v>1</v>
      </c>
      <c r="AE50" s="165">
        <f>'Key Inputs_BY Techs'!AC8*'Key Inputs_New Techs'!$J50</f>
        <v>1</v>
      </c>
      <c r="AF50" s="165">
        <f>'Key Inputs_BY Techs'!AD8*'Key Inputs_New Techs'!$J50</f>
        <v>1</v>
      </c>
      <c r="AG50" s="165">
        <f>'Key Inputs_BY Techs'!AE8*'Key Inputs_New Techs'!$J50</f>
        <v>1</v>
      </c>
      <c r="AH50" s="165">
        <f>'Key Inputs_BY Techs'!AF8*'Key Inputs_New Techs'!$J50</f>
        <v>1</v>
      </c>
      <c r="AI50" s="165">
        <f>'Key Inputs_BY Techs'!AG8*'Key Inputs_New Techs'!$J50</f>
        <v>1</v>
      </c>
      <c r="AJ50" s="165">
        <f>'Key Inputs_BY Techs'!AH8*'Key Inputs_New Techs'!$J50</f>
        <v>1</v>
      </c>
      <c r="AK50" s="165">
        <f>'Key Inputs_BY Techs'!AI8*'Key Inputs_New Techs'!$J50</f>
        <v>1</v>
      </c>
      <c r="AL50" s="165">
        <f>'Key Inputs_BY Techs'!AJ8*'Key Inputs_New Techs'!$J50</f>
        <v>1</v>
      </c>
      <c r="AM50" s="426"/>
      <c r="AN50" s="426"/>
      <c r="AO50" s="426"/>
      <c r="AP50" s="426"/>
      <c r="AQ50" s="426"/>
      <c r="AR50" s="426"/>
      <c r="AS50" s="426"/>
      <c r="AT50" s="426"/>
      <c r="AU50" s="426"/>
      <c r="AV50" s="426"/>
      <c r="AW50" s="426"/>
      <c r="AX50" s="426"/>
      <c r="AY50" s="426"/>
    </row>
    <row r="51" spans="1:51" x14ac:dyDescent="0.25">
      <c r="A51" s="424" t="s">
        <v>122</v>
      </c>
      <c r="B51" s="425" t="s">
        <v>530</v>
      </c>
      <c r="C51" s="425" t="s">
        <v>115</v>
      </c>
      <c r="D51" s="425" t="s">
        <v>368</v>
      </c>
      <c r="E51" s="425" t="s">
        <v>233</v>
      </c>
      <c r="F51" s="443">
        <v>2020</v>
      </c>
      <c r="G51" s="444">
        <v>15</v>
      </c>
      <c r="H51" s="445">
        <v>2020</v>
      </c>
      <c r="I51" s="134">
        <v>0.72</v>
      </c>
      <c r="J51" s="161">
        <v>1</v>
      </c>
      <c r="K51" s="76">
        <f>'Key Inputs_BY Techs'!I$19*'Key Inputs_New Techs'!$J51</f>
        <v>0.72</v>
      </c>
      <c r="L51" s="76">
        <f>'Key Inputs_BY Techs'!J$19*'Key Inputs_New Techs'!$J51</f>
        <v>0.72</v>
      </c>
      <c r="M51" s="76">
        <f>'Key Inputs_BY Techs'!K$19*'Key Inputs_New Techs'!$J51</f>
        <v>0.72</v>
      </c>
      <c r="N51" s="76">
        <f>'Key Inputs_BY Techs'!L$19*'Key Inputs_New Techs'!$J51</f>
        <v>0.72</v>
      </c>
      <c r="O51" s="76">
        <f>'Key Inputs_BY Techs'!M$19*'Key Inputs_New Techs'!$J51</f>
        <v>0.72</v>
      </c>
      <c r="P51" s="76">
        <f>'Key Inputs_BY Techs'!N$19*'Key Inputs_New Techs'!$J51</f>
        <v>0.72</v>
      </c>
      <c r="Q51" s="76">
        <f>'Key Inputs_BY Techs'!O$19*'Key Inputs_New Techs'!$J51</f>
        <v>0.72</v>
      </c>
      <c r="R51" s="76">
        <f>'Key Inputs_BY Techs'!P$19*'Key Inputs_New Techs'!$J51</f>
        <v>0.72</v>
      </c>
      <c r="S51" s="76">
        <f>'Key Inputs_BY Techs'!Q$19*'Key Inputs_New Techs'!$J51</f>
        <v>0.72</v>
      </c>
      <c r="T51" s="76">
        <f>'Key Inputs_BY Techs'!R$19*'Key Inputs_New Techs'!$J51</f>
        <v>0.72</v>
      </c>
      <c r="U51" s="76">
        <f>'Key Inputs_BY Techs'!S$19*'Key Inputs_New Techs'!$J51</f>
        <v>0.72</v>
      </c>
      <c r="V51" s="76">
        <f>'Key Inputs_BY Techs'!T$19*'Key Inputs_New Techs'!$J51</f>
        <v>0.72</v>
      </c>
      <c r="W51" s="76">
        <f>'Key Inputs_BY Techs'!U$19*'Key Inputs_New Techs'!$J51</f>
        <v>0.72</v>
      </c>
      <c r="X51" s="76">
        <f>'Key Inputs_BY Techs'!V$19*'Key Inputs_New Techs'!$J51</f>
        <v>0.72</v>
      </c>
      <c r="Y51" s="76">
        <f>'Key Inputs_BY Techs'!W$19*'Key Inputs_New Techs'!$J51</f>
        <v>0.72</v>
      </c>
      <c r="Z51" s="76">
        <f>'Key Inputs_BY Techs'!X$19*'Key Inputs_New Techs'!$J51</f>
        <v>0.72</v>
      </c>
      <c r="AA51" s="76">
        <f>'Key Inputs_BY Techs'!Y$19*'Key Inputs_New Techs'!$J51</f>
        <v>0.72</v>
      </c>
      <c r="AB51" s="76">
        <f>'Key Inputs_BY Techs'!Z$19*'Key Inputs_New Techs'!$J51</f>
        <v>0.72</v>
      </c>
      <c r="AC51" s="76">
        <f>'Key Inputs_BY Techs'!AA$19*'Key Inputs_New Techs'!$J51</f>
        <v>0.72</v>
      </c>
      <c r="AD51" s="76">
        <f>'Key Inputs_BY Techs'!AB$19*'Key Inputs_New Techs'!$J51</f>
        <v>0.72</v>
      </c>
      <c r="AE51" s="76">
        <f>'Key Inputs_BY Techs'!AC$19*'Key Inputs_New Techs'!$J51</f>
        <v>0.72</v>
      </c>
      <c r="AF51" s="76">
        <f>'Key Inputs_BY Techs'!AD$19*'Key Inputs_New Techs'!$J51</f>
        <v>0.72</v>
      </c>
      <c r="AG51" s="76">
        <f>'Key Inputs_BY Techs'!AE$19*'Key Inputs_New Techs'!$J51</f>
        <v>0.72</v>
      </c>
      <c r="AH51" s="76">
        <f>'Key Inputs_BY Techs'!AF$19*'Key Inputs_New Techs'!$J51</f>
        <v>0.72</v>
      </c>
      <c r="AI51" s="76">
        <f>'Key Inputs_BY Techs'!AG$19*'Key Inputs_New Techs'!$J51</f>
        <v>0.72</v>
      </c>
      <c r="AJ51" s="76">
        <f>'Key Inputs_BY Techs'!AH$19*'Key Inputs_New Techs'!$J51</f>
        <v>0.72</v>
      </c>
      <c r="AK51" s="76">
        <f>'Key Inputs_BY Techs'!AI$19*'Key Inputs_New Techs'!$J51</f>
        <v>0.72</v>
      </c>
      <c r="AL51" s="76">
        <f>'Key Inputs_BY Techs'!AJ$19*'Key Inputs_New Techs'!$J51</f>
        <v>0.72</v>
      </c>
      <c r="AM51" s="426"/>
      <c r="AN51" s="426"/>
      <c r="AO51" s="426"/>
      <c r="AP51" s="426"/>
      <c r="AQ51" s="426"/>
      <c r="AR51" s="426"/>
      <c r="AS51" s="426"/>
      <c r="AT51" s="426"/>
      <c r="AU51" s="426"/>
      <c r="AV51" s="426"/>
      <c r="AW51" s="426"/>
      <c r="AX51" s="426"/>
      <c r="AY51" s="426"/>
    </row>
    <row r="52" spans="1:51" x14ac:dyDescent="0.25">
      <c r="A52" s="424" t="s">
        <v>122</v>
      </c>
      <c r="B52" s="425" t="s">
        <v>531</v>
      </c>
      <c r="C52" s="425" t="s">
        <v>115</v>
      </c>
      <c r="D52" s="425" t="s">
        <v>368</v>
      </c>
      <c r="E52" s="425" t="s">
        <v>235</v>
      </c>
      <c r="F52" s="443">
        <v>2025</v>
      </c>
      <c r="G52" s="443">
        <v>15</v>
      </c>
      <c r="H52" s="445">
        <v>2025</v>
      </c>
      <c r="I52" s="134">
        <v>0.72</v>
      </c>
      <c r="J52" s="161">
        <v>1</v>
      </c>
      <c r="K52" s="76">
        <f>'Key Inputs_BY Techs'!I$19*'Key Inputs_New Techs'!$J52</f>
        <v>0.72</v>
      </c>
      <c r="L52" s="76">
        <f>'Key Inputs_BY Techs'!J$19*'Key Inputs_New Techs'!$J52</f>
        <v>0.72</v>
      </c>
      <c r="M52" s="76">
        <f>'Key Inputs_BY Techs'!K$19*'Key Inputs_New Techs'!$J52</f>
        <v>0.72</v>
      </c>
      <c r="N52" s="76">
        <f>'Key Inputs_BY Techs'!L$19*'Key Inputs_New Techs'!$J52</f>
        <v>0.72</v>
      </c>
      <c r="O52" s="76">
        <f>'Key Inputs_BY Techs'!M$19*'Key Inputs_New Techs'!$J52</f>
        <v>0.72</v>
      </c>
      <c r="P52" s="76">
        <f>'Key Inputs_BY Techs'!N$19*'Key Inputs_New Techs'!$J52</f>
        <v>0.72</v>
      </c>
      <c r="Q52" s="76">
        <f>'Key Inputs_BY Techs'!O$19*'Key Inputs_New Techs'!$J52</f>
        <v>0.72</v>
      </c>
      <c r="R52" s="76">
        <f>'Key Inputs_BY Techs'!P$19*'Key Inputs_New Techs'!$J52</f>
        <v>0.72</v>
      </c>
      <c r="S52" s="76">
        <f>'Key Inputs_BY Techs'!Q$19*'Key Inputs_New Techs'!$J52</f>
        <v>0.72</v>
      </c>
      <c r="T52" s="76">
        <f>'Key Inputs_BY Techs'!R$19*'Key Inputs_New Techs'!$J52</f>
        <v>0.72</v>
      </c>
      <c r="U52" s="76">
        <f>'Key Inputs_BY Techs'!S$19*'Key Inputs_New Techs'!$J52</f>
        <v>0.72</v>
      </c>
      <c r="V52" s="76">
        <f>'Key Inputs_BY Techs'!T$19*'Key Inputs_New Techs'!$J52</f>
        <v>0.72</v>
      </c>
      <c r="W52" s="76">
        <f>'Key Inputs_BY Techs'!U$19*'Key Inputs_New Techs'!$J52</f>
        <v>0.72</v>
      </c>
      <c r="X52" s="76">
        <f>'Key Inputs_BY Techs'!V$19*'Key Inputs_New Techs'!$J52</f>
        <v>0.72</v>
      </c>
      <c r="Y52" s="76">
        <f>'Key Inputs_BY Techs'!W$19*'Key Inputs_New Techs'!$J52</f>
        <v>0.72</v>
      </c>
      <c r="Z52" s="76">
        <f>'Key Inputs_BY Techs'!X$19*'Key Inputs_New Techs'!$J52</f>
        <v>0.72</v>
      </c>
      <c r="AA52" s="76">
        <f>'Key Inputs_BY Techs'!Y$19*'Key Inputs_New Techs'!$J52</f>
        <v>0.72</v>
      </c>
      <c r="AB52" s="76">
        <f>'Key Inputs_BY Techs'!Z$19*'Key Inputs_New Techs'!$J52</f>
        <v>0.72</v>
      </c>
      <c r="AC52" s="76">
        <f>'Key Inputs_BY Techs'!AA$19*'Key Inputs_New Techs'!$J52</f>
        <v>0.72</v>
      </c>
      <c r="AD52" s="76">
        <f>'Key Inputs_BY Techs'!AB$19*'Key Inputs_New Techs'!$J52</f>
        <v>0.72</v>
      </c>
      <c r="AE52" s="76">
        <f>'Key Inputs_BY Techs'!AC$19*'Key Inputs_New Techs'!$J52</f>
        <v>0.72</v>
      </c>
      <c r="AF52" s="76">
        <f>'Key Inputs_BY Techs'!AD$19*'Key Inputs_New Techs'!$J52</f>
        <v>0.72</v>
      </c>
      <c r="AG52" s="76">
        <f>'Key Inputs_BY Techs'!AE$19*'Key Inputs_New Techs'!$J52</f>
        <v>0.72</v>
      </c>
      <c r="AH52" s="76">
        <f>'Key Inputs_BY Techs'!AF$19*'Key Inputs_New Techs'!$J52</f>
        <v>0.72</v>
      </c>
      <c r="AI52" s="76">
        <f>'Key Inputs_BY Techs'!AG$19*'Key Inputs_New Techs'!$J52</f>
        <v>0.72</v>
      </c>
      <c r="AJ52" s="76">
        <f>'Key Inputs_BY Techs'!AH$19*'Key Inputs_New Techs'!$J52</f>
        <v>0.72</v>
      </c>
      <c r="AK52" s="76">
        <f>'Key Inputs_BY Techs'!AI$19*'Key Inputs_New Techs'!$J52</f>
        <v>0.72</v>
      </c>
      <c r="AL52" s="76">
        <f>'Key Inputs_BY Techs'!AJ$19*'Key Inputs_New Techs'!$J52</f>
        <v>0.72</v>
      </c>
      <c r="AM52" s="426"/>
      <c r="AN52" s="426"/>
      <c r="AO52" s="426"/>
      <c r="AP52" s="426"/>
      <c r="AQ52" s="426"/>
      <c r="AR52" s="426"/>
      <c r="AS52" s="426"/>
      <c r="AT52" s="426"/>
      <c r="AU52" s="426"/>
      <c r="AV52" s="426"/>
      <c r="AW52" s="426"/>
      <c r="AX52" s="426"/>
      <c r="AY52" s="426"/>
    </row>
    <row r="53" spans="1:51" x14ac:dyDescent="0.25">
      <c r="C53" s="424"/>
      <c r="D53" s="424"/>
      <c r="E53" s="424"/>
      <c r="F53" s="446"/>
      <c r="G53" s="446"/>
      <c r="H53" s="445">
        <v>2030</v>
      </c>
      <c r="I53" s="134">
        <v>0.77208496722682796</v>
      </c>
      <c r="J53" s="161">
        <v>1.0723402322594833</v>
      </c>
      <c r="K53" s="76">
        <f>'Key Inputs_BY Techs'!I$19*'Key Inputs_New Techs'!$J53</f>
        <v>0.77208496722682796</v>
      </c>
      <c r="L53" s="76">
        <f>'Key Inputs_BY Techs'!J$19*'Key Inputs_New Techs'!$J53</f>
        <v>0.77208496722682796</v>
      </c>
      <c r="M53" s="76">
        <f>'Key Inputs_BY Techs'!K$19*'Key Inputs_New Techs'!$J53</f>
        <v>0.77208496722682796</v>
      </c>
      <c r="N53" s="76">
        <f>'Key Inputs_BY Techs'!L$19*'Key Inputs_New Techs'!$J53</f>
        <v>0.77208496722682796</v>
      </c>
      <c r="O53" s="76">
        <f>'Key Inputs_BY Techs'!M$19*'Key Inputs_New Techs'!$J53</f>
        <v>0.77208496722682796</v>
      </c>
      <c r="P53" s="76">
        <f>'Key Inputs_BY Techs'!N$19*'Key Inputs_New Techs'!$J53</f>
        <v>0.77208496722682796</v>
      </c>
      <c r="Q53" s="76">
        <f>'Key Inputs_BY Techs'!O$19*'Key Inputs_New Techs'!$J53</f>
        <v>0.77208496722682796</v>
      </c>
      <c r="R53" s="76">
        <f>'Key Inputs_BY Techs'!P$19*'Key Inputs_New Techs'!$J53</f>
        <v>0.77208496722682796</v>
      </c>
      <c r="S53" s="76">
        <f>'Key Inputs_BY Techs'!Q$19*'Key Inputs_New Techs'!$J53</f>
        <v>0.77208496722682796</v>
      </c>
      <c r="T53" s="76">
        <f>'Key Inputs_BY Techs'!R$19*'Key Inputs_New Techs'!$J53</f>
        <v>0.77208496722682796</v>
      </c>
      <c r="U53" s="76">
        <f>'Key Inputs_BY Techs'!S$19*'Key Inputs_New Techs'!$J53</f>
        <v>0.77208496722682796</v>
      </c>
      <c r="V53" s="76">
        <f>'Key Inputs_BY Techs'!T$19*'Key Inputs_New Techs'!$J53</f>
        <v>0.77208496722682796</v>
      </c>
      <c r="W53" s="76">
        <f>'Key Inputs_BY Techs'!U$19*'Key Inputs_New Techs'!$J53</f>
        <v>0.77208496722682796</v>
      </c>
      <c r="X53" s="76">
        <f>'Key Inputs_BY Techs'!V$19*'Key Inputs_New Techs'!$J53</f>
        <v>0.77208496722682796</v>
      </c>
      <c r="Y53" s="76">
        <f>'Key Inputs_BY Techs'!W$19*'Key Inputs_New Techs'!$J53</f>
        <v>0.77208496722682796</v>
      </c>
      <c r="Z53" s="76">
        <f>'Key Inputs_BY Techs'!X$19*'Key Inputs_New Techs'!$J53</f>
        <v>0.77208496722682796</v>
      </c>
      <c r="AA53" s="76">
        <f>'Key Inputs_BY Techs'!Y$19*'Key Inputs_New Techs'!$J53</f>
        <v>0.77208496722682796</v>
      </c>
      <c r="AB53" s="76">
        <f>'Key Inputs_BY Techs'!Z$19*'Key Inputs_New Techs'!$J53</f>
        <v>0.77208496722682796</v>
      </c>
      <c r="AC53" s="76">
        <f>'Key Inputs_BY Techs'!AA$19*'Key Inputs_New Techs'!$J53</f>
        <v>0.77208496722682796</v>
      </c>
      <c r="AD53" s="76">
        <f>'Key Inputs_BY Techs'!AB$19*'Key Inputs_New Techs'!$J53</f>
        <v>0.77208496722682796</v>
      </c>
      <c r="AE53" s="76">
        <f>'Key Inputs_BY Techs'!AC$19*'Key Inputs_New Techs'!$J53</f>
        <v>0.77208496722682796</v>
      </c>
      <c r="AF53" s="76">
        <f>'Key Inputs_BY Techs'!AD$19*'Key Inputs_New Techs'!$J53</f>
        <v>0.77208496722682796</v>
      </c>
      <c r="AG53" s="76">
        <f>'Key Inputs_BY Techs'!AE$19*'Key Inputs_New Techs'!$J53</f>
        <v>0.77208496722682796</v>
      </c>
      <c r="AH53" s="76">
        <f>'Key Inputs_BY Techs'!AF$19*'Key Inputs_New Techs'!$J53</f>
        <v>0.77208496722682796</v>
      </c>
      <c r="AI53" s="76">
        <f>'Key Inputs_BY Techs'!AG$19*'Key Inputs_New Techs'!$J53</f>
        <v>0.77208496722682796</v>
      </c>
      <c r="AJ53" s="76">
        <f>'Key Inputs_BY Techs'!AH$19*'Key Inputs_New Techs'!$J53</f>
        <v>0.77208496722682796</v>
      </c>
      <c r="AK53" s="76">
        <f>'Key Inputs_BY Techs'!AI$19*'Key Inputs_New Techs'!$J53</f>
        <v>0.77208496722682796</v>
      </c>
      <c r="AL53" s="76">
        <f>'Key Inputs_BY Techs'!AJ$19*'Key Inputs_New Techs'!$J53</f>
        <v>0.77208496722682796</v>
      </c>
      <c r="AM53" s="426"/>
      <c r="AN53" s="426"/>
      <c r="AO53" s="426"/>
      <c r="AP53" s="426"/>
      <c r="AQ53" s="426"/>
      <c r="AR53" s="426"/>
      <c r="AS53" s="426"/>
      <c r="AT53" s="426"/>
      <c r="AU53" s="426"/>
      <c r="AV53" s="426"/>
      <c r="AW53" s="426"/>
      <c r="AX53" s="426"/>
      <c r="AY53" s="426"/>
    </row>
    <row r="54" spans="1:51" x14ac:dyDescent="0.25">
      <c r="A54" s="424" t="s">
        <v>122</v>
      </c>
      <c r="B54" s="425" t="s">
        <v>532</v>
      </c>
      <c r="C54" s="425" t="s">
        <v>115</v>
      </c>
      <c r="D54" s="425" t="s">
        <v>368</v>
      </c>
      <c r="E54" s="425" t="s">
        <v>272</v>
      </c>
      <c r="F54" s="443">
        <v>2030</v>
      </c>
      <c r="G54" s="443">
        <v>15</v>
      </c>
      <c r="H54" s="445">
        <v>2030</v>
      </c>
      <c r="I54" s="134">
        <v>0.79301947715886789</v>
      </c>
      <c r="J54" s="161">
        <v>1.1014159404984276</v>
      </c>
      <c r="K54" s="76">
        <f>'Key Inputs_BY Techs'!I$19*'Key Inputs_New Techs'!$J54</f>
        <v>0.79301947715886789</v>
      </c>
      <c r="L54" s="76">
        <f>'Key Inputs_BY Techs'!J$19*'Key Inputs_New Techs'!$J54</f>
        <v>0.79301947715886789</v>
      </c>
      <c r="M54" s="76">
        <f>'Key Inputs_BY Techs'!K$19*'Key Inputs_New Techs'!$J54</f>
        <v>0.79301947715886789</v>
      </c>
      <c r="N54" s="76">
        <f>'Key Inputs_BY Techs'!L$19*'Key Inputs_New Techs'!$J54</f>
        <v>0.79301947715886789</v>
      </c>
      <c r="O54" s="76">
        <f>'Key Inputs_BY Techs'!M$19*'Key Inputs_New Techs'!$J54</f>
        <v>0.79301947715886789</v>
      </c>
      <c r="P54" s="76">
        <f>'Key Inputs_BY Techs'!N$19*'Key Inputs_New Techs'!$J54</f>
        <v>0.79301947715886789</v>
      </c>
      <c r="Q54" s="76">
        <f>'Key Inputs_BY Techs'!O$19*'Key Inputs_New Techs'!$J54</f>
        <v>0.79301947715886789</v>
      </c>
      <c r="R54" s="76">
        <f>'Key Inputs_BY Techs'!P$19*'Key Inputs_New Techs'!$J54</f>
        <v>0.79301947715886789</v>
      </c>
      <c r="S54" s="76">
        <f>'Key Inputs_BY Techs'!Q$19*'Key Inputs_New Techs'!$J54</f>
        <v>0.79301947715886789</v>
      </c>
      <c r="T54" s="76">
        <f>'Key Inputs_BY Techs'!R$19*'Key Inputs_New Techs'!$J54</f>
        <v>0.79301947715886789</v>
      </c>
      <c r="U54" s="76">
        <f>'Key Inputs_BY Techs'!S$19*'Key Inputs_New Techs'!$J54</f>
        <v>0.79301947715886789</v>
      </c>
      <c r="V54" s="76">
        <f>'Key Inputs_BY Techs'!T$19*'Key Inputs_New Techs'!$J54</f>
        <v>0.79301947715886789</v>
      </c>
      <c r="W54" s="76">
        <f>'Key Inputs_BY Techs'!U$19*'Key Inputs_New Techs'!$J54</f>
        <v>0.79301947715886789</v>
      </c>
      <c r="X54" s="76">
        <f>'Key Inputs_BY Techs'!V$19*'Key Inputs_New Techs'!$J54</f>
        <v>0.79301947715886789</v>
      </c>
      <c r="Y54" s="76">
        <f>'Key Inputs_BY Techs'!W$19*'Key Inputs_New Techs'!$J54</f>
        <v>0.79301947715886789</v>
      </c>
      <c r="Z54" s="76">
        <f>'Key Inputs_BY Techs'!X$19*'Key Inputs_New Techs'!$J54</f>
        <v>0.79301947715886789</v>
      </c>
      <c r="AA54" s="76">
        <f>'Key Inputs_BY Techs'!Y$19*'Key Inputs_New Techs'!$J54</f>
        <v>0.79301947715886789</v>
      </c>
      <c r="AB54" s="76">
        <f>'Key Inputs_BY Techs'!Z$19*'Key Inputs_New Techs'!$J54</f>
        <v>0.79301947715886789</v>
      </c>
      <c r="AC54" s="76">
        <f>'Key Inputs_BY Techs'!AA$19*'Key Inputs_New Techs'!$J54</f>
        <v>0.79301947715886789</v>
      </c>
      <c r="AD54" s="76">
        <f>'Key Inputs_BY Techs'!AB$19*'Key Inputs_New Techs'!$J54</f>
        <v>0.79301947715886789</v>
      </c>
      <c r="AE54" s="76">
        <f>'Key Inputs_BY Techs'!AC$19*'Key Inputs_New Techs'!$J54</f>
        <v>0.79301947715886789</v>
      </c>
      <c r="AF54" s="76">
        <f>'Key Inputs_BY Techs'!AD$19*'Key Inputs_New Techs'!$J54</f>
        <v>0.79301947715886789</v>
      </c>
      <c r="AG54" s="76">
        <f>'Key Inputs_BY Techs'!AE$19*'Key Inputs_New Techs'!$J54</f>
        <v>0.79301947715886789</v>
      </c>
      <c r="AH54" s="76">
        <f>'Key Inputs_BY Techs'!AF$19*'Key Inputs_New Techs'!$J54</f>
        <v>0.79301947715886789</v>
      </c>
      <c r="AI54" s="76">
        <f>'Key Inputs_BY Techs'!AG$19*'Key Inputs_New Techs'!$J54</f>
        <v>0.79301947715886789</v>
      </c>
      <c r="AJ54" s="76">
        <f>'Key Inputs_BY Techs'!AH$19*'Key Inputs_New Techs'!$J54</f>
        <v>0.79301947715886789</v>
      </c>
      <c r="AK54" s="76">
        <f>'Key Inputs_BY Techs'!AI$19*'Key Inputs_New Techs'!$J54</f>
        <v>0.79301947715886789</v>
      </c>
      <c r="AL54" s="76">
        <f>'Key Inputs_BY Techs'!AJ$19*'Key Inputs_New Techs'!$J54</f>
        <v>0.79301947715886789</v>
      </c>
      <c r="AM54" s="426"/>
      <c r="AN54" s="426"/>
      <c r="AO54" s="426"/>
      <c r="AP54" s="426"/>
      <c r="AQ54" s="426"/>
      <c r="AR54" s="426"/>
      <c r="AS54" s="426"/>
      <c r="AT54" s="426"/>
      <c r="AU54" s="426"/>
      <c r="AV54" s="426"/>
      <c r="AW54" s="426"/>
      <c r="AX54" s="426"/>
      <c r="AY54" s="426"/>
    </row>
    <row r="55" spans="1:51" x14ac:dyDescent="0.25">
      <c r="B55" s="425"/>
      <c r="F55" s="443"/>
      <c r="G55" s="443"/>
      <c r="H55" s="445">
        <v>2050</v>
      </c>
      <c r="I55" s="134">
        <v>0.81000000000000016</v>
      </c>
      <c r="J55" s="161">
        <v>1.1250000000000002</v>
      </c>
      <c r="K55" s="76">
        <f>'Key Inputs_BY Techs'!I$19*'Key Inputs_New Techs'!$J55</f>
        <v>0.81000000000000016</v>
      </c>
      <c r="L55" s="76">
        <f>'Key Inputs_BY Techs'!J$19*'Key Inputs_New Techs'!$J55</f>
        <v>0.81000000000000016</v>
      </c>
      <c r="M55" s="76">
        <f>'Key Inputs_BY Techs'!K$19*'Key Inputs_New Techs'!$J55</f>
        <v>0.81000000000000016</v>
      </c>
      <c r="N55" s="76">
        <f>'Key Inputs_BY Techs'!L$19*'Key Inputs_New Techs'!$J55</f>
        <v>0.81000000000000016</v>
      </c>
      <c r="O55" s="76">
        <f>'Key Inputs_BY Techs'!M$19*'Key Inputs_New Techs'!$J55</f>
        <v>0.81000000000000016</v>
      </c>
      <c r="P55" s="76">
        <f>'Key Inputs_BY Techs'!N$19*'Key Inputs_New Techs'!$J55</f>
        <v>0.81000000000000016</v>
      </c>
      <c r="Q55" s="76">
        <f>'Key Inputs_BY Techs'!O$19*'Key Inputs_New Techs'!$J55</f>
        <v>0.81000000000000016</v>
      </c>
      <c r="R55" s="76">
        <f>'Key Inputs_BY Techs'!P$19*'Key Inputs_New Techs'!$J55</f>
        <v>0.81000000000000016</v>
      </c>
      <c r="S55" s="76">
        <f>'Key Inputs_BY Techs'!Q$19*'Key Inputs_New Techs'!$J55</f>
        <v>0.81000000000000016</v>
      </c>
      <c r="T55" s="76">
        <f>'Key Inputs_BY Techs'!R$19*'Key Inputs_New Techs'!$J55</f>
        <v>0.81000000000000016</v>
      </c>
      <c r="U55" s="76">
        <f>'Key Inputs_BY Techs'!S$19*'Key Inputs_New Techs'!$J55</f>
        <v>0.81000000000000016</v>
      </c>
      <c r="V55" s="76">
        <f>'Key Inputs_BY Techs'!T$19*'Key Inputs_New Techs'!$J55</f>
        <v>0.81000000000000016</v>
      </c>
      <c r="W55" s="76">
        <f>'Key Inputs_BY Techs'!U$19*'Key Inputs_New Techs'!$J55</f>
        <v>0.81000000000000016</v>
      </c>
      <c r="X55" s="76">
        <f>'Key Inputs_BY Techs'!V$19*'Key Inputs_New Techs'!$J55</f>
        <v>0.81000000000000016</v>
      </c>
      <c r="Y55" s="76">
        <f>'Key Inputs_BY Techs'!W$19*'Key Inputs_New Techs'!$J55</f>
        <v>0.81000000000000016</v>
      </c>
      <c r="Z55" s="76">
        <f>'Key Inputs_BY Techs'!X$19*'Key Inputs_New Techs'!$J55</f>
        <v>0.81000000000000016</v>
      </c>
      <c r="AA55" s="76">
        <f>'Key Inputs_BY Techs'!Y$19*'Key Inputs_New Techs'!$J55</f>
        <v>0.81000000000000016</v>
      </c>
      <c r="AB55" s="76">
        <f>'Key Inputs_BY Techs'!Z$19*'Key Inputs_New Techs'!$J55</f>
        <v>0.81000000000000016</v>
      </c>
      <c r="AC55" s="76">
        <f>'Key Inputs_BY Techs'!AA$19*'Key Inputs_New Techs'!$J55</f>
        <v>0.81000000000000016</v>
      </c>
      <c r="AD55" s="76">
        <f>'Key Inputs_BY Techs'!AB$19*'Key Inputs_New Techs'!$J55</f>
        <v>0.81000000000000016</v>
      </c>
      <c r="AE55" s="76">
        <f>'Key Inputs_BY Techs'!AC$19*'Key Inputs_New Techs'!$J55</f>
        <v>0.81000000000000016</v>
      </c>
      <c r="AF55" s="76">
        <f>'Key Inputs_BY Techs'!AD$19*'Key Inputs_New Techs'!$J55</f>
        <v>0.81000000000000016</v>
      </c>
      <c r="AG55" s="76">
        <f>'Key Inputs_BY Techs'!AE$19*'Key Inputs_New Techs'!$J55</f>
        <v>0.81000000000000016</v>
      </c>
      <c r="AH55" s="76">
        <f>'Key Inputs_BY Techs'!AF$19*'Key Inputs_New Techs'!$J55</f>
        <v>0.81000000000000016</v>
      </c>
      <c r="AI55" s="76">
        <f>'Key Inputs_BY Techs'!AG$19*'Key Inputs_New Techs'!$J55</f>
        <v>0.81000000000000016</v>
      </c>
      <c r="AJ55" s="76">
        <f>'Key Inputs_BY Techs'!AH$19*'Key Inputs_New Techs'!$J55</f>
        <v>0.81000000000000016</v>
      </c>
      <c r="AK55" s="76">
        <f>'Key Inputs_BY Techs'!AI$19*'Key Inputs_New Techs'!$J55</f>
        <v>0.81000000000000016</v>
      </c>
      <c r="AL55" s="76">
        <f>'Key Inputs_BY Techs'!AJ$19*'Key Inputs_New Techs'!$J55</f>
        <v>0.81000000000000016</v>
      </c>
      <c r="AM55" s="426"/>
    </row>
    <row r="56" spans="1:51" x14ac:dyDescent="0.25">
      <c r="A56" s="424" t="s">
        <v>122</v>
      </c>
      <c r="B56" s="425" t="s">
        <v>533</v>
      </c>
      <c r="C56" s="425" t="s">
        <v>19</v>
      </c>
      <c r="D56" s="425" t="s">
        <v>105</v>
      </c>
      <c r="E56" s="425" t="s">
        <v>237</v>
      </c>
      <c r="F56" s="443">
        <v>2020</v>
      </c>
      <c r="G56" s="444">
        <v>15</v>
      </c>
      <c r="H56" s="445">
        <v>2020</v>
      </c>
      <c r="I56" s="134">
        <f>237.796945788085%</f>
        <v>2.3779694578808499</v>
      </c>
      <c r="J56" s="161">
        <v>1</v>
      </c>
      <c r="K56" s="76">
        <f>'Key Inputs_BY Techs'!I$11*'Key Inputs_New Techs'!$J56</f>
        <v>2.6656</v>
      </c>
      <c r="L56" s="76">
        <f>'Key Inputs_BY Techs'!J$11*'Key Inputs_New Techs'!$J56</f>
        <v>2.6656</v>
      </c>
      <c r="M56" s="76">
        <f>'Key Inputs_BY Techs'!K$11*'Key Inputs_New Techs'!$J56</f>
        <v>2.6656</v>
      </c>
      <c r="N56" s="76">
        <f>'Key Inputs_BY Techs'!L$11*'Key Inputs_New Techs'!$J56</f>
        <v>2.6656</v>
      </c>
      <c r="O56" s="76">
        <f>'Key Inputs_BY Techs'!M$11*'Key Inputs_New Techs'!$J56</f>
        <v>2.38</v>
      </c>
      <c r="P56" s="76">
        <f>'Key Inputs_BY Techs'!N$11*'Key Inputs_New Techs'!$J56</f>
        <v>1.9753999999999998</v>
      </c>
      <c r="Q56" s="76">
        <f>'Key Inputs_BY Techs'!O$11*'Key Inputs_New Techs'!$J56</f>
        <v>1.9753999999999998</v>
      </c>
      <c r="R56" s="76">
        <f>'Key Inputs_BY Techs'!P$11*'Key Inputs_New Techs'!$J56</f>
        <v>2.38</v>
      </c>
      <c r="S56" s="76">
        <f>'Key Inputs_BY Techs'!Q$11*'Key Inputs_New Techs'!$J56</f>
        <v>2.6656</v>
      </c>
      <c r="T56" s="76">
        <f>'Key Inputs_BY Techs'!R$11*'Key Inputs_New Techs'!$J56</f>
        <v>2.38</v>
      </c>
      <c r="U56" s="76">
        <f>'Key Inputs_BY Techs'!S$11*'Key Inputs_New Techs'!$J56</f>
        <v>2.6656</v>
      </c>
      <c r="V56" s="76">
        <f>'Key Inputs_BY Techs'!T$11*'Key Inputs_New Techs'!$J56</f>
        <v>1.9753999999999998</v>
      </c>
      <c r="W56" s="76">
        <f>'Key Inputs_BY Techs'!U$11*'Key Inputs_New Techs'!$J56</f>
        <v>2.6656</v>
      </c>
      <c r="X56" s="76">
        <f>'Key Inputs_BY Techs'!V$11*'Key Inputs_New Techs'!$J56</f>
        <v>2.6656</v>
      </c>
      <c r="Y56" s="76">
        <f>'Key Inputs_BY Techs'!W$11*'Key Inputs_New Techs'!$J56</f>
        <v>2.6656</v>
      </c>
      <c r="Z56" s="76">
        <f>'Key Inputs_BY Techs'!X$11*'Key Inputs_New Techs'!$J56</f>
        <v>1.9753999999999998</v>
      </c>
      <c r="AA56" s="76">
        <f>'Key Inputs_BY Techs'!Y$11*'Key Inputs_New Techs'!$J56</f>
        <v>1.9753999999999998</v>
      </c>
      <c r="AB56" s="76">
        <f>'Key Inputs_BY Techs'!Z$11*'Key Inputs_New Techs'!$J56</f>
        <v>1.9753999999999998</v>
      </c>
      <c r="AC56" s="76">
        <f>'Key Inputs_BY Techs'!AA$11*'Key Inputs_New Techs'!$J56</f>
        <v>2.38</v>
      </c>
      <c r="AD56" s="76">
        <f>'Key Inputs_BY Techs'!AB$11*'Key Inputs_New Techs'!$J56</f>
        <v>2.38</v>
      </c>
      <c r="AE56" s="76">
        <f>'Key Inputs_BY Techs'!AC$11*'Key Inputs_New Techs'!$J56</f>
        <v>2.6656</v>
      </c>
      <c r="AF56" s="76">
        <f>'Key Inputs_BY Techs'!AD$11*'Key Inputs_New Techs'!$J56</f>
        <v>2.6656</v>
      </c>
      <c r="AG56" s="76">
        <f>'Key Inputs_BY Techs'!AE$11*'Key Inputs_New Techs'!$J56</f>
        <v>2.6656</v>
      </c>
      <c r="AH56" s="76">
        <f>'Key Inputs_BY Techs'!AF$11*'Key Inputs_New Techs'!$J56</f>
        <v>2.6656</v>
      </c>
      <c r="AI56" s="76">
        <f>'Key Inputs_BY Techs'!AG$11*'Key Inputs_New Techs'!$J56</f>
        <v>2.6656</v>
      </c>
      <c r="AJ56" s="76">
        <f>'Key Inputs_BY Techs'!AH$11*'Key Inputs_New Techs'!$J56</f>
        <v>2.6656</v>
      </c>
      <c r="AK56" s="76">
        <f>'Key Inputs_BY Techs'!AI$11*'Key Inputs_New Techs'!$J56</f>
        <v>1.9753999999999998</v>
      </c>
      <c r="AL56" s="76">
        <f>'Key Inputs_BY Techs'!AJ$11*'Key Inputs_New Techs'!$J56</f>
        <v>1.9753999999999998</v>
      </c>
      <c r="AM56" s="426"/>
    </row>
    <row r="57" spans="1:51" x14ac:dyDescent="0.25">
      <c r="A57" s="424" t="s">
        <v>122</v>
      </c>
      <c r="B57" s="425" t="s">
        <v>534</v>
      </c>
      <c r="C57" s="425" t="s">
        <v>19</v>
      </c>
      <c r="D57" s="425" t="s">
        <v>105</v>
      </c>
      <c r="E57" s="425" t="s">
        <v>238</v>
      </c>
      <c r="F57" s="443">
        <v>2025</v>
      </c>
      <c r="G57" s="443">
        <v>15</v>
      </c>
      <c r="H57" s="445">
        <v>2025</v>
      </c>
      <c r="I57" s="134">
        <f>237.796945788085%</f>
        <v>2.3779694578808499</v>
      </c>
      <c r="J57" s="161">
        <v>1</v>
      </c>
      <c r="K57" s="76">
        <f>'Key Inputs_BY Techs'!I$11*'Key Inputs_New Techs'!$J57</f>
        <v>2.6656</v>
      </c>
      <c r="L57" s="76">
        <f>'Key Inputs_BY Techs'!J$11*'Key Inputs_New Techs'!$J57</f>
        <v>2.6656</v>
      </c>
      <c r="M57" s="76">
        <f>'Key Inputs_BY Techs'!K$11*'Key Inputs_New Techs'!$J57</f>
        <v>2.6656</v>
      </c>
      <c r="N57" s="76">
        <f>'Key Inputs_BY Techs'!L$11*'Key Inputs_New Techs'!$J57</f>
        <v>2.6656</v>
      </c>
      <c r="O57" s="76">
        <f>'Key Inputs_BY Techs'!M$11*'Key Inputs_New Techs'!$J57</f>
        <v>2.38</v>
      </c>
      <c r="P57" s="76">
        <f>'Key Inputs_BY Techs'!N$11*'Key Inputs_New Techs'!$J57</f>
        <v>1.9753999999999998</v>
      </c>
      <c r="Q57" s="76">
        <f>'Key Inputs_BY Techs'!O$11*'Key Inputs_New Techs'!$J57</f>
        <v>1.9753999999999998</v>
      </c>
      <c r="R57" s="76">
        <f>'Key Inputs_BY Techs'!P$11*'Key Inputs_New Techs'!$J57</f>
        <v>2.38</v>
      </c>
      <c r="S57" s="76">
        <f>'Key Inputs_BY Techs'!Q$11*'Key Inputs_New Techs'!$J57</f>
        <v>2.6656</v>
      </c>
      <c r="T57" s="76">
        <f>'Key Inputs_BY Techs'!R$11*'Key Inputs_New Techs'!$J57</f>
        <v>2.38</v>
      </c>
      <c r="U57" s="76">
        <f>'Key Inputs_BY Techs'!S$11*'Key Inputs_New Techs'!$J57</f>
        <v>2.6656</v>
      </c>
      <c r="V57" s="76">
        <f>'Key Inputs_BY Techs'!T$11*'Key Inputs_New Techs'!$J57</f>
        <v>1.9753999999999998</v>
      </c>
      <c r="W57" s="76">
        <f>'Key Inputs_BY Techs'!U$11*'Key Inputs_New Techs'!$J57</f>
        <v>2.6656</v>
      </c>
      <c r="X57" s="76">
        <f>'Key Inputs_BY Techs'!V$11*'Key Inputs_New Techs'!$J57</f>
        <v>2.6656</v>
      </c>
      <c r="Y57" s="76">
        <f>'Key Inputs_BY Techs'!W$11*'Key Inputs_New Techs'!$J57</f>
        <v>2.6656</v>
      </c>
      <c r="Z57" s="76">
        <f>'Key Inputs_BY Techs'!X$11*'Key Inputs_New Techs'!$J57</f>
        <v>1.9753999999999998</v>
      </c>
      <c r="AA57" s="76">
        <f>'Key Inputs_BY Techs'!Y$11*'Key Inputs_New Techs'!$J57</f>
        <v>1.9753999999999998</v>
      </c>
      <c r="AB57" s="76">
        <f>'Key Inputs_BY Techs'!Z$11*'Key Inputs_New Techs'!$J57</f>
        <v>1.9753999999999998</v>
      </c>
      <c r="AC57" s="76">
        <f>'Key Inputs_BY Techs'!AA$11*'Key Inputs_New Techs'!$J57</f>
        <v>2.38</v>
      </c>
      <c r="AD57" s="76">
        <f>'Key Inputs_BY Techs'!AB$11*'Key Inputs_New Techs'!$J57</f>
        <v>2.38</v>
      </c>
      <c r="AE57" s="76">
        <f>'Key Inputs_BY Techs'!AC$11*'Key Inputs_New Techs'!$J57</f>
        <v>2.6656</v>
      </c>
      <c r="AF57" s="76">
        <f>'Key Inputs_BY Techs'!AD$11*'Key Inputs_New Techs'!$J57</f>
        <v>2.6656</v>
      </c>
      <c r="AG57" s="76">
        <f>'Key Inputs_BY Techs'!AE$11*'Key Inputs_New Techs'!$J57</f>
        <v>2.6656</v>
      </c>
      <c r="AH57" s="76">
        <f>'Key Inputs_BY Techs'!AF$11*'Key Inputs_New Techs'!$J57</f>
        <v>2.6656</v>
      </c>
      <c r="AI57" s="76">
        <f>'Key Inputs_BY Techs'!AG$11*'Key Inputs_New Techs'!$J57</f>
        <v>2.6656</v>
      </c>
      <c r="AJ57" s="76">
        <f>'Key Inputs_BY Techs'!AH$11*'Key Inputs_New Techs'!$J57</f>
        <v>2.6656</v>
      </c>
      <c r="AK57" s="76">
        <f>'Key Inputs_BY Techs'!AI$11*'Key Inputs_New Techs'!$J57</f>
        <v>1.9753999999999998</v>
      </c>
      <c r="AL57" s="76">
        <f>'Key Inputs_BY Techs'!AJ$11*'Key Inputs_New Techs'!$J57</f>
        <v>1.9753999999999998</v>
      </c>
    </row>
    <row r="58" spans="1:51" x14ac:dyDescent="0.25">
      <c r="C58" s="424"/>
      <c r="D58" s="424"/>
      <c r="E58" s="424"/>
      <c r="F58" s="446"/>
      <c r="G58" s="446"/>
      <c r="H58" s="445">
        <v>2030</v>
      </c>
      <c r="I58" s="134">
        <f>295.234054232285%</f>
        <v>2.9523405423228501</v>
      </c>
      <c r="J58" s="161">
        <v>1.2415384615384617</v>
      </c>
      <c r="K58" s="76">
        <f>'Key Inputs_BY Techs'!I$11*'Key Inputs_New Techs'!$J58</f>
        <v>3.3094449230769234</v>
      </c>
      <c r="L58" s="76">
        <f>'Key Inputs_BY Techs'!J$11*'Key Inputs_New Techs'!$J58</f>
        <v>3.3094449230769234</v>
      </c>
      <c r="M58" s="76">
        <f>'Key Inputs_BY Techs'!K$11*'Key Inputs_New Techs'!$J58</f>
        <v>3.3094449230769234</v>
      </c>
      <c r="N58" s="76">
        <f>'Key Inputs_BY Techs'!L$11*'Key Inputs_New Techs'!$J58</f>
        <v>3.3094449230769234</v>
      </c>
      <c r="O58" s="76">
        <f>'Key Inputs_BY Techs'!M$11*'Key Inputs_New Techs'!$J58</f>
        <v>2.9548615384615387</v>
      </c>
      <c r="P58" s="76">
        <f>'Key Inputs_BY Techs'!N$11*'Key Inputs_New Techs'!$J58</f>
        <v>2.4525350769230769</v>
      </c>
      <c r="Q58" s="76">
        <f>'Key Inputs_BY Techs'!O$11*'Key Inputs_New Techs'!$J58</f>
        <v>2.4525350769230769</v>
      </c>
      <c r="R58" s="76">
        <f>'Key Inputs_BY Techs'!P$11*'Key Inputs_New Techs'!$J58</f>
        <v>2.9548615384615387</v>
      </c>
      <c r="S58" s="76">
        <f>'Key Inputs_BY Techs'!Q$11*'Key Inputs_New Techs'!$J58</f>
        <v>3.3094449230769234</v>
      </c>
      <c r="T58" s="76">
        <f>'Key Inputs_BY Techs'!R$11*'Key Inputs_New Techs'!$J58</f>
        <v>2.9548615384615387</v>
      </c>
      <c r="U58" s="76">
        <f>'Key Inputs_BY Techs'!S$11*'Key Inputs_New Techs'!$J58</f>
        <v>3.3094449230769234</v>
      </c>
      <c r="V58" s="76">
        <f>'Key Inputs_BY Techs'!T$11*'Key Inputs_New Techs'!$J58</f>
        <v>2.4525350769230769</v>
      </c>
      <c r="W58" s="76">
        <f>'Key Inputs_BY Techs'!U$11*'Key Inputs_New Techs'!$J58</f>
        <v>3.3094449230769234</v>
      </c>
      <c r="X58" s="76">
        <f>'Key Inputs_BY Techs'!V$11*'Key Inputs_New Techs'!$J58</f>
        <v>3.3094449230769234</v>
      </c>
      <c r="Y58" s="76">
        <f>'Key Inputs_BY Techs'!W$11*'Key Inputs_New Techs'!$J58</f>
        <v>3.3094449230769234</v>
      </c>
      <c r="Z58" s="76">
        <f>'Key Inputs_BY Techs'!X$11*'Key Inputs_New Techs'!$J58</f>
        <v>2.4525350769230769</v>
      </c>
      <c r="AA58" s="76">
        <f>'Key Inputs_BY Techs'!Y$11*'Key Inputs_New Techs'!$J58</f>
        <v>2.4525350769230769</v>
      </c>
      <c r="AB58" s="76">
        <f>'Key Inputs_BY Techs'!Z$11*'Key Inputs_New Techs'!$J58</f>
        <v>2.4525350769230769</v>
      </c>
      <c r="AC58" s="76">
        <f>'Key Inputs_BY Techs'!AA$11*'Key Inputs_New Techs'!$J58</f>
        <v>2.9548615384615387</v>
      </c>
      <c r="AD58" s="76">
        <f>'Key Inputs_BY Techs'!AB$11*'Key Inputs_New Techs'!$J58</f>
        <v>2.9548615384615387</v>
      </c>
      <c r="AE58" s="76">
        <f>'Key Inputs_BY Techs'!AC$11*'Key Inputs_New Techs'!$J58</f>
        <v>3.3094449230769234</v>
      </c>
      <c r="AF58" s="76">
        <f>'Key Inputs_BY Techs'!AD$11*'Key Inputs_New Techs'!$J58</f>
        <v>3.3094449230769234</v>
      </c>
      <c r="AG58" s="76">
        <f>'Key Inputs_BY Techs'!AE$11*'Key Inputs_New Techs'!$J58</f>
        <v>3.3094449230769234</v>
      </c>
      <c r="AH58" s="76">
        <f>'Key Inputs_BY Techs'!AF$11*'Key Inputs_New Techs'!$J58</f>
        <v>3.3094449230769234</v>
      </c>
      <c r="AI58" s="76">
        <f>'Key Inputs_BY Techs'!AG$11*'Key Inputs_New Techs'!$J58</f>
        <v>3.3094449230769234</v>
      </c>
      <c r="AJ58" s="76">
        <f>'Key Inputs_BY Techs'!AH$11*'Key Inputs_New Techs'!$J58</f>
        <v>3.3094449230769234</v>
      </c>
      <c r="AK58" s="76">
        <f>'Key Inputs_BY Techs'!AI$11*'Key Inputs_New Techs'!$J58</f>
        <v>2.4525350769230769</v>
      </c>
      <c r="AL58" s="76">
        <f>'Key Inputs_BY Techs'!AJ$11*'Key Inputs_New Techs'!$J58</f>
        <v>2.4525350769230769</v>
      </c>
    </row>
    <row r="59" spans="1:51" x14ac:dyDescent="0.25">
      <c r="B59" s="425"/>
      <c r="F59" s="443"/>
      <c r="G59" s="443"/>
      <c r="H59" s="445">
        <v>2050</v>
      </c>
      <c r="I59" s="134">
        <f>375.353332890116%</f>
        <v>3.7535333289011601</v>
      </c>
      <c r="J59" s="161">
        <v>1.5784615384615386</v>
      </c>
      <c r="K59" s="76">
        <f>'Key Inputs_BY Techs'!I$11*'Key Inputs_New Techs'!$J59</f>
        <v>4.2075470769230776</v>
      </c>
      <c r="L59" s="76">
        <f>'Key Inputs_BY Techs'!J$11*'Key Inputs_New Techs'!$J59</f>
        <v>4.2075470769230776</v>
      </c>
      <c r="M59" s="76">
        <f>'Key Inputs_BY Techs'!K$11*'Key Inputs_New Techs'!$J59</f>
        <v>4.2075470769230776</v>
      </c>
      <c r="N59" s="76">
        <f>'Key Inputs_BY Techs'!L$11*'Key Inputs_New Techs'!$J59</f>
        <v>4.2075470769230776</v>
      </c>
      <c r="O59" s="76">
        <f>'Key Inputs_BY Techs'!M$11*'Key Inputs_New Techs'!$J59</f>
        <v>3.7567384615384616</v>
      </c>
      <c r="P59" s="76">
        <f>'Key Inputs_BY Techs'!N$11*'Key Inputs_New Techs'!$J59</f>
        <v>3.1180929230769232</v>
      </c>
      <c r="Q59" s="76">
        <f>'Key Inputs_BY Techs'!O$11*'Key Inputs_New Techs'!$J59</f>
        <v>3.1180929230769232</v>
      </c>
      <c r="R59" s="76">
        <f>'Key Inputs_BY Techs'!P$11*'Key Inputs_New Techs'!$J59</f>
        <v>3.7567384615384616</v>
      </c>
      <c r="S59" s="76">
        <f>'Key Inputs_BY Techs'!Q$11*'Key Inputs_New Techs'!$J59</f>
        <v>4.2075470769230776</v>
      </c>
      <c r="T59" s="76">
        <f>'Key Inputs_BY Techs'!R$11*'Key Inputs_New Techs'!$J59</f>
        <v>3.7567384615384616</v>
      </c>
      <c r="U59" s="76">
        <f>'Key Inputs_BY Techs'!S$11*'Key Inputs_New Techs'!$J59</f>
        <v>4.2075470769230776</v>
      </c>
      <c r="V59" s="76">
        <f>'Key Inputs_BY Techs'!T$11*'Key Inputs_New Techs'!$J59</f>
        <v>3.1180929230769232</v>
      </c>
      <c r="W59" s="76">
        <f>'Key Inputs_BY Techs'!U$11*'Key Inputs_New Techs'!$J59</f>
        <v>4.2075470769230776</v>
      </c>
      <c r="X59" s="76">
        <f>'Key Inputs_BY Techs'!V$11*'Key Inputs_New Techs'!$J59</f>
        <v>4.2075470769230776</v>
      </c>
      <c r="Y59" s="76">
        <f>'Key Inputs_BY Techs'!W$11*'Key Inputs_New Techs'!$J59</f>
        <v>4.2075470769230776</v>
      </c>
      <c r="Z59" s="76">
        <f>'Key Inputs_BY Techs'!X$11*'Key Inputs_New Techs'!$J59</f>
        <v>3.1180929230769232</v>
      </c>
      <c r="AA59" s="76">
        <f>'Key Inputs_BY Techs'!Y$11*'Key Inputs_New Techs'!$J59</f>
        <v>3.1180929230769232</v>
      </c>
      <c r="AB59" s="76">
        <f>'Key Inputs_BY Techs'!Z$11*'Key Inputs_New Techs'!$J59</f>
        <v>3.1180929230769232</v>
      </c>
      <c r="AC59" s="76">
        <f>'Key Inputs_BY Techs'!AA$11*'Key Inputs_New Techs'!$J59</f>
        <v>3.7567384615384616</v>
      </c>
      <c r="AD59" s="76">
        <f>'Key Inputs_BY Techs'!AB$11*'Key Inputs_New Techs'!$J59</f>
        <v>3.7567384615384616</v>
      </c>
      <c r="AE59" s="76">
        <f>'Key Inputs_BY Techs'!AC$11*'Key Inputs_New Techs'!$J59</f>
        <v>4.2075470769230776</v>
      </c>
      <c r="AF59" s="76">
        <f>'Key Inputs_BY Techs'!AD$11*'Key Inputs_New Techs'!$J59</f>
        <v>4.2075470769230776</v>
      </c>
      <c r="AG59" s="76">
        <f>'Key Inputs_BY Techs'!AE$11*'Key Inputs_New Techs'!$J59</f>
        <v>4.2075470769230776</v>
      </c>
      <c r="AH59" s="76">
        <f>'Key Inputs_BY Techs'!AF$11*'Key Inputs_New Techs'!$J59</f>
        <v>4.2075470769230776</v>
      </c>
      <c r="AI59" s="76">
        <f>'Key Inputs_BY Techs'!AG$11*'Key Inputs_New Techs'!$J59</f>
        <v>4.2075470769230776</v>
      </c>
      <c r="AJ59" s="76">
        <f>'Key Inputs_BY Techs'!AH$11*'Key Inputs_New Techs'!$J59</f>
        <v>4.2075470769230776</v>
      </c>
      <c r="AK59" s="76">
        <f>'Key Inputs_BY Techs'!AI$11*'Key Inputs_New Techs'!$J59</f>
        <v>3.1180929230769232</v>
      </c>
      <c r="AL59" s="76">
        <f>'Key Inputs_BY Techs'!AJ$11*'Key Inputs_New Techs'!$J59</f>
        <v>3.1180929230769232</v>
      </c>
    </row>
    <row r="60" spans="1:51" x14ac:dyDescent="0.25">
      <c r="A60" s="424" t="s">
        <v>122</v>
      </c>
      <c r="B60" s="425" t="s">
        <v>535</v>
      </c>
      <c r="C60" s="425" t="s">
        <v>19</v>
      </c>
      <c r="D60" s="425" t="s">
        <v>105</v>
      </c>
      <c r="E60" s="425" t="s">
        <v>239</v>
      </c>
      <c r="F60" s="443">
        <v>2030</v>
      </c>
      <c r="G60" s="443">
        <v>15</v>
      </c>
      <c r="H60" s="445">
        <v>2030</v>
      </c>
      <c r="I60" s="134">
        <f>321.300257905209%</f>
        <v>3.2130025790520897</v>
      </c>
      <c r="J60" s="161">
        <v>1.3511538461538466</v>
      </c>
      <c r="K60" s="76">
        <f>'Key Inputs_BY Techs'!I$11*'Key Inputs_New Techs'!$J60</f>
        <v>3.6016356923076933</v>
      </c>
      <c r="L60" s="76">
        <f>'Key Inputs_BY Techs'!J$11*'Key Inputs_New Techs'!$J60</f>
        <v>3.6016356923076933</v>
      </c>
      <c r="M60" s="76">
        <f>'Key Inputs_BY Techs'!K$11*'Key Inputs_New Techs'!$J60</f>
        <v>3.6016356923076933</v>
      </c>
      <c r="N60" s="76">
        <f>'Key Inputs_BY Techs'!L$11*'Key Inputs_New Techs'!$J60</f>
        <v>3.6016356923076933</v>
      </c>
      <c r="O60" s="76">
        <f>'Key Inputs_BY Techs'!M$11*'Key Inputs_New Techs'!$J60</f>
        <v>3.2157461538461547</v>
      </c>
      <c r="P60" s="76">
        <f>'Key Inputs_BY Techs'!N$11*'Key Inputs_New Techs'!$J60</f>
        <v>2.6690693076923084</v>
      </c>
      <c r="Q60" s="76">
        <f>'Key Inputs_BY Techs'!O$11*'Key Inputs_New Techs'!$J60</f>
        <v>2.6690693076923084</v>
      </c>
      <c r="R60" s="76">
        <f>'Key Inputs_BY Techs'!P$11*'Key Inputs_New Techs'!$J60</f>
        <v>3.2157461538461547</v>
      </c>
      <c r="S60" s="76">
        <f>'Key Inputs_BY Techs'!Q$11*'Key Inputs_New Techs'!$J60</f>
        <v>3.6016356923076933</v>
      </c>
      <c r="T60" s="76">
        <f>'Key Inputs_BY Techs'!R$11*'Key Inputs_New Techs'!$J60</f>
        <v>3.2157461538461547</v>
      </c>
      <c r="U60" s="76">
        <f>'Key Inputs_BY Techs'!S$11*'Key Inputs_New Techs'!$J60</f>
        <v>3.6016356923076933</v>
      </c>
      <c r="V60" s="76">
        <f>'Key Inputs_BY Techs'!T$11*'Key Inputs_New Techs'!$J60</f>
        <v>2.6690693076923084</v>
      </c>
      <c r="W60" s="76">
        <f>'Key Inputs_BY Techs'!U$11*'Key Inputs_New Techs'!$J60</f>
        <v>3.6016356923076933</v>
      </c>
      <c r="X60" s="76">
        <f>'Key Inputs_BY Techs'!V$11*'Key Inputs_New Techs'!$J60</f>
        <v>3.6016356923076933</v>
      </c>
      <c r="Y60" s="76">
        <f>'Key Inputs_BY Techs'!W$11*'Key Inputs_New Techs'!$J60</f>
        <v>3.6016356923076933</v>
      </c>
      <c r="Z60" s="76">
        <f>'Key Inputs_BY Techs'!X$11*'Key Inputs_New Techs'!$J60</f>
        <v>2.6690693076923084</v>
      </c>
      <c r="AA60" s="76">
        <f>'Key Inputs_BY Techs'!Y$11*'Key Inputs_New Techs'!$J60</f>
        <v>2.6690693076923084</v>
      </c>
      <c r="AB60" s="76">
        <f>'Key Inputs_BY Techs'!Z$11*'Key Inputs_New Techs'!$J60</f>
        <v>2.6690693076923084</v>
      </c>
      <c r="AC60" s="76">
        <f>'Key Inputs_BY Techs'!AA$11*'Key Inputs_New Techs'!$J60</f>
        <v>3.2157461538461547</v>
      </c>
      <c r="AD60" s="76">
        <f>'Key Inputs_BY Techs'!AB$11*'Key Inputs_New Techs'!$J60</f>
        <v>3.2157461538461547</v>
      </c>
      <c r="AE60" s="76">
        <f>'Key Inputs_BY Techs'!AC$11*'Key Inputs_New Techs'!$J60</f>
        <v>3.6016356923076933</v>
      </c>
      <c r="AF60" s="76">
        <f>'Key Inputs_BY Techs'!AD$11*'Key Inputs_New Techs'!$J60</f>
        <v>3.6016356923076933</v>
      </c>
      <c r="AG60" s="76">
        <f>'Key Inputs_BY Techs'!AE$11*'Key Inputs_New Techs'!$J60</f>
        <v>3.6016356923076933</v>
      </c>
      <c r="AH60" s="76">
        <f>'Key Inputs_BY Techs'!AF$11*'Key Inputs_New Techs'!$J60</f>
        <v>3.6016356923076933</v>
      </c>
      <c r="AI60" s="76">
        <f>'Key Inputs_BY Techs'!AG$11*'Key Inputs_New Techs'!$J60</f>
        <v>3.6016356923076933</v>
      </c>
      <c r="AJ60" s="76">
        <f>'Key Inputs_BY Techs'!AH$11*'Key Inputs_New Techs'!$J60</f>
        <v>3.6016356923076933</v>
      </c>
      <c r="AK60" s="76">
        <f>'Key Inputs_BY Techs'!AI$11*'Key Inputs_New Techs'!$J60</f>
        <v>2.6690693076923084</v>
      </c>
      <c r="AL60" s="76">
        <f>'Key Inputs_BY Techs'!AJ$11*'Key Inputs_New Techs'!$J60</f>
        <v>2.6690693076923084</v>
      </c>
    </row>
    <row r="61" spans="1:51" x14ac:dyDescent="0.25">
      <c r="B61" s="425"/>
      <c r="F61" s="443"/>
      <c r="G61" s="443"/>
      <c r="H61" s="445">
        <v>2050</v>
      </c>
      <c r="I61" s="134">
        <f>439.009746070311%</f>
        <v>4.3900974607031102</v>
      </c>
      <c r="J61" s="161">
        <v>1.8461538461538465</v>
      </c>
      <c r="K61" s="76">
        <f>'Key Inputs_BY Techs'!I$11*'Key Inputs_New Techs'!$J61</f>
        <v>4.9211076923076931</v>
      </c>
      <c r="L61" s="76">
        <f>'Key Inputs_BY Techs'!J$11*'Key Inputs_New Techs'!$J61</f>
        <v>4.9211076923076931</v>
      </c>
      <c r="M61" s="76">
        <f>'Key Inputs_BY Techs'!K$11*'Key Inputs_New Techs'!$J61</f>
        <v>4.9211076923076931</v>
      </c>
      <c r="N61" s="76">
        <f>'Key Inputs_BY Techs'!L$11*'Key Inputs_New Techs'!$J61</f>
        <v>4.9211076923076931</v>
      </c>
      <c r="O61" s="76">
        <f>'Key Inputs_BY Techs'!M$11*'Key Inputs_New Techs'!$J61</f>
        <v>4.3938461538461544</v>
      </c>
      <c r="P61" s="76">
        <f>'Key Inputs_BY Techs'!N$11*'Key Inputs_New Techs'!$J61</f>
        <v>3.6468923076923079</v>
      </c>
      <c r="Q61" s="76">
        <f>'Key Inputs_BY Techs'!O$11*'Key Inputs_New Techs'!$J61</f>
        <v>3.6468923076923079</v>
      </c>
      <c r="R61" s="76">
        <f>'Key Inputs_BY Techs'!P$11*'Key Inputs_New Techs'!$J61</f>
        <v>4.3938461538461544</v>
      </c>
      <c r="S61" s="76">
        <f>'Key Inputs_BY Techs'!Q$11*'Key Inputs_New Techs'!$J61</f>
        <v>4.9211076923076931</v>
      </c>
      <c r="T61" s="76">
        <f>'Key Inputs_BY Techs'!R$11*'Key Inputs_New Techs'!$J61</f>
        <v>4.3938461538461544</v>
      </c>
      <c r="U61" s="76">
        <f>'Key Inputs_BY Techs'!S$11*'Key Inputs_New Techs'!$J61</f>
        <v>4.9211076923076931</v>
      </c>
      <c r="V61" s="76">
        <f>'Key Inputs_BY Techs'!T$11*'Key Inputs_New Techs'!$J61</f>
        <v>3.6468923076923079</v>
      </c>
      <c r="W61" s="76">
        <f>'Key Inputs_BY Techs'!U$11*'Key Inputs_New Techs'!$J61</f>
        <v>4.9211076923076931</v>
      </c>
      <c r="X61" s="76">
        <f>'Key Inputs_BY Techs'!V$11*'Key Inputs_New Techs'!$J61</f>
        <v>4.9211076923076931</v>
      </c>
      <c r="Y61" s="76">
        <f>'Key Inputs_BY Techs'!W$11*'Key Inputs_New Techs'!$J61</f>
        <v>4.9211076923076931</v>
      </c>
      <c r="Z61" s="76">
        <f>'Key Inputs_BY Techs'!X$11*'Key Inputs_New Techs'!$J61</f>
        <v>3.6468923076923079</v>
      </c>
      <c r="AA61" s="76">
        <f>'Key Inputs_BY Techs'!Y$11*'Key Inputs_New Techs'!$J61</f>
        <v>3.6468923076923079</v>
      </c>
      <c r="AB61" s="76">
        <f>'Key Inputs_BY Techs'!Z$11*'Key Inputs_New Techs'!$J61</f>
        <v>3.6468923076923079</v>
      </c>
      <c r="AC61" s="76">
        <f>'Key Inputs_BY Techs'!AA$11*'Key Inputs_New Techs'!$J61</f>
        <v>4.3938461538461544</v>
      </c>
      <c r="AD61" s="76">
        <f>'Key Inputs_BY Techs'!AB$11*'Key Inputs_New Techs'!$J61</f>
        <v>4.3938461538461544</v>
      </c>
      <c r="AE61" s="76">
        <f>'Key Inputs_BY Techs'!AC$11*'Key Inputs_New Techs'!$J61</f>
        <v>4.9211076923076931</v>
      </c>
      <c r="AF61" s="76">
        <f>'Key Inputs_BY Techs'!AD$11*'Key Inputs_New Techs'!$J61</f>
        <v>4.9211076923076931</v>
      </c>
      <c r="AG61" s="76">
        <f>'Key Inputs_BY Techs'!AE$11*'Key Inputs_New Techs'!$J61</f>
        <v>4.9211076923076931</v>
      </c>
      <c r="AH61" s="76">
        <f>'Key Inputs_BY Techs'!AF$11*'Key Inputs_New Techs'!$J61</f>
        <v>4.9211076923076931</v>
      </c>
      <c r="AI61" s="76">
        <f>'Key Inputs_BY Techs'!AG$11*'Key Inputs_New Techs'!$J61</f>
        <v>4.9211076923076931</v>
      </c>
      <c r="AJ61" s="76">
        <f>'Key Inputs_BY Techs'!AH$11*'Key Inputs_New Techs'!$J61</f>
        <v>4.9211076923076931</v>
      </c>
      <c r="AK61" s="76">
        <f>'Key Inputs_BY Techs'!AI$11*'Key Inputs_New Techs'!$J61</f>
        <v>3.6468923076923079</v>
      </c>
      <c r="AL61" s="76">
        <f>'Key Inputs_BY Techs'!AJ$11*'Key Inputs_New Techs'!$J61</f>
        <v>3.6468923076923079</v>
      </c>
    </row>
    <row r="62" spans="1:51" x14ac:dyDescent="0.25">
      <c r="A62" s="424" t="s">
        <v>122</v>
      </c>
      <c r="B62" s="425" t="s">
        <v>536</v>
      </c>
      <c r="C62" s="425" t="s">
        <v>19</v>
      </c>
      <c r="D62" s="425" t="s">
        <v>105</v>
      </c>
      <c r="E62" s="425" t="s">
        <v>240</v>
      </c>
      <c r="F62" s="443">
        <v>2020</v>
      </c>
      <c r="G62" s="443">
        <v>15</v>
      </c>
      <c r="H62" s="445">
        <v>2020</v>
      </c>
      <c r="I62" s="134">
        <f>330%</f>
        <v>3.3</v>
      </c>
      <c r="J62" s="161">
        <v>1.3877385973412886</v>
      </c>
      <c r="K62" s="76">
        <f>'Key Inputs_BY Techs'!I$11*'Key Inputs_New Techs'!$J62</f>
        <v>3.6991560050729388</v>
      </c>
      <c r="L62" s="76">
        <f>'Key Inputs_BY Techs'!J$11*'Key Inputs_New Techs'!$J62</f>
        <v>3.6991560050729388</v>
      </c>
      <c r="M62" s="76">
        <f>'Key Inputs_BY Techs'!K$11*'Key Inputs_New Techs'!$J62</f>
        <v>3.6991560050729388</v>
      </c>
      <c r="N62" s="76">
        <f>'Key Inputs_BY Techs'!L$11*'Key Inputs_New Techs'!$J62</f>
        <v>3.6991560050729388</v>
      </c>
      <c r="O62" s="76">
        <f>'Key Inputs_BY Techs'!M$11*'Key Inputs_New Techs'!$J62</f>
        <v>3.3028178616722665</v>
      </c>
      <c r="P62" s="76">
        <f>'Key Inputs_BY Techs'!N$11*'Key Inputs_New Techs'!$J62</f>
        <v>2.7413388251879813</v>
      </c>
      <c r="Q62" s="76">
        <f>'Key Inputs_BY Techs'!O$11*'Key Inputs_New Techs'!$J62</f>
        <v>2.7413388251879813</v>
      </c>
      <c r="R62" s="76">
        <f>'Key Inputs_BY Techs'!P$11*'Key Inputs_New Techs'!$J62</f>
        <v>3.3028178616722665</v>
      </c>
      <c r="S62" s="76">
        <f>'Key Inputs_BY Techs'!Q$11*'Key Inputs_New Techs'!$J62</f>
        <v>3.6991560050729388</v>
      </c>
      <c r="T62" s="76">
        <f>'Key Inputs_BY Techs'!R$11*'Key Inputs_New Techs'!$J62</f>
        <v>3.3028178616722665</v>
      </c>
      <c r="U62" s="76">
        <f>'Key Inputs_BY Techs'!S$11*'Key Inputs_New Techs'!$J62</f>
        <v>3.6991560050729388</v>
      </c>
      <c r="V62" s="76">
        <f>'Key Inputs_BY Techs'!T$11*'Key Inputs_New Techs'!$J62</f>
        <v>2.7413388251879813</v>
      </c>
      <c r="W62" s="76">
        <f>'Key Inputs_BY Techs'!U$11*'Key Inputs_New Techs'!$J62</f>
        <v>3.6991560050729388</v>
      </c>
      <c r="X62" s="76">
        <f>'Key Inputs_BY Techs'!V$11*'Key Inputs_New Techs'!$J62</f>
        <v>3.6991560050729388</v>
      </c>
      <c r="Y62" s="76">
        <f>'Key Inputs_BY Techs'!W$11*'Key Inputs_New Techs'!$J62</f>
        <v>3.6991560050729388</v>
      </c>
      <c r="Z62" s="76">
        <f>'Key Inputs_BY Techs'!X$11*'Key Inputs_New Techs'!$J62</f>
        <v>2.7413388251879813</v>
      </c>
      <c r="AA62" s="76">
        <f>'Key Inputs_BY Techs'!Y$11*'Key Inputs_New Techs'!$J62</f>
        <v>2.7413388251879813</v>
      </c>
      <c r="AB62" s="76">
        <f>'Key Inputs_BY Techs'!Z$11*'Key Inputs_New Techs'!$J62</f>
        <v>2.7413388251879813</v>
      </c>
      <c r="AC62" s="76">
        <f>'Key Inputs_BY Techs'!AA$11*'Key Inputs_New Techs'!$J62</f>
        <v>3.3028178616722665</v>
      </c>
      <c r="AD62" s="76">
        <f>'Key Inputs_BY Techs'!AB$11*'Key Inputs_New Techs'!$J62</f>
        <v>3.3028178616722665</v>
      </c>
      <c r="AE62" s="76">
        <f>'Key Inputs_BY Techs'!AC$11*'Key Inputs_New Techs'!$J62</f>
        <v>3.6991560050729388</v>
      </c>
      <c r="AF62" s="76">
        <f>'Key Inputs_BY Techs'!AD$11*'Key Inputs_New Techs'!$J62</f>
        <v>3.6991560050729388</v>
      </c>
      <c r="AG62" s="76">
        <f>'Key Inputs_BY Techs'!AE$11*'Key Inputs_New Techs'!$J62</f>
        <v>3.6991560050729388</v>
      </c>
      <c r="AH62" s="76">
        <f>'Key Inputs_BY Techs'!AF$11*'Key Inputs_New Techs'!$J62</f>
        <v>3.6991560050729388</v>
      </c>
      <c r="AI62" s="76">
        <f>'Key Inputs_BY Techs'!AG$11*'Key Inputs_New Techs'!$J62</f>
        <v>3.6991560050729388</v>
      </c>
      <c r="AJ62" s="76">
        <f>'Key Inputs_BY Techs'!AH$11*'Key Inputs_New Techs'!$J62</f>
        <v>3.6991560050729388</v>
      </c>
      <c r="AK62" s="76">
        <f>'Key Inputs_BY Techs'!AI$11*'Key Inputs_New Techs'!$J62</f>
        <v>2.7413388251879813</v>
      </c>
      <c r="AL62" s="76">
        <f>'Key Inputs_BY Techs'!AJ$11*'Key Inputs_New Techs'!$J62</f>
        <v>2.7413388251879813</v>
      </c>
    </row>
    <row r="63" spans="1:51" x14ac:dyDescent="0.25">
      <c r="A63" s="424" t="s">
        <v>122</v>
      </c>
      <c r="B63" s="425" t="s">
        <v>537</v>
      </c>
      <c r="C63" s="425" t="s">
        <v>19</v>
      </c>
      <c r="D63" s="425" t="s">
        <v>105</v>
      </c>
      <c r="E63" s="425" t="s">
        <v>241</v>
      </c>
      <c r="F63" s="443">
        <v>2025</v>
      </c>
      <c r="G63" s="443">
        <v>15</v>
      </c>
      <c r="H63" s="445">
        <v>2025</v>
      </c>
      <c r="I63" s="134">
        <f>330%</f>
        <v>3.3</v>
      </c>
      <c r="J63" s="161">
        <v>1.3877385973412886</v>
      </c>
      <c r="K63" s="76">
        <f>'Key Inputs_BY Techs'!I$11*'Key Inputs_New Techs'!$J63</f>
        <v>3.6991560050729388</v>
      </c>
      <c r="L63" s="76">
        <f>'Key Inputs_BY Techs'!J$11*'Key Inputs_New Techs'!$J63</f>
        <v>3.6991560050729388</v>
      </c>
      <c r="M63" s="76">
        <f>'Key Inputs_BY Techs'!K$11*'Key Inputs_New Techs'!$J63</f>
        <v>3.6991560050729388</v>
      </c>
      <c r="N63" s="76">
        <f>'Key Inputs_BY Techs'!L$11*'Key Inputs_New Techs'!$J63</f>
        <v>3.6991560050729388</v>
      </c>
      <c r="O63" s="76">
        <f>'Key Inputs_BY Techs'!M$11*'Key Inputs_New Techs'!$J63</f>
        <v>3.3028178616722665</v>
      </c>
      <c r="P63" s="76">
        <f>'Key Inputs_BY Techs'!N$11*'Key Inputs_New Techs'!$J63</f>
        <v>2.7413388251879813</v>
      </c>
      <c r="Q63" s="76">
        <f>'Key Inputs_BY Techs'!O$11*'Key Inputs_New Techs'!$J63</f>
        <v>2.7413388251879813</v>
      </c>
      <c r="R63" s="76">
        <f>'Key Inputs_BY Techs'!P$11*'Key Inputs_New Techs'!$J63</f>
        <v>3.3028178616722665</v>
      </c>
      <c r="S63" s="76">
        <f>'Key Inputs_BY Techs'!Q$11*'Key Inputs_New Techs'!$J63</f>
        <v>3.6991560050729388</v>
      </c>
      <c r="T63" s="76">
        <f>'Key Inputs_BY Techs'!R$11*'Key Inputs_New Techs'!$J63</f>
        <v>3.3028178616722665</v>
      </c>
      <c r="U63" s="76">
        <f>'Key Inputs_BY Techs'!S$11*'Key Inputs_New Techs'!$J63</f>
        <v>3.6991560050729388</v>
      </c>
      <c r="V63" s="76">
        <f>'Key Inputs_BY Techs'!T$11*'Key Inputs_New Techs'!$J63</f>
        <v>2.7413388251879813</v>
      </c>
      <c r="W63" s="76">
        <f>'Key Inputs_BY Techs'!U$11*'Key Inputs_New Techs'!$J63</f>
        <v>3.6991560050729388</v>
      </c>
      <c r="X63" s="76">
        <f>'Key Inputs_BY Techs'!V$11*'Key Inputs_New Techs'!$J63</f>
        <v>3.6991560050729388</v>
      </c>
      <c r="Y63" s="76">
        <f>'Key Inputs_BY Techs'!W$11*'Key Inputs_New Techs'!$J63</f>
        <v>3.6991560050729388</v>
      </c>
      <c r="Z63" s="76">
        <f>'Key Inputs_BY Techs'!X$11*'Key Inputs_New Techs'!$J63</f>
        <v>2.7413388251879813</v>
      </c>
      <c r="AA63" s="76">
        <f>'Key Inputs_BY Techs'!Y$11*'Key Inputs_New Techs'!$J63</f>
        <v>2.7413388251879813</v>
      </c>
      <c r="AB63" s="76">
        <f>'Key Inputs_BY Techs'!Z$11*'Key Inputs_New Techs'!$J63</f>
        <v>2.7413388251879813</v>
      </c>
      <c r="AC63" s="76">
        <f>'Key Inputs_BY Techs'!AA$11*'Key Inputs_New Techs'!$J63</f>
        <v>3.3028178616722665</v>
      </c>
      <c r="AD63" s="76">
        <f>'Key Inputs_BY Techs'!AB$11*'Key Inputs_New Techs'!$J63</f>
        <v>3.3028178616722665</v>
      </c>
      <c r="AE63" s="76">
        <f>'Key Inputs_BY Techs'!AC$11*'Key Inputs_New Techs'!$J63</f>
        <v>3.6991560050729388</v>
      </c>
      <c r="AF63" s="76">
        <f>'Key Inputs_BY Techs'!AD$11*'Key Inputs_New Techs'!$J63</f>
        <v>3.6991560050729388</v>
      </c>
      <c r="AG63" s="76">
        <f>'Key Inputs_BY Techs'!AE$11*'Key Inputs_New Techs'!$J63</f>
        <v>3.6991560050729388</v>
      </c>
      <c r="AH63" s="76">
        <f>'Key Inputs_BY Techs'!AF$11*'Key Inputs_New Techs'!$J63</f>
        <v>3.6991560050729388</v>
      </c>
      <c r="AI63" s="76">
        <f>'Key Inputs_BY Techs'!AG$11*'Key Inputs_New Techs'!$J63</f>
        <v>3.6991560050729388</v>
      </c>
      <c r="AJ63" s="76">
        <f>'Key Inputs_BY Techs'!AH$11*'Key Inputs_New Techs'!$J63</f>
        <v>3.6991560050729388</v>
      </c>
      <c r="AK63" s="76">
        <f>'Key Inputs_BY Techs'!AI$11*'Key Inputs_New Techs'!$J63</f>
        <v>2.7413388251879813</v>
      </c>
      <c r="AL63" s="76">
        <f>'Key Inputs_BY Techs'!AJ$11*'Key Inputs_New Techs'!$J63</f>
        <v>2.7413388251879813</v>
      </c>
    </row>
    <row r="64" spans="1:51" x14ac:dyDescent="0.25">
      <c r="C64" s="424"/>
      <c r="D64" s="424"/>
      <c r="E64" s="424"/>
      <c r="F64" s="446"/>
      <c r="G64" s="446"/>
      <c r="H64" s="445">
        <v>2030</v>
      </c>
      <c r="I64" s="134">
        <f>409.707692307692%</f>
        <v>4.0970769230769202</v>
      </c>
      <c r="J64" s="161">
        <v>1.7229308431606463</v>
      </c>
      <c r="K64" s="76">
        <f>'Key Inputs_BY Techs'!I$11*'Key Inputs_New Techs'!$J64</f>
        <v>4.5926444555290189</v>
      </c>
      <c r="L64" s="76">
        <f>'Key Inputs_BY Techs'!J$11*'Key Inputs_New Techs'!$J64</f>
        <v>4.5926444555290189</v>
      </c>
      <c r="M64" s="76">
        <f>'Key Inputs_BY Techs'!K$11*'Key Inputs_New Techs'!$J64</f>
        <v>4.5926444555290189</v>
      </c>
      <c r="N64" s="76">
        <f>'Key Inputs_BY Techs'!L$11*'Key Inputs_New Techs'!$J64</f>
        <v>4.5926444555290189</v>
      </c>
      <c r="O64" s="76">
        <f>'Key Inputs_BY Techs'!M$11*'Key Inputs_New Techs'!$J64</f>
        <v>4.1005754067223377</v>
      </c>
      <c r="P64" s="76">
        <f>'Key Inputs_BY Techs'!N$11*'Key Inputs_New Techs'!$J64</f>
        <v>3.4034775875795402</v>
      </c>
      <c r="Q64" s="76">
        <f>'Key Inputs_BY Techs'!O$11*'Key Inputs_New Techs'!$J64</f>
        <v>3.4034775875795402</v>
      </c>
      <c r="R64" s="76">
        <f>'Key Inputs_BY Techs'!P$11*'Key Inputs_New Techs'!$J64</f>
        <v>4.1005754067223377</v>
      </c>
      <c r="S64" s="76">
        <f>'Key Inputs_BY Techs'!Q$11*'Key Inputs_New Techs'!$J64</f>
        <v>4.5926444555290189</v>
      </c>
      <c r="T64" s="76">
        <f>'Key Inputs_BY Techs'!R$11*'Key Inputs_New Techs'!$J64</f>
        <v>4.1005754067223377</v>
      </c>
      <c r="U64" s="76">
        <f>'Key Inputs_BY Techs'!S$11*'Key Inputs_New Techs'!$J64</f>
        <v>4.5926444555290189</v>
      </c>
      <c r="V64" s="76">
        <f>'Key Inputs_BY Techs'!T$11*'Key Inputs_New Techs'!$J64</f>
        <v>3.4034775875795402</v>
      </c>
      <c r="W64" s="76">
        <f>'Key Inputs_BY Techs'!U$11*'Key Inputs_New Techs'!$J64</f>
        <v>4.5926444555290189</v>
      </c>
      <c r="X64" s="76">
        <f>'Key Inputs_BY Techs'!V$11*'Key Inputs_New Techs'!$J64</f>
        <v>4.5926444555290189</v>
      </c>
      <c r="Y64" s="76">
        <f>'Key Inputs_BY Techs'!W$11*'Key Inputs_New Techs'!$J64</f>
        <v>4.5926444555290189</v>
      </c>
      <c r="Z64" s="76">
        <f>'Key Inputs_BY Techs'!X$11*'Key Inputs_New Techs'!$J64</f>
        <v>3.4034775875795402</v>
      </c>
      <c r="AA64" s="76">
        <f>'Key Inputs_BY Techs'!Y$11*'Key Inputs_New Techs'!$J64</f>
        <v>3.4034775875795402</v>
      </c>
      <c r="AB64" s="76">
        <f>'Key Inputs_BY Techs'!Z$11*'Key Inputs_New Techs'!$J64</f>
        <v>3.4034775875795402</v>
      </c>
      <c r="AC64" s="76">
        <f>'Key Inputs_BY Techs'!AA$11*'Key Inputs_New Techs'!$J64</f>
        <v>4.1005754067223377</v>
      </c>
      <c r="AD64" s="76">
        <f>'Key Inputs_BY Techs'!AB$11*'Key Inputs_New Techs'!$J64</f>
        <v>4.1005754067223377</v>
      </c>
      <c r="AE64" s="76">
        <f>'Key Inputs_BY Techs'!AC$11*'Key Inputs_New Techs'!$J64</f>
        <v>4.5926444555290189</v>
      </c>
      <c r="AF64" s="76">
        <f>'Key Inputs_BY Techs'!AD$11*'Key Inputs_New Techs'!$J64</f>
        <v>4.5926444555290189</v>
      </c>
      <c r="AG64" s="76">
        <f>'Key Inputs_BY Techs'!AE$11*'Key Inputs_New Techs'!$J64</f>
        <v>4.5926444555290189</v>
      </c>
      <c r="AH64" s="76">
        <f>'Key Inputs_BY Techs'!AF$11*'Key Inputs_New Techs'!$J64</f>
        <v>4.5926444555290189</v>
      </c>
      <c r="AI64" s="76">
        <f>'Key Inputs_BY Techs'!AG$11*'Key Inputs_New Techs'!$J64</f>
        <v>4.5926444555290189</v>
      </c>
      <c r="AJ64" s="76">
        <f>'Key Inputs_BY Techs'!AH$11*'Key Inputs_New Techs'!$J64</f>
        <v>4.5926444555290189</v>
      </c>
      <c r="AK64" s="76">
        <f>'Key Inputs_BY Techs'!AI$11*'Key Inputs_New Techs'!$J64</f>
        <v>3.4034775875795402</v>
      </c>
      <c r="AL64" s="76">
        <f>'Key Inputs_BY Techs'!AJ$11*'Key Inputs_New Techs'!$J64</f>
        <v>3.4034775875795402</v>
      </c>
    </row>
    <row r="65" spans="1:78" x14ac:dyDescent="0.25">
      <c r="B65" s="425"/>
      <c r="F65" s="443"/>
      <c r="G65" s="443"/>
      <c r="H65" s="445">
        <v>2050</v>
      </c>
      <c r="I65" s="134">
        <f>498%</f>
        <v>4.9800000000000004</v>
      </c>
      <c r="J65" s="161">
        <v>2.0942237014423086</v>
      </c>
      <c r="K65" s="76">
        <f>'Key Inputs_BY Techs'!I$11*'Key Inputs_New Techs'!$J65</f>
        <v>5.5823626985646175</v>
      </c>
      <c r="L65" s="76">
        <f>'Key Inputs_BY Techs'!J$11*'Key Inputs_New Techs'!$J65</f>
        <v>5.5823626985646175</v>
      </c>
      <c r="M65" s="76">
        <f>'Key Inputs_BY Techs'!K$11*'Key Inputs_New Techs'!$J65</f>
        <v>5.5823626985646175</v>
      </c>
      <c r="N65" s="76">
        <f>'Key Inputs_BY Techs'!L$11*'Key Inputs_New Techs'!$J65</f>
        <v>5.5823626985646175</v>
      </c>
      <c r="O65" s="76">
        <f>'Key Inputs_BY Techs'!M$11*'Key Inputs_New Techs'!$J65</f>
        <v>4.9842524094326945</v>
      </c>
      <c r="P65" s="76">
        <f>'Key Inputs_BY Techs'!N$11*'Key Inputs_New Techs'!$J65</f>
        <v>4.1369294998291357</v>
      </c>
      <c r="Q65" s="76">
        <f>'Key Inputs_BY Techs'!O$11*'Key Inputs_New Techs'!$J65</f>
        <v>4.1369294998291357</v>
      </c>
      <c r="R65" s="76">
        <f>'Key Inputs_BY Techs'!P$11*'Key Inputs_New Techs'!$J65</f>
        <v>4.9842524094326945</v>
      </c>
      <c r="S65" s="76">
        <f>'Key Inputs_BY Techs'!Q$11*'Key Inputs_New Techs'!$J65</f>
        <v>5.5823626985646175</v>
      </c>
      <c r="T65" s="76">
        <f>'Key Inputs_BY Techs'!R$11*'Key Inputs_New Techs'!$J65</f>
        <v>4.9842524094326945</v>
      </c>
      <c r="U65" s="76">
        <f>'Key Inputs_BY Techs'!S$11*'Key Inputs_New Techs'!$J65</f>
        <v>5.5823626985646175</v>
      </c>
      <c r="V65" s="76">
        <f>'Key Inputs_BY Techs'!T$11*'Key Inputs_New Techs'!$J65</f>
        <v>4.1369294998291357</v>
      </c>
      <c r="W65" s="76">
        <f>'Key Inputs_BY Techs'!U$11*'Key Inputs_New Techs'!$J65</f>
        <v>5.5823626985646175</v>
      </c>
      <c r="X65" s="76">
        <f>'Key Inputs_BY Techs'!V$11*'Key Inputs_New Techs'!$J65</f>
        <v>5.5823626985646175</v>
      </c>
      <c r="Y65" s="76">
        <f>'Key Inputs_BY Techs'!W$11*'Key Inputs_New Techs'!$J65</f>
        <v>5.5823626985646175</v>
      </c>
      <c r="Z65" s="76">
        <f>'Key Inputs_BY Techs'!X$11*'Key Inputs_New Techs'!$J65</f>
        <v>4.1369294998291357</v>
      </c>
      <c r="AA65" s="76">
        <f>'Key Inputs_BY Techs'!Y$11*'Key Inputs_New Techs'!$J65</f>
        <v>4.1369294998291357</v>
      </c>
      <c r="AB65" s="76">
        <f>'Key Inputs_BY Techs'!Z$11*'Key Inputs_New Techs'!$J65</f>
        <v>4.1369294998291357</v>
      </c>
      <c r="AC65" s="76">
        <f>'Key Inputs_BY Techs'!AA$11*'Key Inputs_New Techs'!$J65</f>
        <v>4.9842524094326945</v>
      </c>
      <c r="AD65" s="76">
        <f>'Key Inputs_BY Techs'!AB$11*'Key Inputs_New Techs'!$J65</f>
        <v>4.9842524094326945</v>
      </c>
      <c r="AE65" s="76">
        <f>'Key Inputs_BY Techs'!AC$11*'Key Inputs_New Techs'!$J65</f>
        <v>5.5823626985646175</v>
      </c>
      <c r="AF65" s="76">
        <f>'Key Inputs_BY Techs'!AD$11*'Key Inputs_New Techs'!$J65</f>
        <v>5.5823626985646175</v>
      </c>
      <c r="AG65" s="76">
        <f>'Key Inputs_BY Techs'!AE$11*'Key Inputs_New Techs'!$J65</f>
        <v>5.5823626985646175</v>
      </c>
      <c r="AH65" s="76">
        <f>'Key Inputs_BY Techs'!AF$11*'Key Inputs_New Techs'!$J65</f>
        <v>5.5823626985646175</v>
      </c>
      <c r="AI65" s="76">
        <f>'Key Inputs_BY Techs'!AG$11*'Key Inputs_New Techs'!$J65</f>
        <v>5.5823626985646175</v>
      </c>
      <c r="AJ65" s="76">
        <f>'Key Inputs_BY Techs'!AH$11*'Key Inputs_New Techs'!$J65</f>
        <v>5.5823626985646175</v>
      </c>
      <c r="AK65" s="76">
        <f>'Key Inputs_BY Techs'!AI$11*'Key Inputs_New Techs'!$J65</f>
        <v>4.1369294998291357</v>
      </c>
      <c r="AL65" s="76">
        <f>'Key Inputs_BY Techs'!AJ$11*'Key Inputs_New Techs'!$J65</f>
        <v>4.1369294998291357</v>
      </c>
    </row>
    <row r="66" spans="1:78" customFormat="1" ht="15.75" x14ac:dyDescent="0.25">
      <c r="A66" s="424" t="s">
        <v>122</v>
      </c>
      <c r="B66" s="425" t="s">
        <v>538</v>
      </c>
      <c r="C66" s="425" t="s">
        <v>19</v>
      </c>
      <c r="D66" s="425" t="s">
        <v>105</v>
      </c>
      <c r="E66" s="425" t="s">
        <v>271</v>
      </c>
      <c r="F66" s="443">
        <v>2030</v>
      </c>
      <c r="G66" s="443">
        <v>15</v>
      </c>
      <c r="H66" s="445">
        <v>2030</v>
      </c>
      <c r="I66" s="134">
        <f>452%</f>
        <v>4.5199999999999996</v>
      </c>
      <c r="J66" s="161">
        <v>1.9007813515098859</v>
      </c>
      <c r="K66" s="76">
        <f>'Key Inputs_BY Techs'!I$11*'Key Inputs_New Techs'!$J66</f>
        <v>5.066722770584752</v>
      </c>
      <c r="L66" s="76">
        <f>'Key Inputs_BY Techs'!J$11*'Key Inputs_New Techs'!$J66</f>
        <v>5.066722770584752</v>
      </c>
      <c r="M66" s="76">
        <f>'Key Inputs_BY Techs'!K$11*'Key Inputs_New Techs'!$J66</f>
        <v>5.066722770584752</v>
      </c>
      <c r="N66" s="76">
        <f>'Key Inputs_BY Techs'!L$11*'Key Inputs_New Techs'!$J66</f>
        <v>5.066722770584752</v>
      </c>
      <c r="O66" s="76">
        <f>'Key Inputs_BY Techs'!M$11*'Key Inputs_New Techs'!$J66</f>
        <v>4.5238596165935281</v>
      </c>
      <c r="P66" s="76">
        <f>'Key Inputs_BY Techs'!N$11*'Key Inputs_New Techs'!$J66</f>
        <v>3.7548034817726283</v>
      </c>
      <c r="Q66" s="76">
        <f>'Key Inputs_BY Techs'!O$11*'Key Inputs_New Techs'!$J66</f>
        <v>3.7548034817726283</v>
      </c>
      <c r="R66" s="76">
        <f>'Key Inputs_BY Techs'!P$11*'Key Inputs_New Techs'!$J66</f>
        <v>4.5238596165935281</v>
      </c>
      <c r="S66" s="76">
        <f>'Key Inputs_BY Techs'!Q$11*'Key Inputs_New Techs'!$J66</f>
        <v>5.066722770584752</v>
      </c>
      <c r="T66" s="76">
        <f>'Key Inputs_BY Techs'!R$11*'Key Inputs_New Techs'!$J66</f>
        <v>4.5238596165935281</v>
      </c>
      <c r="U66" s="76">
        <f>'Key Inputs_BY Techs'!S$11*'Key Inputs_New Techs'!$J66</f>
        <v>5.066722770584752</v>
      </c>
      <c r="V66" s="76">
        <f>'Key Inputs_BY Techs'!T$11*'Key Inputs_New Techs'!$J66</f>
        <v>3.7548034817726283</v>
      </c>
      <c r="W66" s="76">
        <f>'Key Inputs_BY Techs'!U$11*'Key Inputs_New Techs'!$J66</f>
        <v>5.066722770584752</v>
      </c>
      <c r="X66" s="76">
        <f>'Key Inputs_BY Techs'!V$11*'Key Inputs_New Techs'!$J66</f>
        <v>5.066722770584752</v>
      </c>
      <c r="Y66" s="76">
        <f>'Key Inputs_BY Techs'!W$11*'Key Inputs_New Techs'!$J66</f>
        <v>5.066722770584752</v>
      </c>
      <c r="Z66" s="76">
        <f>'Key Inputs_BY Techs'!X$11*'Key Inputs_New Techs'!$J66</f>
        <v>3.7548034817726283</v>
      </c>
      <c r="AA66" s="76">
        <f>'Key Inputs_BY Techs'!Y$11*'Key Inputs_New Techs'!$J66</f>
        <v>3.7548034817726283</v>
      </c>
      <c r="AB66" s="76">
        <f>'Key Inputs_BY Techs'!Z$11*'Key Inputs_New Techs'!$J66</f>
        <v>3.7548034817726283</v>
      </c>
      <c r="AC66" s="76">
        <f>'Key Inputs_BY Techs'!AA$11*'Key Inputs_New Techs'!$J66</f>
        <v>4.5238596165935281</v>
      </c>
      <c r="AD66" s="76">
        <f>'Key Inputs_BY Techs'!AB$11*'Key Inputs_New Techs'!$J66</f>
        <v>4.5238596165935281</v>
      </c>
      <c r="AE66" s="76">
        <f>'Key Inputs_BY Techs'!AC$11*'Key Inputs_New Techs'!$J66</f>
        <v>5.066722770584752</v>
      </c>
      <c r="AF66" s="76">
        <f>'Key Inputs_BY Techs'!AD$11*'Key Inputs_New Techs'!$J66</f>
        <v>5.066722770584752</v>
      </c>
      <c r="AG66" s="76">
        <f>'Key Inputs_BY Techs'!AE$11*'Key Inputs_New Techs'!$J66</f>
        <v>5.066722770584752</v>
      </c>
      <c r="AH66" s="76">
        <f>'Key Inputs_BY Techs'!AF$11*'Key Inputs_New Techs'!$J66</f>
        <v>5.066722770584752</v>
      </c>
      <c r="AI66" s="76">
        <f>'Key Inputs_BY Techs'!AG$11*'Key Inputs_New Techs'!$J66</f>
        <v>5.066722770584752</v>
      </c>
      <c r="AJ66" s="76">
        <f>'Key Inputs_BY Techs'!AH$11*'Key Inputs_New Techs'!$J66</f>
        <v>5.066722770584752</v>
      </c>
      <c r="AK66" s="76">
        <f>'Key Inputs_BY Techs'!AI$11*'Key Inputs_New Techs'!$J66</f>
        <v>3.7548034817726283</v>
      </c>
      <c r="AL66" s="76">
        <f>'Key Inputs_BY Techs'!AJ$11*'Key Inputs_New Techs'!$J66</f>
        <v>3.7548034817726283</v>
      </c>
      <c r="AM66" s="424"/>
      <c r="AN66" s="424"/>
      <c r="AO66" s="424"/>
      <c r="AP66" s="424"/>
      <c r="AQ66" s="424"/>
      <c r="AR66" s="424"/>
      <c r="AS66" s="424"/>
      <c r="AT66" s="424"/>
      <c r="AU66" s="424"/>
      <c r="AV66" s="424"/>
      <c r="AW66" s="424"/>
      <c r="AX66" s="424"/>
      <c r="AY66" s="424"/>
      <c r="AZ66" s="424"/>
      <c r="BA66" s="424"/>
      <c r="BB66" s="424"/>
      <c r="BC66" s="424"/>
      <c r="BD66" s="424"/>
      <c r="BE66" s="424"/>
      <c r="BF66" s="424"/>
      <c r="BG66" s="424"/>
      <c r="BH66" s="424"/>
      <c r="BI66" s="424"/>
      <c r="BJ66" s="424"/>
      <c r="BK66" s="424"/>
      <c r="BL66" s="424"/>
      <c r="BM66" s="424"/>
      <c r="BN66" s="424"/>
      <c r="BO66" s="424"/>
      <c r="BP66" s="424"/>
      <c r="BQ66" s="424"/>
      <c r="BR66" s="424"/>
      <c r="BS66" s="424"/>
      <c r="BT66" s="424"/>
      <c r="BU66" s="424"/>
      <c r="BV66" s="424"/>
      <c r="BW66" s="424"/>
      <c r="BX66" s="424"/>
      <c r="BY66" s="424"/>
      <c r="BZ66" s="424"/>
    </row>
    <row r="67" spans="1:78" x14ac:dyDescent="0.25">
      <c r="B67" s="425"/>
      <c r="F67" s="443"/>
      <c r="G67" s="443"/>
      <c r="H67" s="445">
        <v>2050</v>
      </c>
      <c r="I67" s="134">
        <f>572.905577619048%</f>
        <v>5.7290557761904806</v>
      </c>
      <c r="J67" s="161">
        <v>2.4092217657395705</v>
      </c>
      <c r="K67" s="76">
        <f>'Key Inputs_BY Techs'!I$11*'Key Inputs_New Techs'!$J67</f>
        <v>6.4220215387553994</v>
      </c>
      <c r="L67" s="76">
        <f>'Key Inputs_BY Techs'!J$11*'Key Inputs_New Techs'!$J67</f>
        <v>6.4220215387553994</v>
      </c>
      <c r="M67" s="76">
        <f>'Key Inputs_BY Techs'!K$11*'Key Inputs_New Techs'!$J67</f>
        <v>6.4220215387553994</v>
      </c>
      <c r="N67" s="76">
        <f>'Key Inputs_BY Techs'!L$11*'Key Inputs_New Techs'!$J67</f>
        <v>6.4220215387553994</v>
      </c>
      <c r="O67" s="76">
        <f>'Key Inputs_BY Techs'!M$11*'Key Inputs_New Techs'!$J67</f>
        <v>5.7339478024601771</v>
      </c>
      <c r="P67" s="76">
        <f>'Key Inputs_BY Techs'!N$11*'Key Inputs_New Techs'!$J67</f>
        <v>4.7591766760419469</v>
      </c>
      <c r="Q67" s="76">
        <f>'Key Inputs_BY Techs'!O$11*'Key Inputs_New Techs'!$J67</f>
        <v>4.7591766760419469</v>
      </c>
      <c r="R67" s="76">
        <f>'Key Inputs_BY Techs'!P$11*'Key Inputs_New Techs'!$J67</f>
        <v>5.7339478024601771</v>
      </c>
      <c r="S67" s="76">
        <f>'Key Inputs_BY Techs'!Q$11*'Key Inputs_New Techs'!$J67</f>
        <v>6.4220215387553994</v>
      </c>
      <c r="T67" s="76">
        <f>'Key Inputs_BY Techs'!R$11*'Key Inputs_New Techs'!$J67</f>
        <v>5.7339478024601771</v>
      </c>
      <c r="U67" s="76">
        <f>'Key Inputs_BY Techs'!S$11*'Key Inputs_New Techs'!$J67</f>
        <v>6.4220215387553994</v>
      </c>
      <c r="V67" s="76">
        <f>'Key Inputs_BY Techs'!T$11*'Key Inputs_New Techs'!$J67</f>
        <v>4.7591766760419469</v>
      </c>
      <c r="W67" s="76">
        <f>'Key Inputs_BY Techs'!U$11*'Key Inputs_New Techs'!$J67</f>
        <v>6.4220215387553994</v>
      </c>
      <c r="X67" s="76">
        <f>'Key Inputs_BY Techs'!V$11*'Key Inputs_New Techs'!$J67</f>
        <v>6.4220215387553994</v>
      </c>
      <c r="Y67" s="76">
        <f>'Key Inputs_BY Techs'!W$11*'Key Inputs_New Techs'!$J67</f>
        <v>6.4220215387553994</v>
      </c>
      <c r="Z67" s="76">
        <f>'Key Inputs_BY Techs'!X$11*'Key Inputs_New Techs'!$J67</f>
        <v>4.7591766760419469</v>
      </c>
      <c r="AA67" s="76">
        <f>'Key Inputs_BY Techs'!Y$11*'Key Inputs_New Techs'!$J67</f>
        <v>4.7591766760419469</v>
      </c>
      <c r="AB67" s="76">
        <f>'Key Inputs_BY Techs'!Z$11*'Key Inputs_New Techs'!$J67</f>
        <v>4.7591766760419469</v>
      </c>
      <c r="AC67" s="76">
        <f>'Key Inputs_BY Techs'!AA$11*'Key Inputs_New Techs'!$J67</f>
        <v>5.7339478024601771</v>
      </c>
      <c r="AD67" s="76">
        <f>'Key Inputs_BY Techs'!AB$11*'Key Inputs_New Techs'!$J67</f>
        <v>5.7339478024601771</v>
      </c>
      <c r="AE67" s="76">
        <f>'Key Inputs_BY Techs'!AC$11*'Key Inputs_New Techs'!$J67</f>
        <v>6.4220215387553994</v>
      </c>
      <c r="AF67" s="76">
        <f>'Key Inputs_BY Techs'!AD$11*'Key Inputs_New Techs'!$J67</f>
        <v>6.4220215387553994</v>
      </c>
      <c r="AG67" s="76">
        <f>'Key Inputs_BY Techs'!AE$11*'Key Inputs_New Techs'!$J67</f>
        <v>6.4220215387553994</v>
      </c>
      <c r="AH67" s="76">
        <f>'Key Inputs_BY Techs'!AF$11*'Key Inputs_New Techs'!$J67</f>
        <v>6.4220215387553994</v>
      </c>
      <c r="AI67" s="76">
        <f>'Key Inputs_BY Techs'!AG$11*'Key Inputs_New Techs'!$J67</f>
        <v>6.4220215387553994</v>
      </c>
      <c r="AJ67" s="76">
        <f>'Key Inputs_BY Techs'!AH$11*'Key Inputs_New Techs'!$J67</f>
        <v>6.4220215387553994</v>
      </c>
      <c r="AK67" s="76">
        <f>'Key Inputs_BY Techs'!AI$11*'Key Inputs_New Techs'!$J67</f>
        <v>4.7591766760419469</v>
      </c>
      <c r="AL67" s="76">
        <f>'Key Inputs_BY Techs'!AJ$11*'Key Inputs_New Techs'!$J67</f>
        <v>4.7591766760419469</v>
      </c>
    </row>
    <row r="68" spans="1:78" x14ac:dyDescent="0.25">
      <c r="A68" s="424" t="s">
        <v>122</v>
      </c>
      <c r="B68" s="425" t="s">
        <v>539</v>
      </c>
      <c r="C68" s="425" t="s">
        <v>19</v>
      </c>
      <c r="D68" s="425" t="s">
        <v>105</v>
      </c>
      <c r="E68" s="425" t="s">
        <v>242</v>
      </c>
      <c r="F68" s="443">
        <v>2020</v>
      </c>
      <c r="G68" s="443">
        <v>15</v>
      </c>
      <c r="H68" s="445">
        <v>2020</v>
      </c>
      <c r="I68" s="134">
        <v>0.99</v>
      </c>
      <c r="J68" s="161">
        <v>1</v>
      </c>
      <c r="K68" s="76">
        <f>'Key Inputs_BY Techs'!H$20*'Key Inputs_New Techs'!$J68</f>
        <v>0.99</v>
      </c>
      <c r="L68" s="76">
        <f>'Key Inputs_BY Techs'!I$20*'Key Inputs_New Techs'!$J68</f>
        <v>0.99</v>
      </c>
      <c r="M68" s="76">
        <f>'Key Inputs_BY Techs'!J$20*'Key Inputs_New Techs'!$J68</f>
        <v>0.99</v>
      </c>
      <c r="N68" s="76">
        <f>'Key Inputs_BY Techs'!K$20*'Key Inputs_New Techs'!$J68</f>
        <v>0.99</v>
      </c>
      <c r="O68" s="76">
        <f>'Key Inputs_BY Techs'!L$20*'Key Inputs_New Techs'!$J68</f>
        <v>0.99</v>
      </c>
      <c r="P68" s="76">
        <f>'Key Inputs_BY Techs'!M$20*'Key Inputs_New Techs'!$J68</f>
        <v>0.99</v>
      </c>
      <c r="Q68" s="76">
        <f>'Key Inputs_BY Techs'!N$20*'Key Inputs_New Techs'!$J68</f>
        <v>0.99</v>
      </c>
      <c r="R68" s="76">
        <f>'Key Inputs_BY Techs'!O$20*'Key Inputs_New Techs'!$J68</f>
        <v>0.99</v>
      </c>
      <c r="S68" s="76">
        <f>'Key Inputs_BY Techs'!P$20*'Key Inputs_New Techs'!$J68</f>
        <v>0.99</v>
      </c>
      <c r="T68" s="76">
        <f>'Key Inputs_BY Techs'!Q$20*'Key Inputs_New Techs'!$J68</f>
        <v>0.99</v>
      </c>
      <c r="U68" s="76">
        <f>'Key Inputs_BY Techs'!R$20*'Key Inputs_New Techs'!$J68</f>
        <v>0.99</v>
      </c>
      <c r="V68" s="76">
        <f>'Key Inputs_BY Techs'!S$20*'Key Inputs_New Techs'!$J68</f>
        <v>0.99</v>
      </c>
      <c r="W68" s="76">
        <f>'Key Inputs_BY Techs'!T$20*'Key Inputs_New Techs'!$J68</f>
        <v>0.99</v>
      </c>
      <c r="X68" s="76">
        <f>'Key Inputs_BY Techs'!U$20*'Key Inputs_New Techs'!$J68</f>
        <v>0.99</v>
      </c>
      <c r="Y68" s="76">
        <f>'Key Inputs_BY Techs'!V$20*'Key Inputs_New Techs'!$J68</f>
        <v>0.99</v>
      </c>
      <c r="Z68" s="76">
        <f>'Key Inputs_BY Techs'!W$20*'Key Inputs_New Techs'!$J68</f>
        <v>0.99</v>
      </c>
      <c r="AA68" s="76">
        <f>'Key Inputs_BY Techs'!X$20*'Key Inputs_New Techs'!$J68</f>
        <v>0.99</v>
      </c>
      <c r="AB68" s="76">
        <f>'Key Inputs_BY Techs'!Y$20*'Key Inputs_New Techs'!$J68</f>
        <v>0.99</v>
      </c>
      <c r="AC68" s="76">
        <f>'Key Inputs_BY Techs'!Z$20*'Key Inputs_New Techs'!$J68</f>
        <v>0.99</v>
      </c>
      <c r="AD68" s="76">
        <f>'Key Inputs_BY Techs'!AA$20*'Key Inputs_New Techs'!$J68</f>
        <v>0.99</v>
      </c>
      <c r="AE68" s="76">
        <f>'Key Inputs_BY Techs'!AB$20*'Key Inputs_New Techs'!$J68</f>
        <v>0.99</v>
      </c>
      <c r="AF68" s="76">
        <f>'Key Inputs_BY Techs'!AC$20*'Key Inputs_New Techs'!$J68</f>
        <v>0.99</v>
      </c>
      <c r="AG68" s="76">
        <f>'Key Inputs_BY Techs'!AD$20*'Key Inputs_New Techs'!$J68</f>
        <v>0.99</v>
      </c>
      <c r="AH68" s="76">
        <f>'Key Inputs_BY Techs'!AE$20*'Key Inputs_New Techs'!$J68</f>
        <v>0.99</v>
      </c>
      <c r="AI68" s="76">
        <f>'Key Inputs_BY Techs'!AF$20*'Key Inputs_New Techs'!$J68</f>
        <v>0.99</v>
      </c>
      <c r="AJ68" s="76">
        <f>'Key Inputs_BY Techs'!AG$20*'Key Inputs_New Techs'!$J68</f>
        <v>0.99</v>
      </c>
      <c r="AK68" s="76">
        <f>'Key Inputs_BY Techs'!AH$20*'Key Inputs_New Techs'!$J68</f>
        <v>0.99</v>
      </c>
      <c r="AL68" s="76">
        <f>'Key Inputs_BY Techs'!AI$20*'Key Inputs_New Techs'!$J68</f>
        <v>0.99</v>
      </c>
    </row>
    <row r="69" spans="1:78" x14ac:dyDescent="0.25">
      <c r="A69" s="424" t="s">
        <v>122</v>
      </c>
      <c r="B69" s="425" t="s">
        <v>540</v>
      </c>
      <c r="C69" s="425" t="s">
        <v>515</v>
      </c>
      <c r="D69" s="425" t="s">
        <v>516</v>
      </c>
      <c r="E69" s="425" t="s">
        <v>265</v>
      </c>
      <c r="F69" s="443">
        <v>2020</v>
      </c>
      <c r="G69" s="444">
        <v>15</v>
      </c>
      <c r="H69" s="445">
        <v>2020</v>
      </c>
      <c r="I69" s="134">
        <v>0.86580000000000013</v>
      </c>
      <c r="J69" s="161">
        <v>1</v>
      </c>
      <c r="K69" s="76">
        <f>'Key Inputs_BY Techs'!I$12*'Key Inputs_New Techs'!$J69</f>
        <v>0.86580000000000013</v>
      </c>
      <c r="L69" s="76">
        <f>'Key Inputs_BY Techs'!J$12*'Key Inputs_New Techs'!$J69</f>
        <v>0.86580000000000013</v>
      </c>
      <c r="M69" s="76">
        <f>'Key Inputs_BY Techs'!K$12*'Key Inputs_New Techs'!$J69</f>
        <v>0.86580000000000013</v>
      </c>
      <c r="N69" s="76">
        <f>'Key Inputs_BY Techs'!L$12*'Key Inputs_New Techs'!$J69</f>
        <v>0.86580000000000013</v>
      </c>
      <c r="O69" s="76">
        <f>'Key Inputs_BY Techs'!M$12*'Key Inputs_New Techs'!$J69</f>
        <v>0.86580000000000013</v>
      </c>
      <c r="P69" s="76">
        <f>'Key Inputs_BY Techs'!N$12*'Key Inputs_New Techs'!$J69</f>
        <v>0.86580000000000013</v>
      </c>
      <c r="Q69" s="76">
        <f>'Key Inputs_BY Techs'!O$12*'Key Inputs_New Techs'!$J69</f>
        <v>0.86580000000000013</v>
      </c>
      <c r="R69" s="76">
        <f>'Key Inputs_BY Techs'!P$12*'Key Inputs_New Techs'!$J69</f>
        <v>0.86580000000000013</v>
      </c>
      <c r="S69" s="76">
        <f>'Key Inputs_BY Techs'!Q$12*'Key Inputs_New Techs'!$J69</f>
        <v>0.86580000000000013</v>
      </c>
      <c r="T69" s="76">
        <f>'Key Inputs_BY Techs'!R$12*'Key Inputs_New Techs'!$J69</f>
        <v>0.86580000000000013</v>
      </c>
      <c r="U69" s="76">
        <f>'Key Inputs_BY Techs'!S$12*'Key Inputs_New Techs'!$J69</f>
        <v>0.86580000000000013</v>
      </c>
      <c r="V69" s="76">
        <f>'Key Inputs_BY Techs'!T$12*'Key Inputs_New Techs'!$J69</f>
        <v>0.86580000000000013</v>
      </c>
      <c r="W69" s="76">
        <f>'Key Inputs_BY Techs'!U$12*'Key Inputs_New Techs'!$J69</f>
        <v>0.86580000000000013</v>
      </c>
      <c r="X69" s="76">
        <f>'Key Inputs_BY Techs'!V$12*'Key Inputs_New Techs'!$J69</f>
        <v>0.86580000000000013</v>
      </c>
      <c r="Y69" s="76">
        <f>'Key Inputs_BY Techs'!W$12*'Key Inputs_New Techs'!$J69</f>
        <v>0.86580000000000013</v>
      </c>
      <c r="Z69" s="76">
        <f>'Key Inputs_BY Techs'!X$12*'Key Inputs_New Techs'!$J69</f>
        <v>0.86580000000000013</v>
      </c>
      <c r="AA69" s="76">
        <f>'Key Inputs_BY Techs'!Y$12*'Key Inputs_New Techs'!$J69</f>
        <v>0.86580000000000013</v>
      </c>
      <c r="AB69" s="76">
        <f>'Key Inputs_BY Techs'!Z$12*'Key Inputs_New Techs'!$J69</f>
        <v>0.86580000000000013</v>
      </c>
      <c r="AC69" s="76">
        <f>'Key Inputs_BY Techs'!AA$12*'Key Inputs_New Techs'!$J69</f>
        <v>0.86580000000000013</v>
      </c>
      <c r="AD69" s="76">
        <f>'Key Inputs_BY Techs'!AB$12*'Key Inputs_New Techs'!$J69</f>
        <v>0.86580000000000013</v>
      </c>
      <c r="AE69" s="76">
        <f>'Key Inputs_BY Techs'!AC$12*'Key Inputs_New Techs'!$J69</f>
        <v>0.86580000000000013</v>
      </c>
      <c r="AF69" s="76">
        <f>'Key Inputs_BY Techs'!AD$12*'Key Inputs_New Techs'!$J69</f>
        <v>0.86580000000000013</v>
      </c>
      <c r="AG69" s="76">
        <f>'Key Inputs_BY Techs'!AE$12*'Key Inputs_New Techs'!$J69</f>
        <v>0.86580000000000013</v>
      </c>
      <c r="AH69" s="76">
        <f>'Key Inputs_BY Techs'!AF$12*'Key Inputs_New Techs'!$J69</f>
        <v>0.86580000000000013</v>
      </c>
      <c r="AI69" s="76">
        <f>'Key Inputs_BY Techs'!AG$12*'Key Inputs_New Techs'!$J69</f>
        <v>0.86580000000000013</v>
      </c>
      <c r="AJ69" s="76">
        <f>'Key Inputs_BY Techs'!AH$12*'Key Inputs_New Techs'!$J69</f>
        <v>0.86580000000000013</v>
      </c>
      <c r="AK69" s="76">
        <f>'Key Inputs_BY Techs'!AI$12*'Key Inputs_New Techs'!$J69</f>
        <v>0.86580000000000013</v>
      </c>
      <c r="AL69" s="76">
        <f>'Key Inputs_BY Techs'!AJ$12*'Key Inputs_New Techs'!$J69</f>
        <v>0.86580000000000013</v>
      </c>
    </row>
    <row r="70" spans="1:78" x14ac:dyDescent="0.25">
      <c r="A70" s="424" t="s">
        <v>122</v>
      </c>
      <c r="B70" s="425" t="s">
        <v>541</v>
      </c>
      <c r="C70" s="425" t="s">
        <v>515</v>
      </c>
      <c r="D70" s="425" t="s">
        <v>516</v>
      </c>
      <c r="E70" s="425" t="s">
        <v>274</v>
      </c>
      <c r="F70" s="443">
        <v>2020</v>
      </c>
      <c r="G70" s="443">
        <v>15</v>
      </c>
      <c r="H70" s="445">
        <v>2020</v>
      </c>
      <c r="I70" s="134">
        <v>1.0323</v>
      </c>
      <c r="J70" s="161">
        <v>1.1923076923076921</v>
      </c>
      <c r="K70" s="76">
        <f>'Key Inputs_BY Techs'!I$12*'Key Inputs_New Techs'!$J70</f>
        <v>1.0323</v>
      </c>
      <c r="L70" s="76">
        <f>'Key Inputs_BY Techs'!J$12*'Key Inputs_New Techs'!$J70</f>
        <v>1.0323</v>
      </c>
      <c r="M70" s="76">
        <f>'Key Inputs_BY Techs'!K$12*'Key Inputs_New Techs'!$J70</f>
        <v>1.0323</v>
      </c>
      <c r="N70" s="76">
        <f>'Key Inputs_BY Techs'!L$12*'Key Inputs_New Techs'!$J70</f>
        <v>1.0323</v>
      </c>
      <c r="O70" s="76">
        <f>'Key Inputs_BY Techs'!M$12*'Key Inputs_New Techs'!$J70</f>
        <v>1.0323</v>
      </c>
      <c r="P70" s="76">
        <f>'Key Inputs_BY Techs'!N$12*'Key Inputs_New Techs'!$J70</f>
        <v>1.0323</v>
      </c>
      <c r="Q70" s="76">
        <f>'Key Inputs_BY Techs'!O$12*'Key Inputs_New Techs'!$J70</f>
        <v>1.0323</v>
      </c>
      <c r="R70" s="76">
        <f>'Key Inputs_BY Techs'!P$12*'Key Inputs_New Techs'!$J70</f>
        <v>1.0323</v>
      </c>
      <c r="S70" s="76">
        <f>'Key Inputs_BY Techs'!Q$12*'Key Inputs_New Techs'!$J70</f>
        <v>1.0323</v>
      </c>
      <c r="T70" s="76">
        <f>'Key Inputs_BY Techs'!R$12*'Key Inputs_New Techs'!$J70</f>
        <v>1.0323</v>
      </c>
      <c r="U70" s="76">
        <f>'Key Inputs_BY Techs'!S$12*'Key Inputs_New Techs'!$J70</f>
        <v>1.0323</v>
      </c>
      <c r="V70" s="76">
        <f>'Key Inputs_BY Techs'!T$12*'Key Inputs_New Techs'!$J70</f>
        <v>1.0323</v>
      </c>
      <c r="W70" s="76">
        <f>'Key Inputs_BY Techs'!U$12*'Key Inputs_New Techs'!$J70</f>
        <v>1.0323</v>
      </c>
      <c r="X70" s="76">
        <f>'Key Inputs_BY Techs'!V$12*'Key Inputs_New Techs'!$J70</f>
        <v>1.0323</v>
      </c>
      <c r="Y70" s="76">
        <f>'Key Inputs_BY Techs'!W$12*'Key Inputs_New Techs'!$J70</f>
        <v>1.0323</v>
      </c>
      <c r="Z70" s="76">
        <f>'Key Inputs_BY Techs'!X$12*'Key Inputs_New Techs'!$J70</f>
        <v>1.0323</v>
      </c>
      <c r="AA70" s="76">
        <f>'Key Inputs_BY Techs'!Y$12*'Key Inputs_New Techs'!$J70</f>
        <v>1.0323</v>
      </c>
      <c r="AB70" s="76">
        <f>'Key Inputs_BY Techs'!Z$12*'Key Inputs_New Techs'!$J70</f>
        <v>1.0323</v>
      </c>
      <c r="AC70" s="76">
        <f>'Key Inputs_BY Techs'!AA$12*'Key Inputs_New Techs'!$J70</f>
        <v>1.0323</v>
      </c>
      <c r="AD70" s="76">
        <f>'Key Inputs_BY Techs'!AB$12*'Key Inputs_New Techs'!$J70</f>
        <v>1.0323</v>
      </c>
      <c r="AE70" s="76">
        <f>'Key Inputs_BY Techs'!AC$12*'Key Inputs_New Techs'!$J70</f>
        <v>1.0323</v>
      </c>
      <c r="AF70" s="76">
        <f>'Key Inputs_BY Techs'!AD$12*'Key Inputs_New Techs'!$J70</f>
        <v>1.0323</v>
      </c>
      <c r="AG70" s="76">
        <f>'Key Inputs_BY Techs'!AE$12*'Key Inputs_New Techs'!$J70</f>
        <v>1.0323</v>
      </c>
      <c r="AH70" s="76">
        <f>'Key Inputs_BY Techs'!AF$12*'Key Inputs_New Techs'!$J70</f>
        <v>1.0323</v>
      </c>
      <c r="AI70" s="76">
        <f>'Key Inputs_BY Techs'!AG$12*'Key Inputs_New Techs'!$J70</f>
        <v>1.0323</v>
      </c>
      <c r="AJ70" s="76">
        <f>'Key Inputs_BY Techs'!AH$12*'Key Inputs_New Techs'!$J70</f>
        <v>1.0323</v>
      </c>
      <c r="AK70" s="76">
        <f>'Key Inputs_BY Techs'!AI$12*'Key Inputs_New Techs'!$J70</f>
        <v>1.0323</v>
      </c>
      <c r="AL70" s="76">
        <f>'Key Inputs_BY Techs'!AJ$12*'Key Inputs_New Techs'!$J70</f>
        <v>1.0323</v>
      </c>
    </row>
    <row r="71" spans="1:78" x14ac:dyDescent="0.25">
      <c r="A71" s="424" t="s">
        <v>122</v>
      </c>
      <c r="B71" s="425" t="s">
        <v>542</v>
      </c>
      <c r="C71" s="425" t="s">
        <v>515</v>
      </c>
      <c r="D71" s="425" t="s">
        <v>516</v>
      </c>
      <c r="E71" s="425" t="s">
        <v>266</v>
      </c>
      <c r="F71" s="443">
        <v>2025</v>
      </c>
      <c r="G71" s="443">
        <v>15</v>
      </c>
      <c r="H71" s="445">
        <v>2025</v>
      </c>
      <c r="I71" s="134">
        <v>1.0323</v>
      </c>
      <c r="J71" s="161">
        <v>1.1923076923076921</v>
      </c>
      <c r="K71" s="76">
        <f>'Key Inputs_BY Techs'!I$12*'Key Inputs_New Techs'!$J71</f>
        <v>1.0323</v>
      </c>
      <c r="L71" s="76">
        <f>'Key Inputs_BY Techs'!J$12*'Key Inputs_New Techs'!$J71</f>
        <v>1.0323</v>
      </c>
      <c r="M71" s="76">
        <f>'Key Inputs_BY Techs'!K$12*'Key Inputs_New Techs'!$J71</f>
        <v>1.0323</v>
      </c>
      <c r="N71" s="76">
        <f>'Key Inputs_BY Techs'!L$12*'Key Inputs_New Techs'!$J71</f>
        <v>1.0323</v>
      </c>
      <c r="O71" s="76">
        <f>'Key Inputs_BY Techs'!M$12*'Key Inputs_New Techs'!$J71</f>
        <v>1.0323</v>
      </c>
      <c r="P71" s="76">
        <f>'Key Inputs_BY Techs'!N$12*'Key Inputs_New Techs'!$J71</f>
        <v>1.0323</v>
      </c>
      <c r="Q71" s="76">
        <f>'Key Inputs_BY Techs'!O$12*'Key Inputs_New Techs'!$J71</f>
        <v>1.0323</v>
      </c>
      <c r="R71" s="76">
        <f>'Key Inputs_BY Techs'!P$12*'Key Inputs_New Techs'!$J71</f>
        <v>1.0323</v>
      </c>
      <c r="S71" s="76">
        <f>'Key Inputs_BY Techs'!Q$12*'Key Inputs_New Techs'!$J71</f>
        <v>1.0323</v>
      </c>
      <c r="T71" s="76">
        <f>'Key Inputs_BY Techs'!R$12*'Key Inputs_New Techs'!$J71</f>
        <v>1.0323</v>
      </c>
      <c r="U71" s="76">
        <f>'Key Inputs_BY Techs'!S$12*'Key Inputs_New Techs'!$J71</f>
        <v>1.0323</v>
      </c>
      <c r="V71" s="76">
        <f>'Key Inputs_BY Techs'!T$12*'Key Inputs_New Techs'!$J71</f>
        <v>1.0323</v>
      </c>
      <c r="W71" s="76">
        <f>'Key Inputs_BY Techs'!U$12*'Key Inputs_New Techs'!$J71</f>
        <v>1.0323</v>
      </c>
      <c r="X71" s="76">
        <f>'Key Inputs_BY Techs'!V$12*'Key Inputs_New Techs'!$J71</f>
        <v>1.0323</v>
      </c>
      <c r="Y71" s="76">
        <f>'Key Inputs_BY Techs'!W$12*'Key Inputs_New Techs'!$J71</f>
        <v>1.0323</v>
      </c>
      <c r="Z71" s="76">
        <f>'Key Inputs_BY Techs'!X$12*'Key Inputs_New Techs'!$J71</f>
        <v>1.0323</v>
      </c>
      <c r="AA71" s="76">
        <f>'Key Inputs_BY Techs'!Y$12*'Key Inputs_New Techs'!$J71</f>
        <v>1.0323</v>
      </c>
      <c r="AB71" s="76">
        <f>'Key Inputs_BY Techs'!Z$12*'Key Inputs_New Techs'!$J71</f>
        <v>1.0323</v>
      </c>
      <c r="AC71" s="76">
        <f>'Key Inputs_BY Techs'!AA$12*'Key Inputs_New Techs'!$J71</f>
        <v>1.0323</v>
      </c>
      <c r="AD71" s="76">
        <f>'Key Inputs_BY Techs'!AB$12*'Key Inputs_New Techs'!$J71</f>
        <v>1.0323</v>
      </c>
      <c r="AE71" s="76">
        <f>'Key Inputs_BY Techs'!AC$12*'Key Inputs_New Techs'!$J71</f>
        <v>1.0323</v>
      </c>
      <c r="AF71" s="76">
        <f>'Key Inputs_BY Techs'!AD$12*'Key Inputs_New Techs'!$J71</f>
        <v>1.0323</v>
      </c>
      <c r="AG71" s="76">
        <f>'Key Inputs_BY Techs'!AE$12*'Key Inputs_New Techs'!$J71</f>
        <v>1.0323</v>
      </c>
      <c r="AH71" s="76">
        <f>'Key Inputs_BY Techs'!AF$12*'Key Inputs_New Techs'!$J71</f>
        <v>1.0323</v>
      </c>
      <c r="AI71" s="76">
        <f>'Key Inputs_BY Techs'!AG$12*'Key Inputs_New Techs'!$J71</f>
        <v>1.0323</v>
      </c>
      <c r="AJ71" s="76">
        <f>'Key Inputs_BY Techs'!AH$12*'Key Inputs_New Techs'!$J71</f>
        <v>1.0323</v>
      </c>
      <c r="AK71" s="76">
        <f>'Key Inputs_BY Techs'!AI$12*'Key Inputs_New Techs'!$J71</f>
        <v>1.0323</v>
      </c>
      <c r="AL71" s="76">
        <f>'Key Inputs_BY Techs'!AJ$12*'Key Inputs_New Techs'!$J71</f>
        <v>1.0323</v>
      </c>
    </row>
    <row r="72" spans="1:78" x14ac:dyDescent="0.25">
      <c r="C72" s="424"/>
      <c r="D72" s="424"/>
      <c r="E72" s="424"/>
      <c r="F72" s="446"/>
      <c r="G72" s="446"/>
      <c r="H72" s="445">
        <v>2030</v>
      </c>
      <c r="I72" s="134">
        <v>0.98790000000000011</v>
      </c>
      <c r="J72" s="161">
        <v>1.141025641025641</v>
      </c>
      <c r="K72" s="76">
        <f>'Key Inputs_BY Techs'!I$12*'Key Inputs_New Techs'!$J72</f>
        <v>0.98790000000000011</v>
      </c>
      <c r="L72" s="76">
        <f>'Key Inputs_BY Techs'!J$12*'Key Inputs_New Techs'!$J72</f>
        <v>0.98790000000000011</v>
      </c>
      <c r="M72" s="76">
        <f>'Key Inputs_BY Techs'!K$12*'Key Inputs_New Techs'!$J72</f>
        <v>0.98790000000000011</v>
      </c>
      <c r="N72" s="76">
        <f>'Key Inputs_BY Techs'!L$12*'Key Inputs_New Techs'!$J72</f>
        <v>0.98790000000000011</v>
      </c>
      <c r="O72" s="76">
        <f>'Key Inputs_BY Techs'!M$12*'Key Inputs_New Techs'!$J72</f>
        <v>0.98790000000000011</v>
      </c>
      <c r="P72" s="76">
        <f>'Key Inputs_BY Techs'!N$12*'Key Inputs_New Techs'!$J72</f>
        <v>0.98790000000000011</v>
      </c>
      <c r="Q72" s="76">
        <f>'Key Inputs_BY Techs'!O$12*'Key Inputs_New Techs'!$J72</f>
        <v>0.98790000000000011</v>
      </c>
      <c r="R72" s="76">
        <f>'Key Inputs_BY Techs'!P$12*'Key Inputs_New Techs'!$J72</f>
        <v>0.98790000000000011</v>
      </c>
      <c r="S72" s="76">
        <f>'Key Inputs_BY Techs'!Q$12*'Key Inputs_New Techs'!$J72</f>
        <v>0.98790000000000011</v>
      </c>
      <c r="T72" s="76">
        <f>'Key Inputs_BY Techs'!R$12*'Key Inputs_New Techs'!$J72</f>
        <v>0.98790000000000011</v>
      </c>
      <c r="U72" s="76">
        <f>'Key Inputs_BY Techs'!S$12*'Key Inputs_New Techs'!$J72</f>
        <v>0.98790000000000011</v>
      </c>
      <c r="V72" s="76">
        <f>'Key Inputs_BY Techs'!T$12*'Key Inputs_New Techs'!$J72</f>
        <v>0.98790000000000011</v>
      </c>
      <c r="W72" s="76">
        <f>'Key Inputs_BY Techs'!U$12*'Key Inputs_New Techs'!$J72</f>
        <v>0.98790000000000011</v>
      </c>
      <c r="X72" s="76">
        <f>'Key Inputs_BY Techs'!V$12*'Key Inputs_New Techs'!$J72</f>
        <v>0.98790000000000011</v>
      </c>
      <c r="Y72" s="76">
        <f>'Key Inputs_BY Techs'!W$12*'Key Inputs_New Techs'!$J72</f>
        <v>0.98790000000000011</v>
      </c>
      <c r="Z72" s="76">
        <f>'Key Inputs_BY Techs'!X$12*'Key Inputs_New Techs'!$J72</f>
        <v>0.98790000000000011</v>
      </c>
      <c r="AA72" s="76">
        <f>'Key Inputs_BY Techs'!Y$12*'Key Inputs_New Techs'!$J72</f>
        <v>0.98790000000000011</v>
      </c>
      <c r="AB72" s="76">
        <f>'Key Inputs_BY Techs'!Z$12*'Key Inputs_New Techs'!$J72</f>
        <v>0.98790000000000011</v>
      </c>
      <c r="AC72" s="76">
        <f>'Key Inputs_BY Techs'!AA$12*'Key Inputs_New Techs'!$J72</f>
        <v>0.98790000000000011</v>
      </c>
      <c r="AD72" s="76">
        <f>'Key Inputs_BY Techs'!AB$12*'Key Inputs_New Techs'!$J72</f>
        <v>0.98790000000000011</v>
      </c>
      <c r="AE72" s="76">
        <f>'Key Inputs_BY Techs'!AC$12*'Key Inputs_New Techs'!$J72</f>
        <v>0.98790000000000011</v>
      </c>
      <c r="AF72" s="76">
        <f>'Key Inputs_BY Techs'!AD$12*'Key Inputs_New Techs'!$J72</f>
        <v>0.98790000000000011</v>
      </c>
      <c r="AG72" s="76">
        <f>'Key Inputs_BY Techs'!AE$12*'Key Inputs_New Techs'!$J72</f>
        <v>0.98790000000000011</v>
      </c>
      <c r="AH72" s="76">
        <f>'Key Inputs_BY Techs'!AF$12*'Key Inputs_New Techs'!$J72</f>
        <v>0.98790000000000011</v>
      </c>
      <c r="AI72" s="76">
        <f>'Key Inputs_BY Techs'!AG$12*'Key Inputs_New Techs'!$J72</f>
        <v>0.98790000000000011</v>
      </c>
      <c r="AJ72" s="76">
        <f>'Key Inputs_BY Techs'!AH$12*'Key Inputs_New Techs'!$J72</f>
        <v>0.98790000000000011</v>
      </c>
      <c r="AK72" s="76">
        <f>'Key Inputs_BY Techs'!AI$12*'Key Inputs_New Techs'!$J72</f>
        <v>0.98790000000000011</v>
      </c>
      <c r="AL72" s="76">
        <f>'Key Inputs_BY Techs'!AJ$12*'Key Inputs_New Techs'!$J72</f>
        <v>0.98790000000000011</v>
      </c>
    </row>
    <row r="73" spans="1:78" x14ac:dyDescent="0.25">
      <c r="A73" s="424" t="s">
        <v>122</v>
      </c>
      <c r="B73" s="425" t="s">
        <v>543</v>
      </c>
      <c r="C73" s="425" t="s">
        <v>515</v>
      </c>
      <c r="D73" s="425" t="s">
        <v>516</v>
      </c>
      <c r="E73" s="425" t="s">
        <v>273</v>
      </c>
      <c r="F73" s="443">
        <v>2025</v>
      </c>
      <c r="G73" s="443">
        <v>15</v>
      </c>
      <c r="H73" s="445">
        <v>2025</v>
      </c>
      <c r="I73" s="134">
        <v>1.0323</v>
      </c>
      <c r="J73" s="161">
        <v>1</v>
      </c>
      <c r="K73" s="76">
        <f>'Key Inputs_BY Techs'!I$12*'Key Inputs_New Techs'!$J73</f>
        <v>0.86580000000000013</v>
      </c>
      <c r="L73" s="76">
        <f>'Key Inputs_BY Techs'!J$12*'Key Inputs_New Techs'!$J73</f>
        <v>0.86580000000000013</v>
      </c>
      <c r="M73" s="76">
        <f>'Key Inputs_BY Techs'!K$12*'Key Inputs_New Techs'!$J73</f>
        <v>0.86580000000000013</v>
      </c>
      <c r="N73" s="76">
        <f>'Key Inputs_BY Techs'!L$12*'Key Inputs_New Techs'!$J73</f>
        <v>0.86580000000000013</v>
      </c>
      <c r="O73" s="76">
        <f>'Key Inputs_BY Techs'!M$12*'Key Inputs_New Techs'!$J73</f>
        <v>0.86580000000000013</v>
      </c>
      <c r="P73" s="76">
        <f>'Key Inputs_BY Techs'!N$12*'Key Inputs_New Techs'!$J73</f>
        <v>0.86580000000000013</v>
      </c>
      <c r="Q73" s="76">
        <f>'Key Inputs_BY Techs'!O$12*'Key Inputs_New Techs'!$J73</f>
        <v>0.86580000000000013</v>
      </c>
      <c r="R73" s="76">
        <f>'Key Inputs_BY Techs'!P$12*'Key Inputs_New Techs'!$J73</f>
        <v>0.86580000000000013</v>
      </c>
      <c r="S73" s="76">
        <f>'Key Inputs_BY Techs'!Q$12*'Key Inputs_New Techs'!$J73</f>
        <v>0.86580000000000013</v>
      </c>
      <c r="T73" s="76">
        <f>'Key Inputs_BY Techs'!R$12*'Key Inputs_New Techs'!$J73</f>
        <v>0.86580000000000013</v>
      </c>
      <c r="U73" s="76">
        <f>'Key Inputs_BY Techs'!S$12*'Key Inputs_New Techs'!$J73</f>
        <v>0.86580000000000013</v>
      </c>
      <c r="V73" s="76">
        <f>'Key Inputs_BY Techs'!T$12*'Key Inputs_New Techs'!$J73</f>
        <v>0.86580000000000013</v>
      </c>
      <c r="W73" s="76">
        <f>'Key Inputs_BY Techs'!U$12*'Key Inputs_New Techs'!$J73</f>
        <v>0.86580000000000013</v>
      </c>
      <c r="X73" s="76">
        <f>'Key Inputs_BY Techs'!V$12*'Key Inputs_New Techs'!$J73</f>
        <v>0.86580000000000013</v>
      </c>
      <c r="Y73" s="76">
        <f>'Key Inputs_BY Techs'!W$12*'Key Inputs_New Techs'!$J73</f>
        <v>0.86580000000000013</v>
      </c>
      <c r="Z73" s="76">
        <f>'Key Inputs_BY Techs'!X$12*'Key Inputs_New Techs'!$J73</f>
        <v>0.86580000000000013</v>
      </c>
      <c r="AA73" s="76">
        <f>'Key Inputs_BY Techs'!Y$12*'Key Inputs_New Techs'!$J73</f>
        <v>0.86580000000000013</v>
      </c>
      <c r="AB73" s="76">
        <f>'Key Inputs_BY Techs'!Z$12*'Key Inputs_New Techs'!$J73</f>
        <v>0.86580000000000013</v>
      </c>
      <c r="AC73" s="76">
        <f>'Key Inputs_BY Techs'!AA$12*'Key Inputs_New Techs'!$J73</f>
        <v>0.86580000000000013</v>
      </c>
      <c r="AD73" s="76">
        <f>'Key Inputs_BY Techs'!AB$12*'Key Inputs_New Techs'!$J73</f>
        <v>0.86580000000000013</v>
      </c>
      <c r="AE73" s="76">
        <f>'Key Inputs_BY Techs'!AC$12*'Key Inputs_New Techs'!$J73</f>
        <v>0.86580000000000013</v>
      </c>
      <c r="AF73" s="76">
        <f>'Key Inputs_BY Techs'!AD$12*'Key Inputs_New Techs'!$J73</f>
        <v>0.86580000000000013</v>
      </c>
      <c r="AG73" s="76">
        <f>'Key Inputs_BY Techs'!AE$12*'Key Inputs_New Techs'!$J73</f>
        <v>0.86580000000000013</v>
      </c>
      <c r="AH73" s="76">
        <f>'Key Inputs_BY Techs'!AF$12*'Key Inputs_New Techs'!$J73</f>
        <v>0.86580000000000013</v>
      </c>
      <c r="AI73" s="76">
        <f>'Key Inputs_BY Techs'!AG$12*'Key Inputs_New Techs'!$J73</f>
        <v>0.86580000000000013</v>
      </c>
      <c r="AJ73" s="76">
        <f>'Key Inputs_BY Techs'!AH$12*'Key Inputs_New Techs'!$J73</f>
        <v>0.86580000000000013</v>
      </c>
      <c r="AK73" s="76">
        <f>'Key Inputs_BY Techs'!AI$12*'Key Inputs_New Techs'!$J73</f>
        <v>0.86580000000000013</v>
      </c>
      <c r="AL73" s="76">
        <f>'Key Inputs_BY Techs'!AJ$12*'Key Inputs_New Techs'!$J73</f>
        <v>0.86580000000000013</v>
      </c>
    </row>
    <row r="74" spans="1:78" x14ac:dyDescent="0.25">
      <c r="C74" s="424"/>
      <c r="D74" s="424"/>
      <c r="E74" s="424"/>
      <c r="F74" s="446"/>
      <c r="G74" s="446"/>
      <c r="H74" s="445">
        <v>2030</v>
      </c>
      <c r="I74" s="134">
        <v>1.0767000000000002</v>
      </c>
      <c r="J74" s="161">
        <v>1.2435897435897436</v>
      </c>
      <c r="K74" s="76">
        <f>'Key Inputs_BY Techs'!I$12*'Key Inputs_New Techs'!$J74</f>
        <v>1.0767000000000002</v>
      </c>
      <c r="L74" s="76">
        <f>'Key Inputs_BY Techs'!J$12*'Key Inputs_New Techs'!$J74</f>
        <v>1.0767000000000002</v>
      </c>
      <c r="M74" s="76">
        <f>'Key Inputs_BY Techs'!K$12*'Key Inputs_New Techs'!$J74</f>
        <v>1.0767000000000002</v>
      </c>
      <c r="N74" s="76">
        <f>'Key Inputs_BY Techs'!L$12*'Key Inputs_New Techs'!$J74</f>
        <v>1.0767000000000002</v>
      </c>
      <c r="O74" s="76">
        <f>'Key Inputs_BY Techs'!M$12*'Key Inputs_New Techs'!$J74</f>
        <v>1.0767000000000002</v>
      </c>
      <c r="P74" s="76">
        <f>'Key Inputs_BY Techs'!N$12*'Key Inputs_New Techs'!$J74</f>
        <v>1.0767000000000002</v>
      </c>
      <c r="Q74" s="76">
        <f>'Key Inputs_BY Techs'!O$12*'Key Inputs_New Techs'!$J74</f>
        <v>1.0767000000000002</v>
      </c>
      <c r="R74" s="76">
        <f>'Key Inputs_BY Techs'!P$12*'Key Inputs_New Techs'!$J74</f>
        <v>1.0767000000000002</v>
      </c>
      <c r="S74" s="76">
        <f>'Key Inputs_BY Techs'!Q$12*'Key Inputs_New Techs'!$J74</f>
        <v>1.0767000000000002</v>
      </c>
      <c r="T74" s="76">
        <f>'Key Inputs_BY Techs'!R$12*'Key Inputs_New Techs'!$J74</f>
        <v>1.0767000000000002</v>
      </c>
      <c r="U74" s="76">
        <f>'Key Inputs_BY Techs'!S$12*'Key Inputs_New Techs'!$J74</f>
        <v>1.0767000000000002</v>
      </c>
      <c r="V74" s="76">
        <f>'Key Inputs_BY Techs'!T$12*'Key Inputs_New Techs'!$J74</f>
        <v>1.0767000000000002</v>
      </c>
      <c r="W74" s="76">
        <f>'Key Inputs_BY Techs'!U$12*'Key Inputs_New Techs'!$J74</f>
        <v>1.0767000000000002</v>
      </c>
      <c r="X74" s="76">
        <f>'Key Inputs_BY Techs'!V$12*'Key Inputs_New Techs'!$J74</f>
        <v>1.0767000000000002</v>
      </c>
      <c r="Y74" s="76">
        <f>'Key Inputs_BY Techs'!W$12*'Key Inputs_New Techs'!$J74</f>
        <v>1.0767000000000002</v>
      </c>
      <c r="Z74" s="76">
        <f>'Key Inputs_BY Techs'!X$12*'Key Inputs_New Techs'!$J74</f>
        <v>1.0767000000000002</v>
      </c>
      <c r="AA74" s="76">
        <f>'Key Inputs_BY Techs'!Y$12*'Key Inputs_New Techs'!$J74</f>
        <v>1.0767000000000002</v>
      </c>
      <c r="AB74" s="76">
        <f>'Key Inputs_BY Techs'!Z$12*'Key Inputs_New Techs'!$J74</f>
        <v>1.0767000000000002</v>
      </c>
      <c r="AC74" s="76">
        <f>'Key Inputs_BY Techs'!AA$12*'Key Inputs_New Techs'!$J74</f>
        <v>1.0767000000000002</v>
      </c>
      <c r="AD74" s="76">
        <f>'Key Inputs_BY Techs'!AB$12*'Key Inputs_New Techs'!$J74</f>
        <v>1.0767000000000002</v>
      </c>
      <c r="AE74" s="76">
        <f>'Key Inputs_BY Techs'!AC$12*'Key Inputs_New Techs'!$J74</f>
        <v>1.0767000000000002</v>
      </c>
      <c r="AF74" s="76">
        <f>'Key Inputs_BY Techs'!AD$12*'Key Inputs_New Techs'!$J74</f>
        <v>1.0767000000000002</v>
      </c>
      <c r="AG74" s="76">
        <f>'Key Inputs_BY Techs'!AE$12*'Key Inputs_New Techs'!$J74</f>
        <v>1.0767000000000002</v>
      </c>
      <c r="AH74" s="76">
        <f>'Key Inputs_BY Techs'!AF$12*'Key Inputs_New Techs'!$J74</f>
        <v>1.0767000000000002</v>
      </c>
      <c r="AI74" s="76">
        <f>'Key Inputs_BY Techs'!AG$12*'Key Inputs_New Techs'!$J74</f>
        <v>1.0767000000000002</v>
      </c>
      <c r="AJ74" s="76">
        <f>'Key Inputs_BY Techs'!AH$12*'Key Inputs_New Techs'!$J74</f>
        <v>1.0767000000000002</v>
      </c>
      <c r="AK74" s="76">
        <f>'Key Inputs_BY Techs'!AI$12*'Key Inputs_New Techs'!$J74</f>
        <v>1.0767000000000002</v>
      </c>
      <c r="AL74" s="76">
        <f>'Key Inputs_BY Techs'!AJ$12*'Key Inputs_New Techs'!$J74</f>
        <v>1.0767000000000002</v>
      </c>
    </row>
    <row r="75" spans="1:78" x14ac:dyDescent="0.25">
      <c r="A75" s="424" t="s">
        <v>122</v>
      </c>
      <c r="B75" s="425" t="s">
        <v>544</v>
      </c>
      <c r="C75" s="425" t="s">
        <v>515</v>
      </c>
      <c r="D75" s="425" t="s">
        <v>516</v>
      </c>
      <c r="E75" s="425" t="s">
        <v>267</v>
      </c>
      <c r="F75" s="443">
        <v>2020</v>
      </c>
      <c r="G75" s="443">
        <v>15</v>
      </c>
      <c r="H75" s="445">
        <v>2020</v>
      </c>
      <c r="I75" s="134">
        <v>1.3</v>
      </c>
      <c r="J75" s="161">
        <v>1.5015015015015014</v>
      </c>
      <c r="K75" s="76">
        <f>'Key Inputs_BY Techs'!I$12*'Key Inputs_New Techs'!$J75</f>
        <v>1.3</v>
      </c>
      <c r="L75" s="76">
        <f>'Key Inputs_BY Techs'!J$12*'Key Inputs_New Techs'!$J75</f>
        <v>1.3</v>
      </c>
      <c r="M75" s="76">
        <f>'Key Inputs_BY Techs'!K$12*'Key Inputs_New Techs'!$J75</f>
        <v>1.3</v>
      </c>
      <c r="N75" s="76">
        <f>'Key Inputs_BY Techs'!L$12*'Key Inputs_New Techs'!$J75</f>
        <v>1.3</v>
      </c>
      <c r="O75" s="76">
        <f>'Key Inputs_BY Techs'!M$12*'Key Inputs_New Techs'!$J75</f>
        <v>1.3</v>
      </c>
      <c r="P75" s="76">
        <f>'Key Inputs_BY Techs'!N$12*'Key Inputs_New Techs'!$J75</f>
        <v>1.3</v>
      </c>
      <c r="Q75" s="76">
        <f>'Key Inputs_BY Techs'!O$12*'Key Inputs_New Techs'!$J75</f>
        <v>1.3</v>
      </c>
      <c r="R75" s="76">
        <f>'Key Inputs_BY Techs'!P$12*'Key Inputs_New Techs'!$J75</f>
        <v>1.3</v>
      </c>
      <c r="S75" s="76">
        <f>'Key Inputs_BY Techs'!Q$12*'Key Inputs_New Techs'!$J75</f>
        <v>1.3</v>
      </c>
      <c r="T75" s="76">
        <f>'Key Inputs_BY Techs'!R$12*'Key Inputs_New Techs'!$J75</f>
        <v>1.3</v>
      </c>
      <c r="U75" s="76">
        <f>'Key Inputs_BY Techs'!S$12*'Key Inputs_New Techs'!$J75</f>
        <v>1.3</v>
      </c>
      <c r="V75" s="76">
        <f>'Key Inputs_BY Techs'!T$12*'Key Inputs_New Techs'!$J75</f>
        <v>1.3</v>
      </c>
      <c r="W75" s="76">
        <f>'Key Inputs_BY Techs'!U$12*'Key Inputs_New Techs'!$J75</f>
        <v>1.3</v>
      </c>
      <c r="X75" s="76">
        <f>'Key Inputs_BY Techs'!V$12*'Key Inputs_New Techs'!$J75</f>
        <v>1.3</v>
      </c>
      <c r="Y75" s="76">
        <f>'Key Inputs_BY Techs'!W$12*'Key Inputs_New Techs'!$J75</f>
        <v>1.3</v>
      </c>
      <c r="Z75" s="76">
        <f>'Key Inputs_BY Techs'!X$12*'Key Inputs_New Techs'!$J75</f>
        <v>1.3</v>
      </c>
      <c r="AA75" s="76">
        <f>'Key Inputs_BY Techs'!Y$12*'Key Inputs_New Techs'!$J75</f>
        <v>1.3</v>
      </c>
      <c r="AB75" s="76">
        <f>'Key Inputs_BY Techs'!Z$12*'Key Inputs_New Techs'!$J75</f>
        <v>1.3</v>
      </c>
      <c r="AC75" s="76">
        <f>'Key Inputs_BY Techs'!AA$12*'Key Inputs_New Techs'!$J75</f>
        <v>1.3</v>
      </c>
      <c r="AD75" s="76">
        <f>'Key Inputs_BY Techs'!AB$12*'Key Inputs_New Techs'!$J75</f>
        <v>1.3</v>
      </c>
      <c r="AE75" s="76">
        <f>'Key Inputs_BY Techs'!AC$12*'Key Inputs_New Techs'!$J75</f>
        <v>1.3</v>
      </c>
      <c r="AF75" s="76">
        <f>'Key Inputs_BY Techs'!AD$12*'Key Inputs_New Techs'!$J75</f>
        <v>1.3</v>
      </c>
      <c r="AG75" s="76">
        <f>'Key Inputs_BY Techs'!AE$12*'Key Inputs_New Techs'!$J75</f>
        <v>1.3</v>
      </c>
      <c r="AH75" s="76">
        <f>'Key Inputs_BY Techs'!AF$12*'Key Inputs_New Techs'!$J75</f>
        <v>1.3</v>
      </c>
      <c r="AI75" s="76">
        <f>'Key Inputs_BY Techs'!AG$12*'Key Inputs_New Techs'!$J75</f>
        <v>1.3</v>
      </c>
      <c r="AJ75" s="76">
        <f>'Key Inputs_BY Techs'!AH$12*'Key Inputs_New Techs'!$J75</f>
        <v>1.3</v>
      </c>
      <c r="AK75" s="76">
        <f>'Key Inputs_BY Techs'!AI$12*'Key Inputs_New Techs'!$J75</f>
        <v>1.3</v>
      </c>
      <c r="AL75" s="76">
        <f>'Key Inputs_BY Techs'!AJ$12*'Key Inputs_New Techs'!$J75</f>
        <v>1.3</v>
      </c>
    </row>
    <row r="76" spans="1:78" x14ac:dyDescent="0.25">
      <c r="A76" s="424" t="s">
        <v>122</v>
      </c>
      <c r="B76" s="425" t="s">
        <v>545</v>
      </c>
      <c r="C76" s="425" t="s">
        <v>515</v>
      </c>
      <c r="D76" s="425" t="s">
        <v>516</v>
      </c>
      <c r="E76" s="425" t="s">
        <v>268</v>
      </c>
      <c r="F76" s="443">
        <v>2025</v>
      </c>
      <c r="G76" s="443">
        <v>15</v>
      </c>
      <c r="H76" s="445">
        <v>2025</v>
      </c>
      <c r="I76" s="134">
        <v>1.3</v>
      </c>
      <c r="J76" s="161">
        <v>1.5015015015015014</v>
      </c>
      <c r="K76" s="76">
        <f>'Key Inputs_BY Techs'!I$12*'Key Inputs_New Techs'!$J76</f>
        <v>1.3</v>
      </c>
      <c r="L76" s="76">
        <f>'Key Inputs_BY Techs'!J$12*'Key Inputs_New Techs'!$J76</f>
        <v>1.3</v>
      </c>
      <c r="M76" s="76">
        <f>'Key Inputs_BY Techs'!K$12*'Key Inputs_New Techs'!$J76</f>
        <v>1.3</v>
      </c>
      <c r="N76" s="76">
        <f>'Key Inputs_BY Techs'!L$12*'Key Inputs_New Techs'!$J76</f>
        <v>1.3</v>
      </c>
      <c r="O76" s="76">
        <f>'Key Inputs_BY Techs'!M$12*'Key Inputs_New Techs'!$J76</f>
        <v>1.3</v>
      </c>
      <c r="P76" s="76">
        <f>'Key Inputs_BY Techs'!N$12*'Key Inputs_New Techs'!$J76</f>
        <v>1.3</v>
      </c>
      <c r="Q76" s="76">
        <f>'Key Inputs_BY Techs'!O$12*'Key Inputs_New Techs'!$J76</f>
        <v>1.3</v>
      </c>
      <c r="R76" s="76">
        <f>'Key Inputs_BY Techs'!P$12*'Key Inputs_New Techs'!$J76</f>
        <v>1.3</v>
      </c>
      <c r="S76" s="76">
        <f>'Key Inputs_BY Techs'!Q$12*'Key Inputs_New Techs'!$J76</f>
        <v>1.3</v>
      </c>
      <c r="T76" s="76">
        <f>'Key Inputs_BY Techs'!R$12*'Key Inputs_New Techs'!$J76</f>
        <v>1.3</v>
      </c>
      <c r="U76" s="76">
        <f>'Key Inputs_BY Techs'!S$12*'Key Inputs_New Techs'!$J76</f>
        <v>1.3</v>
      </c>
      <c r="V76" s="76">
        <f>'Key Inputs_BY Techs'!T$12*'Key Inputs_New Techs'!$J76</f>
        <v>1.3</v>
      </c>
      <c r="W76" s="76">
        <f>'Key Inputs_BY Techs'!U$12*'Key Inputs_New Techs'!$J76</f>
        <v>1.3</v>
      </c>
      <c r="X76" s="76">
        <f>'Key Inputs_BY Techs'!V$12*'Key Inputs_New Techs'!$J76</f>
        <v>1.3</v>
      </c>
      <c r="Y76" s="76">
        <f>'Key Inputs_BY Techs'!W$12*'Key Inputs_New Techs'!$J76</f>
        <v>1.3</v>
      </c>
      <c r="Z76" s="76">
        <f>'Key Inputs_BY Techs'!X$12*'Key Inputs_New Techs'!$J76</f>
        <v>1.3</v>
      </c>
      <c r="AA76" s="76">
        <f>'Key Inputs_BY Techs'!Y$12*'Key Inputs_New Techs'!$J76</f>
        <v>1.3</v>
      </c>
      <c r="AB76" s="76">
        <f>'Key Inputs_BY Techs'!Z$12*'Key Inputs_New Techs'!$J76</f>
        <v>1.3</v>
      </c>
      <c r="AC76" s="76">
        <f>'Key Inputs_BY Techs'!AA$12*'Key Inputs_New Techs'!$J76</f>
        <v>1.3</v>
      </c>
      <c r="AD76" s="76">
        <f>'Key Inputs_BY Techs'!AB$12*'Key Inputs_New Techs'!$J76</f>
        <v>1.3</v>
      </c>
      <c r="AE76" s="76">
        <f>'Key Inputs_BY Techs'!AC$12*'Key Inputs_New Techs'!$J76</f>
        <v>1.3</v>
      </c>
      <c r="AF76" s="76">
        <f>'Key Inputs_BY Techs'!AD$12*'Key Inputs_New Techs'!$J76</f>
        <v>1.3</v>
      </c>
      <c r="AG76" s="76">
        <f>'Key Inputs_BY Techs'!AE$12*'Key Inputs_New Techs'!$J76</f>
        <v>1.3</v>
      </c>
      <c r="AH76" s="76">
        <f>'Key Inputs_BY Techs'!AF$12*'Key Inputs_New Techs'!$J76</f>
        <v>1.3</v>
      </c>
      <c r="AI76" s="76">
        <f>'Key Inputs_BY Techs'!AG$12*'Key Inputs_New Techs'!$J76</f>
        <v>1.3</v>
      </c>
      <c r="AJ76" s="76">
        <f>'Key Inputs_BY Techs'!AH$12*'Key Inputs_New Techs'!$J76</f>
        <v>1.3</v>
      </c>
      <c r="AK76" s="76">
        <f>'Key Inputs_BY Techs'!AI$12*'Key Inputs_New Techs'!$J76</f>
        <v>1.3</v>
      </c>
      <c r="AL76" s="76">
        <f>'Key Inputs_BY Techs'!AJ$12*'Key Inputs_New Techs'!$J76</f>
        <v>1.3</v>
      </c>
    </row>
    <row r="77" spans="1:78" x14ac:dyDescent="0.25">
      <c r="C77" s="424"/>
      <c r="D77" s="424"/>
      <c r="E77" s="424"/>
      <c r="F77" s="446"/>
      <c r="G77" s="446"/>
      <c r="H77" s="445">
        <v>2030</v>
      </c>
      <c r="I77" s="134">
        <v>1.6140000000000003</v>
      </c>
      <c r="J77" s="161">
        <v>1.8641718641718643</v>
      </c>
      <c r="K77" s="76">
        <f>'Key Inputs_BY Techs'!I$12*'Key Inputs_New Techs'!$J77</f>
        <v>1.6140000000000003</v>
      </c>
      <c r="L77" s="76">
        <f>'Key Inputs_BY Techs'!J$12*'Key Inputs_New Techs'!$J77</f>
        <v>1.6140000000000003</v>
      </c>
      <c r="M77" s="76">
        <f>'Key Inputs_BY Techs'!K$12*'Key Inputs_New Techs'!$J77</f>
        <v>1.6140000000000003</v>
      </c>
      <c r="N77" s="76">
        <f>'Key Inputs_BY Techs'!L$12*'Key Inputs_New Techs'!$J77</f>
        <v>1.6140000000000003</v>
      </c>
      <c r="O77" s="76">
        <f>'Key Inputs_BY Techs'!M$12*'Key Inputs_New Techs'!$J77</f>
        <v>1.6140000000000003</v>
      </c>
      <c r="P77" s="76">
        <f>'Key Inputs_BY Techs'!N$12*'Key Inputs_New Techs'!$J77</f>
        <v>1.6140000000000003</v>
      </c>
      <c r="Q77" s="76">
        <f>'Key Inputs_BY Techs'!O$12*'Key Inputs_New Techs'!$J77</f>
        <v>1.6140000000000003</v>
      </c>
      <c r="R77" s="76">
        <f>'Key Inputs_BY Techs'!P$12*'Key Inputs_New Techs'!$J77</f>
        <v>1.6140000000000003</v>
      </c>
      <c r="S77" s="76">
        <f>'Key Inputs_BY Techs'!Q$12*'Key Inputs_New Techs'!$J77</f>
        <v>1.6140000000000003</v>
      </c>
      <c r="T77" s="76">
        <f>'Key Inputs_BY Techs'!R$12*'Key Inputs_New Techs'!$J77</f>
        <v>1.6140000000000003</v>
      </c>
      <c r="U77" s="76">
        <f>'Key Inputs_BY Techs'!S$12*'Key Inputs_New Techs'!$J77</f>
        <v>1.6140000000000003</v>
      </c>
      <c r="V77" s="76">
        <f>'Key Inputs_BY Techs'!T$12*'Key Inputs_New Techs'!$J77</f>
        <v>1.6140000000000003</v>
      </c>
      <c r="W77" s="76">
        <f>'Key Inputs_BY Techs'!U$12*'Key Inputs_New Techs'!$J77</f>
        <v>1.6140000000000003</v>
      </c>
      <c r="X77" s="76">
        <f>'Key Inputs_BY Techs'!V$12*'Key Inputs_New Techs'!$J77</f>
        <v>1.6140000000000003</v>
      </c>
      <c r="Y77" s="76">
        <f>'Key Inputs_BY Techs'!W$12*'Key Inputs_New Techs'!$J77</f>
        <v>1.6140000000000003</v>
      </c>
      <c r="Z77" s="76">
        <f>'Key Inputs_BY Techs'!X$12*'Key Inputs_New Techs'!$J77</f>
        <v>1.6140000000000003</v>
      </c>
      <c r="AA77" s="76">
        <f>'Key Inputs_BY Techs'!Y$12*'Key Inputs_New Techs'!$J77</f>
        <v>1.6140000000000003</v>
      </c>
      <c r="AB77" s="76">
        <f>'Key Inputs_BY Techs'!Z$12*'Key Inputs_New Techs'!$J77</f>
        <v>1.6140000000000003</v>
      </c>
      <c r="AC77" s="76">
        <f>'Key Inputs_BY Techs'!AA$12*'Key Inputs_New Techs'!$J77</f>
        <v>1.6140000000000003</v>
      </c>
      <c r="AD77" s="76">
        <f>'Key Inputs_BY Techs'!AB$12*'Key Inputs_New Techs'!$J77</f>
        <v>1.6140000000000003</v>
      </c>
      <c r="AE77" s="76">
        <f>'Key Inputs_BY Techs'!AC$12*'Key Inputs_New Techs'!$J77</f>
        <v>1.6140000000000003</v>
      </c>
      <c r="AF77" s="76">
        <f>'Key Inputs_BY Techs'!AD$12*'Key Inputs_New Techs'!$J77</f>
        <v>1.6140000000000003</v>
      </c>
      <c r="AG77" s="76">
        <f>'Key Inputs_BY Techs'!AE$12*'Key Inputs_New Techs'!$J77</f>
        <v>1.6140000000000003</v>
      </c>
      <c r="AH77" s="76">
        <f>'Key Inputs_BY Techs'!AF$12*'Key Inputs_New Techs'!$J77</f>
        <v>1.6140000000000003</v>
      </c>
      <c r="AI77" s="76">
        <f>'Key Inputs_BY Techs'!AG$12*'Key Inputs_New Techs'!$J77</f>
        <v>1.6140000000000003</v>
      </c>
      <c r="AJ77" s="76">
        <f>'Key Inputs_BY Techs'!AH$12*'Key Inputs_New Techs'!$J77</f>
        <v>1.6140000000000003</v>
      </c>
      <c r="AK77" s="76">
        <f>'Key Inputs_BY Techs'!AI$12*'Key Inputs_New Techs'!$J77</f>
        <v>1.6140000000000003</v>
      </c>
      <c r="AL77" s="76">
        <f>'Key Inputs_BY Techs'!AJ$12*'Key Inputs_New Techs'!$J77</f>
        <v>1.6140000000000003</v>
      </c>
    </row>
    <row r="78" spans="1:78" x14ac:dyDescent="0.25">
      <c r="B78" s="425"/>
      <c r="F78" s="443"/>
      <c r="G78" s="443"/>
      <c r="H78" s="445">
        <v>2050</v>
      </c>
      <c r="I78" s="134">
        <v>1.9618181818181823</v>
      </c>
      <c r="J78" s="161">
        <v>2.2659022659022661</v>
      </c>
      <c r="K78" s="76">
        <f>'Key Inputs_BY Techs'!I$12*'Key Inputs_New Techs'!$J78</f>
        <v>1.9618181818181823</v>
      </c>
      <c r="L78" s="76">
        <f>'Key Inputs_BY Techs'!J$12*'Key Inputs_New Techs'!$J78</f>
        <v>1.9618181818181823</v>
      </c>
      <c r="M78" s="76">
        <f>'Key Inputs_BY Techs'!K$12*'Key Inputs_New Techs'!$J78</f>
        <v>1.9618181818181823</v>
      </c>
      <c r="N78" s="76">
        <f>'Key Inputs_BY Techs'!L$12*'Key Inputs_New Techs'!$J78</f>
        <v>1.9618181818181823</v>
      </c>
      <c r="O78" s="76">
        <f>'Key Inputs_BY Techs'!M$12*'Key Inputs_New Techs'!$J78</f>
        <v>1.9618181818181823</v>
      </c>
      <c r="P78" s="76">
        <f>'Key Inputs_BY Techs'!N$12*'Key Inputs_New Techs'!$J78</f>
        <v>1.9618181818181823</v>
      </c>
      <c r="Q78" s="76">
        <f>'Key Inputs_BY Techs'!O$12*'Key Inputs_New Techs'!$J78</f>
        <v>1.9618181818181823</v>
      </c>
      <c r="R78" s="76">
        <f>'Key Inputs_BY Techs'!P$12*'Key Inputs_New Techs'!$J78</f>
        <v>1.9618181818181823</v>
      </c>
      <c r="S78" s="76">
        <f>'Key Inputs_BY Techs'!Q$12*'Key Inputs_New Techs'!$J78</f>
        <v>1.9618181818181823</v>
      </c>
      <c r="T78" s="76">
        <f>'Key Inputs_BY Techs'!R$12*'Key Inputs_New Techs'!$J78</f>
        <v>1.9618181818181823</v>
      </c>
      <c r="U78" s="76">
        <f>'Key Inputs_BY Techs'!S$12*'Key Inputs_New Techs'!$J78</f>
        <v>1.9618181818181823</v>
      </c>
      <c r="V78" s="76">
        <f>'Key Inputs_BY Techs'!T$12*'Key Inputs_New Techs'!$J78</f>
        <v>1.9618181818181823</v>
      </c>
      <c r="W78" s="76">
        <f>'Key Inputs_BY Techs'!U$12*'Key Inputs_New Techs'!$J78</f>
        <v>1.9618181818181823</v>
      </c>
      <c r="X78" s="76">
        <f>'Key Inputs_BY Techs'!V$12*'Key Inputs_New Techs'!$J78</f>
        <v>1.9618181818181823</v>
      </c>
      <c r="Y78" s="76">
        <f>'Key Inputs_BY Techs'!W$12*'Key Inputs_New Techs'!$J78</f>
        <v>1.9618181818181823</v>
      </c>
      <c r="Z78" s="76">
        <f>'Key Inputs_BY Techs'!X$12*'Key Inputs_New Techs'!$J78</f>
        <v>1.9618181818181823</v>
      </c>
      <c r="AA78" s="76">
        <f>'Key Inputs_BY Techs'!Y$12*'Key Inputs_New Techs'!$J78</f>
        <v>1.9618181818181823</v>
      </c>
      <c r="AB78" s="76">
        <f>'Key Inputs_BY Techs'!Z$12*'Key Inputs_New Techs'!$J78</f>
        <v>1.9618181818181823</v>
      </c>
      <c r="AC78" s="76">
        <f>'Key Inputs_BY Techs'!AA$12*'Key Inputs_New Techs'!$J78</f>
        <v>1.9618181818181823</v>
      </c>
      <c r="AD78" s="76">
        <f>'Key Inputs_BY Techs'!AB$12*'Key Inputs_New Techs'!$J78</f>
        <v>1.9618181818181823</v>
      </c>
      <c r="AE78" s="76">
        <f>'Key Inputs_BY Techs'!AC$12*'Key Inputs_New Techs'!$J78</f>
        <v>1.9618181818181823</v>
      </c>
      <c r="AF78" s="76">
        <f>'Key Inputs_BY Techs'!AD$12*'Key Inputs_New Techs'!$J78</f>
        <v>1.9618181818181823</v>
      </c>
      <c r="AG78" s="76">
        <f>'Key Inputs_BY Techs'!AE$12*'Key Inputs_New Techs'!$J78</f>
        <v>1.9618181818181823</v>
      </c>
      <c r="AH78" s="76">
        <f>'Key Inputs_BY Techs'!AF$12*'Key Inputs_New Techs'!$J78</f>
        <v>1.9618181818181823</v>
      </c>
      <c r="AI78" s="76">
        <f>'Key Inputs_BY Techs'!AG$12*'Key Inputs_New Techs'!$J78</f>
        <v>1.9618181818181823</v>
      </c>
      <c r="AJ78" s="76">
        <f>'Key Inputs_BY Techs'!AH$12*'Key Inputs_New Techs'!$J78</f>
        <v>1.9618181818181823</v>
      </c>
      <c r="AK78" s="76">
        <f>'Key Inputs_BY Techs'!AI$12*'Key Inputs_New Techs'!$J78</f>
        <v>1.9618181818181823</v>
      </c>
      <c r="AL78" s="76">
        <f>'Key Inputs_BY Techs'!AJ$12*'Key Inputs_New Techs'!$J78</f>
        <v>1.9618181818181823</v>
      </c>
    </row>
    <row r="79" spans="1:78" x14ac:dyDescent="0.25">
      <c r="A79" s="424" t="s">
        <v>122</v>
      </c>
      <c r="B79" s="425" t="s">
        <v>546</v>
      </c>
      <c r="C79" s="425" t="s">
        <v>515</v>
      </c>
      <c r="D79" s="425" t="s">
        <v>516</v>
      </c>
      <c r="E79" s="425" t="s">
        <v>269</v>
      </c>
      <c r="F79" s="443">
        <v>2030</v>
      </c>
      <c r="G79" s="443">
        <v>15</v>
      </c>
      <c r="H79" s="445">
        <v>2030</v>
      </c>
      <c r="I79" s="134">
        <v>1.7806060606060605</v>
      </c>
      <c r="J79" s="161">
        <v>2.0566020566020562</v>
      </c>
      <c r="K79" s="76">
        <f>'Key Inputs_BY Techs'!I$12*'Key Inputs_New Techs'!$J79</f>
        <v>1.7806060606060605</v>
      </c>
      <c r="L79" s="76">
        <f>'Key Inputs_BY Techs'!J$12*'Key Inputs_New Techs'!$J79</f>
        <v>1.7806060606060605</v>
      </c>
      <c r="M79" s="76">
        <f>'Key Inputs_BY Techs'!K$12*'Key Inputs_New Techs'!$J79</f>
        <v>1.7806060606060605</v>
      </c>
      <c r="N79" s="76">
        <f>'Key Inputs_BY Techs'!L$12*'Key Inputs_New Techs'!$J79</f>
        <v>1.7806060606060605</v>
      </c>
      <c r="O79" s="76">
        <f>'Key Inputs_BY Techs'!M$12*'Key Inputs_New Techs'!$J79</f>
        <v>1.7806060606060605</v>
      </c>
      <c r="P79" s="76">
        <f>'Key Inputs_BY Techs'!N$12*'Key Inputs_New Techs'!$J79</f>
        <v>1.7806060606060605</v>
      </c>
      <c r="Q79" s="76">
        <f>'Key Inputs_BY Techs'!O$12*'Key Inputs_New Techs'!$J79</f>
        <v>1.7806060606060605</v>
      </c>
      <c r="R79" s="76">
        <f>'Key Inputs_BY Techs'!P$12*'Key Inputs_New Techs'!$J79</f>
        <v>1.7806060606060605</v>
      </c>
      <c r="S79" s="76">
        <f>'Key Inputs_BY Techs'!Q$12*'Key Inputs_New Techs'!$J79</f>
        <v>1.7806060606060605</v>
      </c>
      <c r="T79" s="76">
        <f>'Key Inputs_BY Techs'!R$12*'Key Inputs_New Techs'!$J79</f>
        <v>1.7806060606060605</v>
      </c>
      <c r="U79" s="76">
        <f>'Key Inputs_BY Techs'!S$12*'Key Inputs_New Techs'!$J79</f>
        <v>1.7806060606060605</v>
      </c>
      <c r="V79" s="76">
        <f>'Key Inputs_BY Techs'!T$12*'Key Inputs_New Techs'!$J79</f>
        <v>1.7806060606060605</v>
      </c>
      <c r="W79" s="76">
        <f>'Key Inputs_BY Techs'!U$12*'Key Inputs_New Techs'!$J79</f>
        <v>1.7806060606060605</v>
      </c>
      <c r="X79" s="76">
        <f>'Key Inputs_BY Techs'!V$12*'Key Inputs_New Techs'!$J79</f>
        <v>1.7806060606060605</v>
      </c>
      <c r="Y79" s="76">
        <f>'Key Inputs_BY Techs'!W$12*'Key Inputs_New Techs'!$J79</f>
        <v>1.7806060606060605</v>
      </c>
      <c r="Z79" s="76">
        <f>'Key Inputs_BY Techs'!X$12*'Key Inputs_New Techs'!$J79</f>
        <v>1.7806060606060605</v>
      </c>
      <c r="AA79" s="76">
        <f>'Key Inputs_BY Techs'!Y$12*'Key Inputs_New Techs'!$J79</f>
        <v>1.7806060606060605</v>
      </c>
      <c r="AB79" s="76">
        <f>'Key Inputs_BY Techs'!Z$12*'Key Inputs_New Techs'!$J79</f>
        <v>1.7806060606060605</v>
      </c>
      <c r="AC79" s="76">
        <f>'Key Inputs_BY Techs'!AA$12*'Key Inputs_New Techs'!$J79</f>
        <v>1.7806060606060605</v>
      </c>
      <c r="AD79" s="76">
        <f>'Key Inputs_BY Techs'!AB$12*'Key Inputs_New Techs'!$J79</f>
        <v>1.7806060606060605</v>
      </c>
      <c r="AE79" s="76">
        <f>'Key Inputs_BY Techs'!AC$12*'Key Inputs_New Techs'!$J79</f>
        <v>1.7806060606060605</v>
      </c>
      <c r="AF79" s="76">
        <f>'Key Inputs_BY Techs'!AD$12*'Key Inputs_New Techs'!$J79</f>
        <v>1.7806060606060605</v>
      </c>
      <c r="AG79" s="76">
        <f>'Key Inputs_BY Techs'!AE$12*'Key Inputs_New Techs'!$J79</f>
        <v>1.7806060606060605</v>
      </c>
      <c r="AH79" s="76">
        <f>'Key Inputs_BY Techs'!AF$12*'Key Inputs_New Techs'!$J79</f>
        <v>1.7806060606060605</v>
      </c>
      <c r="AI79" s="76">
        <f>'Key Inputs_BY Techs'!AG$12*'Key Inputs_New Techs'!$J79</f>
        <v>1.7806060606060605</v>
      </c>
      <c r="AJ79" s="76">
        <f>'Key Inputs_BY Techs'!AH$12*'Key Inputs_New Techs'!$J79</f>
        <v>1.7806060606060605</v>
      </c>
      <c r="AK79" s="76">
        <f>'Key Inputs_BY Techs'!AI$12*'Key Inputs_New Techs'!$J79</f>
        <v>1.7806060606060605</v>
      </c>
      <c r="AL79" s="76">
        <f>'Key Inputs_BY Techs'!AJ$12*'Key Inputs_New Techs'!$J79</f>
        <v>1.7806060606060605</v>
      </c>
    </row>
    <row r="80" spans="1:78" x14ac:dyDescent="0.25">
      <c r="B80" s="425"/>
      <c r="F80" s="443"/>
      <c r="G80" s="443"/>
      <c r="H80" s="445">
        <v>2050</v>
      </c>
      <c r="I80" s="134">
        <v>2.1440557223015881</v>
      </c>
      <c r="J80" s="161">
        <v>2.4763868356451697</v>
      </c>
      <c r="K80" s="76">
        <f>'Key Inputs_BY Techs'!I$12*'Key Inputs_New Techs'!$J80</f>
        <v>2.1440557223015881</v>
      </c>
      <c r="L80" s="76">
        <f>'Key Inputs_BY Techs'!J$12*'Key Inputs_New Techs'!$J80</f>
        <v>2.1440557223015881</v>
      </c>
      <c r="M80" s="76">
        <f>'Key Inputs_BY Techs'!K$12*'Key Inputs_New Techs'!$J80</f>
        <v>2.1440557223015881</v>
      </c>
      <c r="N80" s="76">
        <f>'Key Inputs_BY Techs'!L$12*'Key Inputs_New Techs'!$J80</f>
        <v>2.1440557223015881</v>
      </c>
      <c r="O80" s="76">
        <f>'Key Inputs_BY Techs'!M$12*'Key Inputs_New Techs'!$J80</f>
        <v>2.1440557223015881</v>
      </c>
      <c r="P80" s="76">
        <f>'Key Inputs_BY Techs'!N$12*'Key Inputs_New Techs'!$J80</f>
        <v>2.1440557223015881</v>
      </c>
      <c r="Q80" s="76">
        <f>'Key Inputs_BY Techs'!O$12*'Key Inputs_New Techs'!$J80</f>
        <v>2.1440557223015881</v>
      </c>
      <c r="R80" s="76">
        <f>'Key Inputs_BY Techs'!P$12*'Key Inputs_New Techs'!$J80</f>
        <v>2.1440557223015881</v>
      </c>
      <c r="S80" s="76">
        <f>'Key Inputs_BY Techs'!Q$12*'Key Inputs_New Techs'!$J80</f>
        <v>2.1440557223015881</v>
      </c>
      <c r="T80" s="76">
        <f>'Key Inputs_BY Techs'!R$12*'Key Inputs_New Techs'!$J80</f>
        <v>2.1440557223015881</v>
      </c>
      <c r="U80" s="76">
        <f>'Key Inputs_BY Techs'!S$12*'Key Inputs_New Techs'!$J80</f>
        <v>2.1440557223015881</v>
      </c>
      <c r="V80" s="76">
        <f>'Key Inputs_BY Techs'!T$12*'Key Inputs_New Techs'!$J80</f>
        <v>2.1440557223015881</v>
      </c>
      <c r="W80" s="76">
        <f>'Key Inputs_BY Techs'!U$12*'Key Inputs_New Techs'!$J80</f>
        <v>2.1440557223015881</v>
      </c>
      <c r="X80" s="76">
        <f>'Key Inputs_BY Techs'!V$12*'Key Inputs_New Techs'!$J80</f>
        <v>2.1440557223015881</v>
      </c>
      <c r="Y80" s="76">
        <f>'Key Inputs_BY Techs'!W$12*'Key Inputs_New Techs'!$J80</f>
        <v>2.1440557223015881</v>
      </c>
      <c r="Z80" s="76">
        <f>'Key Inputs_BY Techs'!X$12*'Key Inputs_New Techs'!$J80</f>
        <v>2.1440557223015881</v>
      </c>
      <c r="AA80" s="76">
        <f>'Key Inputs_BY Techs'!Y$12*'Key Inputs_New Techs'!$J80</f>
        <v>2.1440557223015881</v>
      </c>
      <c r="AB80" s="76">
        <f>'Key Inputs_BY Techs'!Z$12*'Key Inputs_New Techs'!$J80</f>
        <v>2.1440557223015881</v>
      </c>
      <c r="AC80" s="76">
        <f>'Key Inputs_BY Techs'!AA$12*'Key Inputs_New Techs'!$J80</f>
        <v>2.1440557223015881</v>
      </c>
      <c r="AD80" s="76">
        <f>'Key Inputs_BY Techs'!AB$12*'Key Inputs_New Techs'!$J80</f>
        <v>2.1440557223015881</v>
      </c>
      <c r="AE80" s="76">
        <f>'Key Inputs_BY Techs'!AC$12*'Key Inputs_New Techs'!$J80</f>
        <v>2.1440557223015881</v>
      </c>
      <c r="AF80" s="76">
        <f>'Key Inputs_BY Techs'!AD$12*'Key Inputs_New Techs'!$J80</f>
        <v>2.1440557223015881</v>
      </c>
      <c r="AG80" s="76">
        <f>'Key Inputs_BY Techs'!AE$12*'Key Inputs_New Techs'!$J80</f>
        <v>2.1440557223015881</v>
      </c>
      <c r="AH80" s="76">
        <f>'Key Inputs_BY Techs'!AF$12*'Key Inputs_New Techs'!$J80</f>
        <v>2.1440557223015881</v>
      </c>
      <c r="AI80" s="76">
        <f>'Key Inputs_BY Techs'!AG$12*'Key Inputs_New Techs'!$J80</f>
        <v>2.1440557223015881</v>
      </c>
      <c r="AJ80" s="76">
        <f>'Key Inputs_BY Techs'!AH$12*'Key Inputs_New Techs'!$J80</f>
        <v>2.1440557223015881</v>
      </c>
      <c r="AK80" s="76">
        <f>'Key Inputs_BY Techs'!AI$12*'Key Inputs_New Techs'!$J80</f>
        <v>2.1440557223015881</v>
      </c>
      <c r="AL80" s="76">
        <f>'Key Inputs_BY Techs'!AJ$12*'Key Inputs_New Techs'!$J80</f>
        <v>2.1440557223015881</v>
      </c>
    </row>
    <row r="81" spans="1:51" x14ac:dyDescent="0.25">
      <c r="A81" s="424" t="s">
        <v>122</v>
      </c>
      <c r="B81" s="425" t="s">
        <v>547</v>
      </c>
      <c r="C81" s="425" t="s">
        <v>19</v>
      </c>
      <c r="D81" s="425" t="s">
        <v>105</v>
      </c>
      <c r="E81" s="425" t="s">
        <v>243</v>
      </c>
      <c r="F81" s="443">
        <v>2020</v>
      </c>
      <c r="G81" s="444">
        <v>15</v>
      </c>
      <c r="H81" s="445">
        <v>2020</v>
      </c>
      <c r="I81" s="134">
        <v>3.6</v>
      </c>
      <c r="J81" s="161">
        <v>1.5138966516450421</v>
      </c>
      <c r="K81" s="76">
        <f>'Key Inputs_BY Techs'!I$23*'Key Inputs_New Techs'!$J81</f>
        <v>1.0948635097454591</v>
      </c>
      <c r="L81" s="76">
        <f>'Key Inputs_BY Techs'!J$23*'Key Inputs_New Techs'!$J81</f>
        <v>1.0948635097454591</v>
      </c>
      <c r="M81" s="76">
        <f>'Key Inputs_BY Techs'!K$23*'Key Inputs_New Techs'!$J81</f>
        <v>1.0948635097454591</v>
      </c>
      <c r="N81" s="76">
        <f>'Key Inputs_BY Techs'!L$23*'Key Inputs_New Techs'!$J81</f>
        <v>1.0948635097454591</v>
      </c>
      <c r="O81" s="76">
        <f>'Key Inputs_BY Techs'!M$23*'Key Inputs_New Techs'!$J81</f>
        <v>1.0948635097454591</v>
      </c>
      <c r="P81" s="76">
        <f>'Key Inputs_BY Techs'!N$23*'Key Inputs_New Techs'!$J81</f>
        <v>1.0948635097454591</v>
      </c>
      <c r="Q81" s="76">
        <f>'Key Inputs_BY Techs'!O$23*'Key Inputs_New Techs'!$J81</f>
        <v>1.0948635097454591</v>
      </c>
      <c r="R81" s="76">
        <f>'Key Inputs_BY Techs'!P$23*'Key Inputs_New Techs'!$J81</f>
        <v>1.0948635097454591</v>
      </c>
      <c r="S81" s="76">
        <f>'Key Inputs_BY Techs'!Q$23*'Key Inputs_New Techs'!$J81</f>
        <v>1.0948635097454591</v>
      </c>
      <c r="T81" s="76">
        <f>'Key Inputs_BY Techs'!R$23*'Key Inputs_New Techs'!$J81</f>
        <v>1.0948635097454591</v>
      </c>
      <c r="U81" s="76">
        <f>'Key Inputs_BY Techs'!S$23*'Key Inputs_New Techs'!$J81</f>
        <v>1.0948635097454591</v>
      </c>
      <c r="V81" s="76">
        <f>'Key Inputs_BY Techs'!T$23*'Key Inputs_New Techs'!$J81</f>
        <v>1.0948635097454591</v>
      </c>
      <c r="W81" s="76">
        <f>'Key Inputs_BY Techs'!U$23*'Key Inputs_New Techs'!$J81</f>
        <v>1.0948635097454591</v>
      </c>
      <c r="X81" s="76">
        <f>'Key Inputs_BY Techs'!V$23*'Key Inputs_New Techs'!$J81</f>
        <v>1.0948635097454591</v>
      </c>
      <c r="Y81" s="76">
        <f>'Key Inputs_BY Techs'!W$23*'Key Inputs_New Techs'!$J81</f>
        <v>1.0948635097454591</v>
      </c>
      <c r="Z81" s="76">
        <f>'Key Inputs_BY Techs'!X$23*'Key Inputs_New Techs'!$J81</f>
        <v>1.0948635097454591</v>
      </c>
      <c r="AA81" s="76">
        <f>'Key Inputs_BY Techs'!Y$23*'Key Inputs_New Techs'!$J81</f>
        <v>1.0948635097454591</v>
      </c>
      <c r="AB81" s="76">
        <f>'Key Inputs_BY Techs'!Z$23*'Key Inputs_New Techs'!$J81</f>
        <v>1.0948635097454591</v>
      </c>
      <c r="AC81" s="76">
        <f>'Key Inputs_BY Techs'!AA$23*'Key Inputs_New Techs'!$J81</f>
        <v>1.0948635097454591</v>
      </c>
      <c r="AD81" s="76">
        <f>'Key Inputs_BY Techs'!AB$23*'Key Inputs_New Techs'!$J81</f>
        <v>1.0948635097454591</v>
      </c>
      <c r="AE81" s="76">
        <f>'Key Inputs_BY Techs'!AC$23*'Key Inputs_New Techs'!$J81</f>
        <v>1.0948635097454591</v>
      </c>
      <c r="AF81" s="76">
        <f>'Key Inputs_BY Techs'!AD$23*'Key Inputs_New Techs'!$J81</f>
        <v>1.0948635097454591</v>
      </c>
      <c r="AG81" s="76">
        <f>'Key Inputs_BY Techs'!AE$23*'Key Inputs_New Techs'!$J81</f>
        <v>1.0948635097454591</v>
      </c>
      <c r="AH81" s="76">
        <f>'Key Inputs_BY Techs'!AF$23*'Key Inputs_New Techs'!$J81</f>
        <v>1.0948635097454591</v>
      </c>
      <c r="AI81" s="76">
        <f>'Key Inputs_BY Techs'!AG$23*'Key Inputs_New Techs'!$J81</f>
        <v>1.0948635097454591</v>
      </c>
      <c r="AJ81" s="76">
        <f>'Key Inputs_BY Techs'!AH$23*'Key Inputs_New Techs'!$J81</f>
        <v>1.0948635097454591</v>
      </c>
      <c r="AK81" s="76">
        <f>'Key Inputs_BY Techs'!AI$23*'Key Inputs_New Techs'!$J81</f>
        <v>1.0948635097454591</v>
      </c>
      <c r="AL81" s="76">
        <f>'Key Inputs_BY Techs'!AJ$23*'Key Inputs_New Techs'!$J81</f>
        <v>1.0948635097454591</v>
      </c>
    </row>
    <row r="82" spans="1:51" x14ac:dyDescent="0.25">
      <c r="A82" s="424" t="s">
        <v>122</v>
      </c>
      <c r="B82" s="425" t="s">
        <v>548</v>
      </c>
      <c r="C82" s="425" t="s">
        <v>19</v>
      </c>
      <c r="D82" s="425" t="s">
        <v>105</v>
      </c>
      <c r="E82" s="425" t="s">
        <v>244</v>
      </c>
      <c r="F82" s="443">
        <v>2025</v>
      </c>
      <c r="G82" s="443">
        <v>15</v>
      </c>
      <c r="H82" s="445">
        <v>2025</v>
      </c>
      <c r="I82" s="134">
        <v>3.6</v>
      </c>
      <c r="J82" s="161">
        <v>1.5138966516450421</v>
      </c>
      <c r="K82" s="76">
        <f>'Key Inputs_BY Techs'!I$23*'Key Inputs_New Techs'!$J82</f>
        <v>1.0948635097454591</v>
      </c>
      <c r="L82" s="76">
        <f>'Key Inputs_BY Techs'!J$23*'Key Inputs_New Techs'!$J82</f>
        <v>1.0948635097454591</v>
      </c>
      <c r="M82" s="76">
        <f>'Key Inputs_BY Techs'!K$23*'Key Inputs_New Techs'!$J82</f>
        <v>1.0948635097454591</v>
      </c>
      <c r="N82" s="76">
        <f>'Key Inputs_BY Techs'!L$23*'Key Inputs_New Techs'!$J82</f>
        <v>1.0948635097454591</v>
      </c>
      <c r="O82" s="76">
        <f>'Key Inputs_BY Techs'!M$23*'Key Inputs_New Techs'!$J82</f>
        <v>1.0948635097454591</v>
      </c>
      <c r="P82" s="76">
        <f>'Key Inputs_BY Techs'!N$23*'Key Inputs_New Techs'!$J82</f>
        <v>1.0948635097454591</v>
      </c>
      <c r="Q82" s="76">
        <f>'Key Inputs_BY Techs'!O$23*'Key Inputs_New Techs'!$J82</f>
        <v>1.0948635097454591</v>
      </c>
      <c r="R82" s="76">
        <f>'Key Inputs_BY Techs'!P$23*'Key Inputs_New Techs'!$J82</f>
        <v>1.0948635097454591</v>
      </c>
      <c r="S82" s="76">
        <f>'Key Inputs_BY Techs'!Q$23*'Key Inputs_New Techs'!$J82</f>
        <v>1.0948635097454591</v>
      </c>
      <c r="T82" s="76">
        <f>'Key Inputs_BY Techs'!R$23*'Key Inputs_New Techs'!$J82</f>
        <v>1.0948635097454591</v>
      </c>
      <c r="U82" s="76">
        <f>'Key Inputs_BY Techs'!S$23*'Key Inputs_New Techs'!$J82</f>
        <v>1.0948635097454591</v>
      </c>
      <c r="V82" s="76">
        <f>'Key Inputs_BY Techs'!T$23*'Key Inputs_New Techs'!$J82</f>
        <v>1.0948635097454591</v>
      </c>
      <c r="W82" s="76">
        <f>'Key Inputs_BY Techs'!U$23*'Key Inputs_New Techs'!$J82</f>
        <v>1.0948635097454591</v>
      </c>
      <c r="X82" s="76">
        <f>'Key Inputs_BY Techs'!V$23*'Key Inputs_New Techs'!$J82</f>
        <v>1.0948635097454591</v>
      </c>
      <c r="Y82" s="76">
        <f>'Key Inputs_BY Techs'!W$23*'Key Inputs_New Techs'!$J82</f>
        <v>1.0948635097454591</v>
      </c>
      <c r="Z82" s="76">
        <f>'Key Inputs_BY Techs'!X$23*'Key Inputs_New Techs'!$J82</f>
        <v>1.0948635097454591</v>
      </c>
      <c r="AA82" s="76">
        <f>'Key Inputs_BY Techs'!Y$23*'Key Inputs_New Techs'!$J82</f>
        <v>1.0948635097454591</v>
      </c>
      <c r="AB82" s="76">
        <f>'Key Inputs_BY Techs'!Z$23*'Key Inputs_New Techs'!$J82</f>
        <v>1.0948635097454591</v>
      </c>
      <c r="AC82" s="76">
        <f>'Key Inputs_BY Techs'!AA$23*'Key Inputs_New Techs'!$J82</f>
        <v>1.0948635097454591</v>
      </c>
      <c r="AD82" s="76">
        <f>'Key Inputs_BY Techs'!AB$23*'Key Inputs_New Techs'!$J82</f>
        <v>1.0948635097454591</v>
      </c>
      <c r="AE82" s="76">
        <f>'Key Inputs_BY Techs'!AC$23*'Key Inputs_New Techs'!$J82</f>
        <v>1.0948635097454591</v>
      </c>
      <c r="AF82" s="76">
        <f>'Key Inputs_BY Techs'!AD$23*'Key Inputs_New Techs'!$J82</f>
        <v>1.0948635097454591</v>
      </c>
      <c r="AG82" s="76">
        <f>'Key Inputs_BY Techs'!AE$23*'Key Inputs_New Techs'!$J82</f>
        <v>1.0948635097454591</v>
      </c>
      <c r="AH82" s="76">
        <f>'Key Inputs_BY Techs'!AF$23*'Key Inputs_New Techs'!$J82</f>
        <v>1.0948635097454591</v>
      </c>
      <c r="AI82" s="76">
        <f>'Key Inputs_BY Techs'!AG$23*'Key Inputs_New Techs'!$J82</f>
        <v>1.0948635097454591</v>
      </c>
      <c r="AJ82" s="76">
        <f>'Key Inputs_BY Techs'!AH$23*'Key Inputs_New Techs'!$J82</f>
        <v>1.0948635097454591</v>
      </c>
      <c r="AK82" s="76">
        <f>'Key Inputs_BY Techs'!AI$23*'Key Inputs_New Techs'!$J82</f>
        <v>1.0948635097454591</v>
      </c>
      <c r="AL82" s="76">
        <f>'Key Inputs_BY Techs'!AJ$23*'Key Inputs_New Techs'!$J82</f>
        <v>1.0948635097454591</v>
      </c>
    </row>
    <row r="83" spans="1:51" x14ac:dyDescent="0.25">
      <c r="C83" s="424"/>
      <c r="D83" s="424"/>
      <c r="E83" s="424"/>
      <c r="F83" s="446"/>
      <c r="G83" s="446"/>
      <c r="H83" s="445">
        <v>2030</v>
      </c>
      <c r="I83" s="134">
        <v>3.8769230769230769</v>
      </c>
      <c r="J83" s="161">
        <v>1.6303502402331222</v>
      </c>
      <c r="K83" s="76">
        <f>'Key Inputs_BY Techs'!I$23*'Key Inputs_New Techs'!$J83</f>
        <v>1.1790837797258791</v>
      </c>
      <c r="L83" s="76">
        <f>'Key Inputs_BY Techs'!J$23*'Key Inputs_New Techs'!$J83</f>
        <v>1.1790837797258791</v>
      </c>
      <c r="M83" s="76">
        <f>'Key Inputs_BY Techs'!K$23*'Key Inputs_New Techs'!$J83</f>
        <v>1.1790837797258791</v>
      </c>
      <c r="N83" s="76">
        <f>'Key Inputs_BY Techs'!L$23*'Key Inputs_New Techs'!$J83</f>
        <v>1.1790837797258791</v>
      </c>
      <c r="O83" s="76">
        <f>'Key Inputs_BY Techs'!M$23*'Key Inputs_New Techs'!$J83</f>
        <v>1.1790837797258791</v>
      </c>
      <c r="P83" s="76">
        <f>'Key Inputs_BY Techs'!N$23*'Key Inputs_New Techs'!$J83</f>
        <v>1.1790837797258791</v>
      </c>
      <c r="Q83" s="76">
        <f>'Key Inputs_BY Techs'!O$23*'Key Inputs_New Techs'!$J83</f>
        <v>1.1790837797258791</v>
      </c>
      <c r="R83" s="76">
        <f>'Key Inputs_BY Techs'!P$23*'Key Inputs_New Techs'!$J83</f>
        <v>1.1790837797258791</v>
      </c>
      <c r="S83" s="76">
        <f>'Key Inputs_BY Techs'!Q$23*'Key Inputs_New Techs'!$J83</f>
        <v>1.1790837797258791</v>
      </c>
      <c r="T83" s="76">
        <f>'Key Inputs_BY Techs'!R$23*'Key Inputs_New Techs'!$J83</f>
        <v>1.1790837797258791</v>
      </c>
      <c r="U83" s="76">
        <f>'Key Inputs_BY Techs'!S$23*'Key Inputs_New Techs'!$J83</f>
        <v>1.1790837797258791</v>
      </c>
      <c r="V83" s="76">
        <f>'Key Inputs_BY Techs'!T$23*'Key Inputs_New Techs'!$J83</f>
        <v>1.1790837797258791</v>
      </c>
      <c r="W83" s="76">
        <f>'Key Inputs_BY Techs'!U$23*'Key Inputs_New Techs'!$J83</f>
        <v>1.1790837797258791</v>
      </c>
      <c r="X83" s="76">
        <f>'Key Inputs_BY Techs'!V$23*'Key Inputs_New Techs'!$J83</f>
        <v>1.1790837797258791</v>
      </c>
      <c r="Y83" s="76">
        <f>'Key Inputs_BY Techs'!W$23*'Key Inputs_New Techs'!$J83</f>
        <v>1.1790837797258791</v>
      </c>
      <c r="Z83" s="76">
        <f>'Key Inputs_BY Techs'!X$23*'Key Inputs_New Techs'!$J83</f>
        <v>1.1790837797258791</v>
      </c>
      <c r="AA83" s="76">
        <f>'Key Inputs_BY Techs'!Y$23*'Key Inputs_New Techs'!$J83</f>
        <v>1.1790837797258791</v>
      </c>
      <c r="AB83" s="76">
        <f>'Key Inputs_BY Techs'!Z$23*'Key Inputs_New Techs'!$J83</f>
        <v>1.1790837797258791</v>
      </c>
      <c r="AC83" s="76">
        <f>'Key Inputs_BY Techs'!AA$23*'Key Inputs_New Techs'!$J83</f>
        <v>1.1790837797258791</v>
      </c>
      <c r="AD83" s="76">
        <f>'Key Inputs_BY Techs'!AB$23*'Key Inputs_New Techs'!$J83</f>
        <v>1.1790837797258791</v>
      </c>
      <c r="AE83" s="76">
        <f>'Key Inputs_BY Techs'!AC$23*'Key Inputs_New Techs'!$J83</f>
        <v>1.1790837797258791</v>
      </c>
      <c r="AF83" s="76">
        <f>'Key Inputs_BY Techs'!AD$23*'Key Inputs_New Techs'!$J83</f>
        <v>1.1790837797258791</v>
      </c>
      <c r="AG83" s="76">
        <f>'Key Inputs_BY Techs'!AE$23*'Key Inputs_New Techs'!$J83</f>
        <v>1.1790837797258791</v>
      </c>
      <c r="AH83" s="76">
        <f>'Key Inputs_BY Techs'!AF$23*'Key Inputs_New Techs'!$J83</f>
        <v>1.1790837797258791</v>
      </c>
      <c r="AI83" s="76">
        <f>'Key Inputs_BY Techs'!AG$23*'Key Inputs_New Techs'!$J83</f>
        <v>1.1790837797258791</v>
      </c>
      <c r="AJ83" s="76">
        <f>'Key Inputs_BY Techs'!AH$23*'Key Inputs_New Techs'!$J83</f>
        <v>1.1790837797258791</v>
      </c>
      <c r="AK83" s="76">
        <f>'Key Inputs_BY Techs'!AI$23*'Key Inputs_New Techs'!$J83</f>
        <v>1.1790837797258791</v>
      </c>
      <c r="AL83" s="76">
        <f>'Key Inputs_BY Techs'!AJ$23*'Key Inputs_New Techs'!$J83</f>
        <v>1.1790837797258791</v>
      </c>
    </row>
    <row r="84" spans="1:51" x14ac:dyDescent="0.25">
      <c r="B84" s="425"/>
      <c r="F84" s="443"/>
      <c r="G84" s="443"/>
      <c r="H84" s="445">
        <v>2050</v>
      </c>
      <c r="I84" s="134">
        <v>3.904615384615385</v>
      </c>
      <c r="J84" s="161">
        <v>2.073579656192603</v>
      </c>
      <c r="K84" s="76">
        <f>'Key Inputs_BY Techs'!I$23*'Key Inputs_New Techs'!$J84</f>
        <v>1.4996312315301439</v>
      </c>
      <c r="L84" s="76">
        <f>'Key Inputs_BY Techs'!J$23*'Key Inputs_New Techs'!$J84</f>
        <v>1.4996312315301439</v>
      </c>
      <c r="M84" s="76">
        <f>'Key Inputs_BY Techs'!K$23*'Key Inputs_New Techs'!$J84</f>
        <v>1.4996312315301439</v>
      </c>
      <c r="N84" s="76">
        <f>'Key Inputs_BY Techs'!L$23*'Key Inputs_New Techs'!$J84</f>
        <v>1.4996312315301439</v>
      </c>
      <c r="O84" s="76">
        <f>'Key Inputs_BY Techs'!M$23*'Key Inputs_New Techs'!$J84</f>
        <v>1.4996312315301439</v>
      </c>
      <c r="P84" s="76">
        <f>'Key Inputs_BY Techs'!N$23*'Key Inputs_New Techs'!$J84</f>
        <v>1.4996312315301439</v>
      </c>
      <c r="Q84" s="76">
        <f>'Key Inputs_BY Techs'!O$23*'Key Inputs_New Techs'!$J84</f>
        <v>1.4996312315301439</v>
      </c>
      <c r="R84" s="76">
        <f>'Key Inputs_BY Techs'!P$23*'Key Inputs_New Techs'!$J84</f>
        <v>1.4996312315301439</v>
      </c>
      <c r="S84" s="76">
        <f>'Key Inputs_BY Techs'!Q$23*'Key Inputs_New Techs'!$J84</f>
        <v>1.4996312315301439</v>
      </c>
      <c r="T84" s="76">
        <f>'Key Inputs_BY Techs'!R$23*'Key Inputs_New Techs'!$J84</f>
        <v>1.4996312315301439</v>
      </c>
      <c r="U84" s="76">
        <f>'Key Inputs_BY Techs'!S$23*'Key Inputs_New Techs'!$J84</f>
        <v>1.4996312315301439</v>
      </c>
      <c r="V84" s="76">
        <f>'Key Inputs_BY Techs'!T$23*'Key Inputs_New Techs'!$J84</f>
        <v>1.4996312315301439</v>
      </c>
      <c r="W84" s="76">
        <f>'Key Inputs_BY Techs'!U$23*'Key Inputs_New Techs'!$J84</f>
        <v>1.4996312315301439</v>
      </c>
      <c r="X84" s="76">
        <f>'Key Inputs_BY Techs'!V$23*'Key Inputs_New Techs'!$J84</f>
        <v>1.4996312315301439</v>
      </c>
      <c r="Y84" s="76">
        <f>'Key Inputs_BY Techs'!W$23*'Key Inputs_New Techs'!$J84</f>
        <v>1.4996312315301439</v>
      </c>
      <c r="Z84" s="76">
        <f>'Key Inputs_BY Techs'!X$23*'Key Inputs_New Techs'!$J84</f>
        <v>1.4996312315301439</v>
      </c>
      <c r="AA84" s="76">
        <f>'Key Inputs_BY Techs'!Y$23*'Key Inputs_New Techs'!$J84</f>
        <v>1.4996312315301439</v>
      </c>
      <c r="AB84" s="76">
        <f>'Key Inputs_BY Techs'!Z$23*'Key Inputs_New Techs'!$J84</f>
        <v>1.4996312315301439</v>
      </c>
      <c r="AC84" s="76">
        <f>'Key Inputs_BY Techs'!AA$23*'Key Inputs_New Techs'!$J84</f>
        <v>1.4996312315301439</v>
      </c>
      <c r="AD84" s="76">
        <f>'Key Inputs_BY Techs'!AB$23*'Key Inputs_New Techs'!$J84</f>
        <v>1.4996312315301439</v>
      </c>
      <c r="AE84" s="76">
        <f>'Key Inputs_BY Techs'!AC$23*'Key Inputs_New Techs'!$J84</f>
        <v>1.4996312315301439</v>
      </c>
      <c r="AF84" s="76">
        <f>'Key Inputs_BY Techs'!AD$23*'Key Inputs_New Techs'!$J84</f>
        <v>1.4996312315301439</v>
      </c>
      <c r="AG84" s="76">
        <f>'Key Inputs_BY Techs'!AE$23*'Key Inputs_New Techs'!$J84</f>
        <v>1.4996312315301439</v>
      </c>
      <c r="AH84" s="76">
        <f>'Key Inputs_BY Techs'!AF$23*'Key Inputs_New Techs'!$J84</f>
        <v>1.4996312315301439</v>
      </c>
      <c r="AI84" s="76">
        <f>'Key Inputs_BY Techs'!AG$23*'Key Inputs_New Techs'!$J84</f>
        <v>1.4996312315301439</v>
      </c>
      <c r="AJ84" s="76">
        <f>'Key Inputs_BY Techs'!AH$23*'Key Inputs_New Techs'!$J84</f>
        <v>1.4996312315301439</v>
      </c>
      <c r="AK84" s="76">
        <f>'Key Inputs_BY Techs'!AI$23*'Key Inputs_New Techs'!$J84</f>
        <v>1.4996312315301439</v>
      </c>
      <c r="AL84" s="76">
        <f>'Key Inputs_BY Techs'!AJ$23*'Key Inputs_New Techs'!$J84</f>
        <v>1.4996312315301439</v>
      </c>
    </row>
    <row r="85" spans="1:51" x14ac:dyDescent="0.25">
      <c r="A85" s="424" t="s">
        <v>122</v>
      </c>
      <c r="B85" s="425" t="s">
        <v>549</v>
      </c>
      <c r="C85" s="425" t="s">
        <v>19</v>
      </c>
      <c r="D85" s="425" t="s">
        <v>105</v>
      </c>
      <c r="E85" s="425" t="s">
        <v>245</v>
      </c>
      <c r="F85" s="443">
        <v>2025</v>
      </c>
      <c r="G85" s="443">
        <v>15</v>
      </c>
      <c r="H85" s="445">
        <v>2030</v>
      </c>
      <c r="I85" s="134">
        <v>4.9309090909090907</v>
      </c>
      <c r="J85" s="161">
        <v>1.6419955990919304</v>
      </c>
      <c r="K85" s="76">
        <f>'Key Inputs_BY Techs'!I$23*'Key Inputs_New Techs'!$J85</f>
        <v>1.187505806723921</v>
      </c>
      <c r="L85" s="76">
        <f>'Key Inputs_BY Techs'!J$23*'Key Inputs_New Techs'!$J85</f>
        <v>1.187505806723921</v>
      </c>
      <c r="M85" s="76">
        <f>'Key Inputs_BY Techs'!K$23*'Key Inputs_New Techs'!$J85</f>
        <v>1.187505806723921</v>
      </c>
      <c r="N85" s="76">
        <f>'Key Inputs_BY Techs'!L$23*'Key Inputs_New Techs'!$J85</f>
        <v>1.187505806723921</v>
      </c>
      <c r="O85" s="76">
        <f>'Key Inputs_BY Techs'!M$23*'Key Inputs_New Techs'!$J85</f>
        <v>1.187505806723921</v>
      </c>
      <c r="P85" s="76">
        <f>'Key Inputs_BY Techs'!N$23*'Key Inputs_New Techs'!$J85</f>
        <v>1.187505806723921</v>
      </c>
      <c r="Q85" s="76">
        <f>'Key Inputs_BY Techs'!O$23*'Key Inputs_New Techs'!$J85</f>
        <v>1.187505806723921</v>
      </c>
      <c r="R85" s="76">
        <f>'Key Inputs_BY Techs'!P$23*'Key Inputs_New Techs'!$J85</f>
        <v>1.187505806723921</v>
      </c>
      <c r="S85" s="76">
        <f>'Key Inputs_BY Techs'!Q$23*'Key Inputs_New Techs'!$J85</f>
        <v>1.187505806723921</v>
      </c>
      <c r="T85" s="76">
        <f>'Key Inputs_BY Techs'!R$23*'Key Inputs_New Techs'!$J85</f>
        <v>1.187505806723921</v>
      </c>
      <c r="U85" s="76">
        <f>'Key Inputs_BY Techs'!S$23*'Key Inputs_New Techs'!$J85</f>
        <v>1.187505806723921</v>
      </c>
      <c r="V85" s="76">
        <f>'Key Inputs_BY Techs'!T$23*'Key Inputs_New Techs'!$J85</f>
        <v>1.187505806723921</v>
      </c>
      <c r="W85" s="76">
        <f>'Key Inputs_BY Techs'!U$23*'Key Inputs_New Techs'!$J85</f>
        <v>1.187505806723921</v>
      </c>
      <c r="X85" s="76">
        <f>'Key Inputs_BY Techs'!V$23*'Key Inputs_New Techs'!$J85</f>
        <v>1.187505806723921</v>
      </c>
      <c r="Y85" s="76">
        <f>'Key Inputs_BY Techs'!W$23*'Key Inputs_New Techs'!$J85</f>
        <v>1.187505806723921</v>
      </c>
      <c r="Z85" s="76">
        <f>'Key Inputs_BY Techs'!X$23*'Key Inputs_New Techs'!$J85</f>
        <v>1.187505806723921</v>
      </c>
      <c r="AA85" s="76">
        <f>'Key Inputs_BY Techs'!Y$23*'Key Inputs_New Techs'!$J85</f>
        <v>1.187505806723921</v>
      </c>
      <c r="AB85" s="76">
        <f>'Key Inputs_BY Techs'!Z$23*'Key Inputs_New Techs'!$J85</f>
        <v>1.187505806723921</v>
      </c>
      <c r="AC85" s="76">
        <f>'Key Inputs_BY Techs'!AA$23*'Key Inputs_New Techs'!$J85</f>
        <v>1.187505806723921</v>
      </c>
      <c r="AD85" s="76">
        <f>'Key Inputs_BY Techs'!AB$23*'Key Inputs_New Techs'!$J85</f>
        <v>1.187505806723921</v>
      </c>
      <c r="AE85" s="76">
        <f>'Key Inputs_BY Techs'!AC$23*'Key Inputs_New Techs'!$J85</f>
        <v>1.187505806723921</v>
      </c>
      <c r="AF85" s="76">
        <f>'Key Inputs_BY Techs'!AD$23*'Key Inputs_New Techs'!$J85</f>
        <v>1.187505806723921</v>
      </c>
      <c r="AG85" s="76">
        <f>'Key Inputs_BY Techs'!AE$23*'Key Inputs_New Techs'!$J85</f>
        <v>1.187505806723921</v>
      </c>
      <c r="AH85" s="76">
        <f>'Key Inputs_BY Techs'!AF$23*'Key Inputs_New Techs'!$J85</f>
        <v>1.187505806723921</v>
      </c>
      <c r="AI85" s="76">
        <f>'Key Inputs_BY Techs'!AG$23*'Key Inputs_New Techs'!$J85</f>
        <v>1.187505806723921</v>
      </c>
      <c r="AJ85" s="76">
        <f>'Key Inputs_BY Techs'!AH$23*'Key Inputs_New Techs'!$J85</f>
        <v>1.187505806723921</v>
      </c>
      <c r="AK85" s="76">
        <f>'Key Inputs_BY Techs'!AI$23*'Key Inputs_New Techs'!$J85</f>
        <v>1.187505806723921</v>
      </c>
      <c r="AL85" s="76">
        <f>'Key Inputs_BY Techs'!AJ$23*'Key Inputs_New Techs'!$J85</f>
        <v>1.187505806723921</v>
      </c>
    </row>
    <row r="86" spans="1:51" x14ac:dyDescent="0.25">
      <c r="B86" s="425"/>
      <c r="F86" s="443"/>
      <c r="G86" s="443"/>
      <c r="H86" s="445">
        <v>2050</v>
      </c>
      <c r="I86" s="134">
        <v>5.9373850771428591</v>
      </c>
      <c r="J86" s="161">
        <v>2.4968298299482816</v>
      </c>
      <c r="K86" s="76">
        <f>'Key Inputs_BY Techs'!I$23*'Key Inputs_New Techs'!$J86</f>
        <v>1.8057295178530399</v>
      </c>
      <c r="L86" s="76">
        <f>'Key Inputs_BY Techs'!J$23*'Key Inputs_New Techs'!$J86</f>
        <v>1.8057295178530399</v>
      </c>
      <c r="M86" s="76">
        <f>'Key Inputs_BY Techs'!K$23*'Key Inputs_New Techs'!$J86</f>
        <v>1.8057295178530399</v>
      </c>
      <c r="N86" s="76">
        <f>'Key Inputs_BY Techs'!L$23*'Key Inputs_New Techs'!$J86</f>
        <v>1.8057295178530399</v>
      </c>
      <c r="O86" s="76">
        <f>'Key Inputs_BY Techs'!M$23*'Key Inputs_New Techs'!$J86</f>
        <v>1.8057295178530399</v>
      </c>
      <c r="P86" s="76">
        <f>'Key Inputs_BY Techs'!N$23*'Key Inputs_New Techs'!$J86</f>
        <v>1.8057295178530399</v>
      </c>
      <c r="Q86" s="76">
        <f>'Key Inputs_BY Techs'!O$23*'Key Inputs_New Techs'!$J86</f>
        <v>1.8057295178530399</v>
      </c>
      <c r="R86" s="76">
        <f>'Key Inputs_BY Techs'!P$23*'Key Inputs_New Techs'!$J86</f>
        <v>1.8057295178530399</v>
      </c>
      <c r="S86" s="76">
        <f>'Key Inputs_BY Techs'!Q$23*'Key Inputs_New Techs'!$J86</f>
        <v>1.8057295178530399</v>
      </c>
      <c r="T86" s="76">
        <f>'Key Inputs_BY Techs'!R$23*'Key Inputs_New Techs'!$J86</f>
        <v>1.8057295178530399</v>
      </c>
      <c r="U86" s="76">
        <f>'Key Inputs_BY Techs'!S$23*'Key Inputs_New Techs'!$J86</f>
        <v>1.8057295178530399</v>
      </c>
      <c r="V86" s="76">
        <f>'Key Inputs_BY Techs'!T$23*'Key Inputs_New Techs'!$J86</f>
        <v>1.8057295178530399</v>
      </c>
      <c r="W86" s="76">
        <f>'Key Inputs_BY Techs'!U$23*'Key Inputs_New Techs'!$J86</f>
        <v>1.8057295178530399</v>
      </c>
      <c r="X86" s="76">
        <f>'Key Inputs_BY Techs'!V$23*'Key Inputs_New Techs'!$J86</f>
        <v>1.8057295178530399</v>
      </c>
      <c r="Y86" s="76">
        <f>'Key Inputs_BY Techs'!W$23*'Key Inputs_New Techs'!$J86</f>
        <v>1.8057295178530399</v>
      </c>
      <c r="Z86" s="76">
        <f>'Key Inputs_BY Techs'!X$23*'Key Inputs_New Techs'!$J86</f>
        <v>1.8057295178530399</v>
      </c>
      <c r="AA86" s="76">
        <f>'Key Inputs_BY Techs'!Y$23*'Key Inputs_New Techs'!$J86</f>
        <v>1.8057295178530399</v>
      </c>
      <c r="AB86" s="76">
        <f>'Key Inputs_BY Techs'!Z$23*'Key Inputs_New Techs'!$J86</f>
        <v>1.8057295178530399</v>
      </c>
      <c r="AC86" s="76">
        <f>'Key Inputs_BY Techs'!AA$23*'Key Inputs_New Techs'!$J86</f>
        <v>1.8057295178530399</v>
      </c>
      <c r="AD86" s="76">
        <f>'Key Inputs_BY Techs'!AB$23*'Key Inputs_New Techs'!$J86</f>
        <v>1.8057295178530399</v>
      </c>
      <c r="AE86" s="76">
        <f>'Key Inputs_BY Techs'!AC$23*'Key Inputs_New Techs'!$J86</f>
        <v>1.8057295178530399</v>
      </c>
      <c r="AF86" s="76">
        <f>'Key Inputs_BY Techs'!AD$23*'Key Inputs_New Techs'!$J86</f>
        <v>1.8057295178530399</v>
      </c>
      <c r="AG86" s="76">
        <f>'Key Inputs_BY Techs'!AE$23*'Key Inputs_New Techs'!$J86</f>
        <v>1.8057295178530399</v>
      </c>
      <c r="AH86" s="76">
        <f>'Key Inputs_BY Techs'!AF$23*'Key Inputs_New Techs'!$J86</f>
        <v>1.8057295178530399</v>
      </c>
      <c r="AI86" s="76">
        <f>'Key Inputs_BY Techs'!AG$23*'Key Inputs_New Techs'!$J86</f>
        <v>1.8057295178530399</v>
      </c>
      <c r="AJ86" s="76">
        <f>'Key Inputs_BY Techs'!AH$23*'Key Inputs_New Techs'!$J86</f>
        <v>1.8057295178530399</v>
      </c>
      <c r="AK86" s="76">
        <f>'Key Inputs_BY Techs'!AI$23*'Key Inputs_New Techs'!$J86</f>
        <v>1.8057295178530399</v>
      </c>
      <c r="AL86" s="76">
        <f>'Key Inputs_BY Techs'!AJ$23*'Key Inputs_New Techs'!$J86</f>
        <v>1.8057295178530399</v>
      </c>
    </row>
    <row r="87" spans="1:51" x14ac:dyDescent="0.25">
      <c r="A87" s="424" t="s">
        <v>122</v>
      </c>
      <c r="B87" s="425" t="s">
        <v>550</v>
      </c>
      <c r="C87" s="425" t="s">
        <v>20</v>
      </c>
      <c r="D87" s="425" t="s">
        <v>108</v>
      </c>
      <c r="E87" s="425" t="s">
        <v>247</v>
      </c>
      <c r="F87" s="443">
        <v>2020</v>
      </c>
      <c r="G87" s="444">
        <v>15</v>
      </c>
      <c r="H87" s="445">
        <v>2020</v>
      </c>
      <c r="I87" s="134">
        <v>0.72320888520081605</v>
      </c>
      <c r="J87" s="161">
        <v>1</v>
      </c>
      <c r="K87" s="76">
        <f>'Key Inputs_BY Techs'!I$24*'Key Inputs_New Techs'!$J87</f>
        <v>0.72320888520081605</v>
      </c>
      <c r="L87" s="76">
        <f>'Key Inputs_BY Techs'!J$24*'Key Inputs_New Techs'!$J87</f>
        <v>0.72320888520081605</v>
      </c>
      <c r="M87" s="76">
        <f>'Key Inputs_BY Techs'!K$24*'Key Inputs_New Techs'!$J87</f>
        <v>0.72320888520081605</v>
      </c>
      <c r="N87" s="76">
        <f>'Key Inputs_BY Techs'!L$24*'Key Inputs_New Techs'!$J87</f>
        <v>0.72320888520081605</v>
      </c>
      <c r="O87" s="76">
        <f>'Key Inputs_BY Techs'!M$24*'Key Inputs_New Techs'!$J87</f>
        <v>0.72320888520081605</v>
      </c>
      <c r="P87" s="76">
        <f>'Key Inputs_BY Techs'!N$24*'Key Inputs_New Techs'!$J87</f>
        <v>0.72320888520081605</v>
      </c>
      <c r="Q87" s="76">
        <f>'Key Inputs_BY Techs'!O$24*'Key Inputs_New Techs'!$J87</f>
        <v>0.72320888520081605</v>
      </c>
      <c r="R87" s="76">
        <f>'Key Inputs_BY Techs'!P$24*'Key Inputs_New Techs'!$J87</f>
        <v>0.72320888520081605</v>
      </c>
      <c r="S87" s="76">
        <f>'Key Inputs_BY Techs'!Q$24*'Key Inputs_New Techs'!$J87</f>
        <v>0.72320888520081605</v>
      </c>
      <c r="T87" s="76">
        <f>'Key Inputs_BY Techs'!R$24*'Key Inputs_New Techs'!$J87</f>
        <v>0.72320888520081605</v>
      </c>
      <c r="U87" s="76">
        <f>'Key Inputs_BY Techs'!S$24*'Key Inputs_New Techs'!$J87</f>
        <v>0.72320888520081605</v>
      </c>
      <c r="V87" s="76">
        <f>'Key Inputs_BY Techs'!T$24*'Key Inputs_New Techs'!$J87</f>
        <v>0.72320888520081605</v>
      </c>
      <c r="W87" s="76">
        <f>'Key Inputs_BY Techs'!U$24*'Key Inputs_New Techs'!$J87</f>
        <v>0.72320888520081605</v>
      </c>
      <c r="X87" s="76">
        <f>'Key Inputs_BY Techs'!V$24*'Key Inputs_New Techs'!$J87</f>
        <v>0.72320888520081605</v>
      </c>
      <c r="Y87" s="76">
        <f>'Key Inputs_BY Techs'!W$24*'Key Inputs_New Techs'!$J87</f>
        <v>0.72320888520081605</v>
      </c>
      <c r="Z87" s="76">
        <f>'Key Inputs_BY Techs'!X$24*'Key Inputs_New Techs'!$J87</f>
        <v>0.72320888520081605</v>
      </c>
      <c r="AA87" s="76">
        <f>'Key Inputs_BY Techs'!Y$24*'Key Inputs_New Techs'!$J87</f>
        <v>0.72320888520081605</v>
      </c>
      <c r="AB87" s="76">
        <f>'Key Inputs_BY Techs'!Z$24*'Key Inputs_New Techs'!$J87</f>
        <v>0.72320888520081605</v>
      </c>
      <c r="AC87" s="76">
        <f>'Key Inputs_BY Techs'!AA$24*'Key Inputs_New Techs'!$J87</f>
        <v>0.72320888520081605</v>
      </c>
      <c r="AD87" s="76">
        <f>'Key Inputs_BY Techs'!AB$24*'Key Inputs_New Techs'!$J87</f>
        <v>0.72320888520081605</v>
      </c>
      <c r="AE87" s="76">
        <f>'Key Inputs_BY Techs'!AC$24*'Key Inputs_New Techs'!$J87</f>
        <v>0.72320888520081605</v>
      </c>
      <c r="AF87" s="76">
        <f>'Key Inputs_BY Techs'!AD$24*'Key Inputs_New Techs'!$J87</f>
        <v>0.72320888520081605</v>
      </c>
      <c r="AG87" s="76">
        <f>'Key Inputs_BY Techs'!AE$24*'Key Inputs_New Techs'!$J87</f>
        <v>0.72320888520081605</v>
      </c>
      <c r="AH87" s="76">
        <f>'Key Inputs_BY Techs'!AF$24*'Key Inputs_New Techs'!$J87</f>
        <v>0.72320888520081605</v>
      </c>
      <c r="AI87" s="76">
        <f>'Key Inputs_BY Techs'!AG$24*'Key Inputs_New Techs'!$J87</f>
        <v>0.72320888520081605</v>
      </c>
      <c r="AJ87" s="76">
        <f>'Key Inputs_BY Techs'!AH$24*'Key Inputs_New Techs'!$J87</f>
        <v>0.72320888520081605</v>
      </c>
      <c r="AK87" s="76">
        <f>'Key Inputs_BY Techs'!AI$24*'Key Inputs_New Techs'!$J87</f>
        <v>0.72320888520081605</v>
      </c>
      <c r="AL87" s="76">
        <f>'Key Inputs_BY Techs'!AJ$24*'Key Inputs_New Techs'!$J87</f>
        <v>0.72320888520081605</v>
      </c>
    </row>
    <row r="88" spans="1:51" x14ac:dyDescent="0.25">
      <c r="A88" s="424" t="s">
        <v>122</v>
      </c>
      <c r="B88" s="425" t="s">
        <v>551</v>
      </c>
      <c r="C88" s="425" t="s">
        <v>20</v>
      </c>
      <c r="D88" s="425" t="s">
        <v>108</v>
      </c>
      <c r="E88" s="425" t="s">
        <v>248</v>
      </c>
      <c r="F88" s="443">
        <v>2025</v>
      </c>
      <c r="G88" s="443">
        <v>15</v>
      </c>
      <c r="H88" s="445">
        <v>2025</v>
      </c>
      <c r="I88" s="134">
        <v>0.72320888520081605</v>
      </c>
      <c r="J88" s="161">
        <v>1</v>
      </c>
      <c r="K88" s="76">
        <f>'Key Inputs_BY Techs'!I$24*'Key Inputs_New Techs'!$J88</f>
        <v>0.72320888520081605</v>
      </c>
      <c r="L88" s="76">
        <f>'Key Inputs_BY Techs'!J$24*'Key Inputs_New Techs'!$J88</f>
        <v>0.72320888520081605</v>
      </c>
      <c r="M88" s="76">
        <f>'Key Inputs_BY Techs'!K$24*'Key Inputs_New Techs'!$J88</f>
        <v>0.72320888520081605</v>
      </c>
      <c r="N88" s="76">
        <f>'Key Inputs_BY Techs'!L$24*'Key Inputs_New Techs'!$J88</f>
        <v>0.72320888520081605</v>
      </c>
      <c r="O88" s="76">
        <f>'Key Inputs_BY Techs'!M$24*'Key Inputs_New Techs'!$J88</f>
        <v>0.72320888520081605</v>
      </c>
      <c r="P88" s="76">
        <f>'Key Inputs_BY Techs'!N$24*'Key Inputs_New Techs'!$J88</f>
        <v>0.72320888520081605</v>
      </c>
      <c r="Q88" s="76">
        <f>'Key Inputs_BY Techs'!O$24*'Key Inputs_New Techs'!$J88</f>
        <v>0.72320888520081605</v>
      </c>
      <c r="R88" s="76">
        <f>'Key Inputs_BY Techs'!P$24*'Key Inputs_New Techs'!$J88</f>
        <v>0.72320888520081605</v>
      </c>
      <c r="S88" s="76">
        <f>'Key Inputs_BY Techs'!Q$24*'Key Inputs_New Techs'!$J88</f>
        <v>0.72320888520081605</v>
      </c>
      <c r="T88" s="76">
        <f>'Key Inputs_BY Techs'!R$24*'Key Inputs_New Techs'!$J88</f>
        <v>0.72320888520081605</v>
      </c>
      <c r="U88" s="76">
        <f>'Key Inputs_BY Techs'!S$24*'Key Inputs_New Techs'!$J88</f>
        <v>0.72320888520081605</v>
      </c>
      <c r="V88" s="76">
        <f>'Key Inputs_BY Techs'!T$24*'Key Inputs_New Techs'!$J88</f>
        <v>0.72320888520081605</v>
      </c>
      <c r="W88" s="76">
        <f>'Key Inputs_BY Techs'!U$24*'Key Inputs_New Techs'!$J88</f>
        <v>0.72320888520081605</v>
      </c>
      <c r="X88" s="76">
        <f>'Key Inputs_BY Techs'!V$24*'Key Inputs_New Techs'!$J88</f>
        <v>0.72320888520081605</v>
      </c>
      <c r="Y88" s="76">
        <f>'Key Inputs_BY Techs'!W$24*'Key Inputs_New Techs'!$J88</f>
        <v>0.72320888520081605</v>
      </c>
      <c r="Z88" s="76">
        <f>'Key Inputs_BY Techs'!X$24*'Key Inputs_New Techs'!$J88</f>
        <v>0.72320888520081605</v>
      </c>
      <c r="AA88" s="76">
        <f>'Key Inputs_BY Techs'!Y$24*'Key Inputs_New Techs'!$J88</f>
        <v>0.72320888520081605</v>
      </c>
      <c r="AB88" s="76">
        <f>'Key Inputs_BY Techs'!Z$24*'Key Inputs_New Techs'!$J88</f>
        <v>0.72320888520081605</v>
      </c>
      <c r="AC88" s="76">
        <f>'Key Inputs_BY Techs'!AA$24*'Key Inputs_New Techs'!$J88</f>
        <v>0.72320888520081605</v>
      </c>
      <c r="AD88" s="76">
        <f>'Key Inputs_BY Techs'!AB$24*'Key Inputs_New Techs'!$J88</f>
        <v>0.72320888520081605</v>
      </c>
      <c r="AE88" s="76">
        <f>'Key Inputs_BY Techs'!AC$24*'Key Inputs_New Techs'!$J88</f>
        <v>0.72320888520081605</v>
      </c>
      <c r="AF88" s="76">
        <f>'Key Inputs_BY Techs'!AD$24*'Key Inputs_New Techs'!$J88</f>
        <v>0.72320888520081605</v>
      </c>
      <c r="AG88" s="76">
        <f>'Key Inputs_BY Techs'!AE$24*'Key Inputs_New Techs'!$J88</f>
        <v>0.72320888520081605</v>
      </c>
      <c r="AH88" s="76">
        <f>'Key Inputs_BY Techs'!AF$24*'Key Inputs_New Techs'!$J88</f>
        <v>0.72320888520081605</v>
      </c>
      <c r="AI88" s="76">
        <f>'Key Inputs_BY Techs'!AG$24*'Key Inputs_New Techs'!$J88</f>
        <v>0.72320888520081605</v>
      </c>
      <c r="AJ88" s="76">
        <f>'Key Inputs_BY Techs'!AH$24*'Key Inputs_New Techs'!$J88</f>
        <v>0.72320888520081605</v>
      </c>
      <c r="AK88" s="76">
        <f>'Key Inputs_BY Techs'!AI$24*'Key Inputs_New Techs'!$J88</f>
        <v>0.72320888520081605</v>
      </c>
      <c r="AL88" s="76">
        <f>'Key Inputs_BY Techs'!AJ$24*'Key Inputs_New Techs'!$J88</f>
        <v>0.72320888520081605</v>
      </c>
    </row>
    <row r="89" spans="1:51" x14ac:dyDescent="0.25">
      <c r="C89" s="424"/>
      <c r="D89" s="424"/>
      <c r="E89" s="424"/>
      <c r="F89" s="446"/>
      <c r="G89" s="446"/>
      <c r="H89" s="445">
        <v>2030</v>
      </c>
      <c r="I89" s="134">
        <v>0.74299999999999999</v>
      </c>
      <c r="J89" s="161">
        <v>1.0273656964179698</v>
      </c>
      <c r="K89" s="76">
        <f>'Key Inputs_BY Techs'!I$24*'Key Inputs_New Techs'!$J89</f>
        <v>0.74299999999999999</v>
      </c>
      <c r="L89" s="76">
        <f>'Key Inputs_BY Techs'!J$24*'Key Inputs_New Techs'!$J89</f>
        <v>0.74299999999999999</v>
      </c>
      <c r="M89" s="76">
        <f>'Key Inputs_BY Techs'!K$24*'Key Inputs_New Techs'!$J89</f>
        <v>0.74299999999999999</v>
      </c>
      <c r="N89" s="76">
        <f>'Key Inputs_BY Techs'!L$24*'Key Inputs_New Techs'!$J89</f>
        <v>0.74299999999999999</v>
      </c>
      <c r="O89" s="76">
        <f>'Key Inputs_BY Techs'!M$24*'Key Inputs_New Techs'!$J89</f>
        <v>0.74299999999999999</v>
      </c>
      <c r="P89" s="76">
        <f>'Key Inputs_BY Techs'!N$24*'Key Inputs_New Techs'!$J89</f>
        <v>0.74299999999999999</v>
      </c>
      <c r="Q89" s="76">
        <f>'Key Inputs_BY Techs'!O$24*'Key Inputs_New Techs'!$J89</f>
        <v>0.74299999999999999</v>
      </c>
      <c r="R89" s="76">
        <f>'Key Inputs_BY Techs'!P$24*'Key Inputs_New Techs'!$J89</f>
        <v>0.74299999999999999</v>
      </c>
      <c r="S89" s="76">
        <f>'Key Inputs_BY Techs'!Q$24*'Key Inputs_New Techs'!$J89</f>
        <v>0.74299999999999999</v>
      </c>
      <c r="T89" s="76">
        <f>'Key Inputs_BY Techs'!R$24*'Key Inputs_New Techs'!$J89</f>
        <v>0.74299999999999999</v>
      </c>
      <c r="U89" s="76">
        <f>'Key Inputs_BY Techs'!S$24*'Key Inputs_New Techs'!$J89</f>
        <v>0.74299999999999999</v>
      </c>
      <c r="V89" s="76">
        <f>'Key Inputs_BY Techs'!T$24*'Key Inputs_New Techs'!$J89</f>
        <v>0.74299999999999999</v>
      </c>
      <c r="W89" s="76">
        <f>'Key Inputs_BY Techs'!U$24*'Key Inputs_New Techs'!$J89</f>
        <v>0.74299999999999999</v>
      </c>
      <c r="X89" s="76">
        <f>'Key Inputs_BY Techs'!V$24*'Key Inputs_New Techs'!$J89</f>
        <v>0.74299999999999999</v>
      </c>
      <c r="Y89" s="76">
        <f>'Key Inputs_BY Techs'!W$24*'Key Inputs_New Techs'!$J89</f>
        <v>0.74299999999999999</v>
      </c>
      <c r="Z89" s="76">
        <f>'Key Inputs_BY Techs'!X$24*'Key Inputs_New Techs'!$J89</f>
        <v>0.74299999999999999</v>
      </c>
      <c r="AA89" s="76">
        <f>'Key Inputs_BY Techs'!Y$24*'Key Inputs_New Techs'!$J89</f>
        <v>0.74299999999999999</v>
      </c>
      <c r="AB89" s="76">
        <f>'Key Inputs_BY Techs'!Z$24*'Key Inputs_New Techs'!$J89</f>
        <v>0.74299999999999999</v>
      </c>
      <c r="AC89" s="76">
        <f>'Key Inputs_BY Techs'!AA$24*'Key Inputs_New Techs'!$J89</f>
        <v>0.74299999999999999</v>
      </c>
      <c r="AD89" s="76">
        <f>'Key Inputs_BY Techs'!AB$24*'Key Inputs_New Techs'!$J89</f>
        <v>0.74299999999999999</v>
      </c>
      <c r="AE89" s="76">
        <f>'Key Inputs_BY Techs'!AC$24*'Key Inputs_New Techs'!$J89</f>
        <v>0.74299999999999999</v>
      </c>
      <c r="AF89" s="76">
        <f>'Key Inputs_BY Techs'!AD$24*'Key Inputs_New Techs'!$J89</f>
        <v>0.74299999999999999</v>
      </c>
      <c r="AG89" s="76">
        <f>'Key Inputs_BY Techs'!AE$24*'Key Inputs_New Techs'!$J89</f>
        <v>0.74299999999999999</v>
      </c>
      <c r="AH89" s="76">
        <f>'Key Inputs_BY Techs'!AF$24*'Key Inputs_New Techs'!$J89</f>
        <v>0.74299999999999999</v>
      </c>
      <c r="AI89" s="76">
        <f>'Key Inputs_BY Techs'!AG$24*'Key Inputs_New Techs'!$J89</f>
        <v>0.74299999999999999</v>
      </c>
      <c r="AJ89" s="76">
        <f>'Key Inputs_BY Techs'!AH$24*'Key Inputs_New Techs'!$J89</f>
        <v>0.74299999999999999</v>
      </c>
      <c r="AK89" s="76">
        <f>'Key Inputs_BY Techs'!AI$24*'Key Inputs_New Techs'!$J89</f>
        <v>0.74299999999999999</v>
      </c>
      <c r="AL89" s="76">
        <f>'Key Inputs_BY Techs'!AJ$24*'Key Inputs_New Techs'!$J89</f>
        <v>0.74299999999999999</v>
      </c>
    </row>
    <row r="90" spans="1:51" x14ac:dyDescent="0.25">
      <c r="B90" s="425"/>
      <c r="F90" s="443"/>
      <c r="G90" s="443"/>
      <c r="H90" s="445">
        <v>2050</v>
      </c>
      <c r="I90" s="134">
        <v>0.7569999999999999</v>
      </c>
      <c r="J90" s="161">
        <v>1.0467238656640687</v>
      </c>
      <c r="K90" s="76">
        <f>'Key Inputs_BY Techs'!I$24*'Key Inputs_New Techs'!$J90</f>
        <v>0.7569999999999999</v>
      </c>
      <c r="L90" s="76">
        <f>'Key Inputs_BY Techs'!J$24*'Key Inputs_New Techs'!$J90</f>
        <v>0.7569999999999999</v>
      </c>
      <c r="M90" s="76">
        <f>'Key Inputs_BY Techs'!K$24*'Key Inputs_New Techs'!$J90</f>
        <v>0.7569999999999999</v>
      </c>
      <c r="N90" s="76">
        <f>'Key Inputs_BY Techs'!L$24*'Key Inputs_New Techs'!$J90</f>
        <v>0.7569999999999999</v>
      </c>
      <c r="O90" s="76">
        <f>'Key Inputs_BY Techs'!M$24*'Key Inputs_New Techs'!$J90</f>
        <v>0.7569999999999999</v>
      </c>
      <c r="P90" s="76">
        <f>'Key Inputs_BY Techs'!N$24*'Key Inputs_New Techs'!$J90</f>
        <v>0.7569999999999999</v>
      </c>
      <c r="Q90" s="76">
        <f>'Key Inputs_BY Techs'!O$24*'Key Inputs_New Techs'!$J90</f>
        <v>0.7569999999999999</v>
      </c>
      <c r="R90" s="76">
        <f>'Key Inputs_BY Techs'!P$24*'Key Inputs_New Techs'!$J90</f>
        <v>0.7569999999999999</v>
      </c>
      <c r="S90" s="76">
        <f>'Key Inputs_BY Techs'!Q$24*'Key Inputs_New Techs'!$J90</f>
        <v>0.7569999999999999</v>
      </c>
      <c r="T90" s="76">
        <f>'Key Inputs_BY Techs'!R$24*'Key Inputs_New Techs'!$J90</f>
        <v>0.7569999999999999</v>
      </c>
      <c r="U90" s="76">
        <f>'Key Inputs_BY Techs'!S$24*'Key Inputs_New Techs'!$J90</f>
        <v>0.7569999999999999</v>
      </c>
      <c r="V90" s="76">
        <f>'Key Inputs_BY Techs'!T$24*'Key Inputs_New Techs'!$J90</f>
        <v>0.7569999999999999</v>
      </c>
      <c r="W90" s="76">
        <f>'Key Inputs_BY Techs'!U$24*'Key Inputs_New Techs'!$J90</f>
        <v>0.7569999999999999</v>
      </c>
      <c r="X90" s="76">
        <f>'Key Inputs_BY Techs'!V$24*'Key Inputs_New Techs'!$J90</f>
        <v>0.7569999999999999</v>
      </c>
      <c r="Y90" s="76">
        <f>'Key Inputs_BY Techs'!W$24*'Key Inputs_New Techs'!$J90</f>
        <v>0.7569999999999999</v>
      </c>
      <c r="Z90" s="76">
        <f>'Key Inputs_BY Techs'!X$24*'Key Inputs_New Techs'!$J90</f>
        <v>0.7569999999999999</v>
      </c>
      <c r="AA90" s="76">
        <f>'Key Inputs_BY Techs'!Y$24*'Key Inputs_New Techs'!$J90</f>
        <v>0.7569999999999999</v>
      </c>
      <c r="AB90" s="76">
        <f>'Key Inputs_BY Techs'!Z$24*'Key Inputs_New Techs'!$J90</f>
        <v>0.7569999999999999</v>
      </c>
      <c r="AC90" s="76">
        <f>'Key Inputs_BY Techs'!AA$24*'Key Inputs_New Techs'!$J90</f>
        <v>0.7569999999999999</v>
      </c>
      <c r="AD90" s="76">
        <f>'Key Inputs_BY Techs'!AB$24*'Key Inputs_New Techs'!$J90</f>
        <v>0.7569999999999999</v>
      </c>
      <c r="AE90" s="76">
        <f>'Key Inputs_BY Techs'!AC$24*'Key Inputs_New Techs'!$J90</f>
        <v>0.7569999999999999</v>
      </c>
      <c r="AF90" s="76">
        <f>'Key Inputs_BY Techs'!AD$24*'Key Inputs_New Techs'!$J90</f>
        <v>0.7569999999999999</v>
      </c>
      <c r="AG90" s="76">
        <f>'Key Inputs_BY Techs'!AE$24*'Key Inputs_New Techs'!$J90</f>
        <v>0.7569999999999999</v>
      </c>
      <c r="AH90" s="76">
        <f>'Key Inputs_BY Techs'!AF$24*'Key Inputs_New Techs'!$J90</f>
        <v>0.7569999999999999</v>
      </c>
      <c r="AI90" s="76">
        <f>'Key Inputs_BY Techs'!AG$24*'Key Inputs_New Techs'!$J90</f>
        <v>0.7569999999999999</v>
      </c>
      <c r="AJ90" s="76">
        <f>'Key Inputs_BY Techs'!AH$24*'Key Inputs_New Techs'!$J90</f>
        <v>0.7569999999999999</v>
      </c>
      <c r="AK90" s="76">
        <f>'Key Inputs_BY Techs'!AI$24*'Key Inputs_New Techs'!$J90</f>
        <v>0.7569999999999999</v>
      </c>
      <c r="AL90" s="76">
        <f>'Key Inputs_BY Techs'!AJ$24*'Key Inputs_New Techs'!$J90</f>
        <v>0.7569999999999999</v>
      </c>
    </row>
    <row r="91" spans="1:51" x14ac:dyDescent="0.25">
      <c r="A91" s="424" t="s">
        <v>122</v>
      </c>
      <c r="B91" s="425" t="s">
        <v>552</v>
      </c>
      <c r="C91" s="425" t="s">
        <v>474</v>
      </c>
      <c r="D91" s="425" t="s">
        <v>475</v>
      </c>
      <c r="E91" s="425" t="s">
        <v>265</v>
      </c>
      <c r="F91" s="443">
        <v>2020</v>
      </c>
      <c r="G91" s="444">
        <v>17</v>
      </c>
      <c r="H91" s="445">
        <v>2020</v>
      </c>
      <c r="I91" s="134">
        <v>0.94340000000000002</v>
      </c>
      <c r="J91" s="161">
        <v>1</v>
      </c>
      <c r="K91" s="76">
        <f>'Key Inputs_BY Techs'!I$27*'Key Inputs_New Techs'!$J91</f>
        <v>0.94340000000000002</v>
      </c>
      <c r="L91" s="76">
        <f>'Key Inputs_BY Techs'!J$27*'Key Inputs_New Techs'!$J91</f>
        <v>0.94340000000000002</v>
      </c>
      <c r="M91" s="76">
        <f>'Key Inputs_BY Techs'!K$27*'Key Inputs_New Techs'!$J91</f>
        <v>0.94340000000000002</v>
      </c>
      <c r="N91" s="76">
        <f>'Key Inputs_BY Techs'!L$27*'Key Inputs_New Techs'!$J91</f>
        <v>0.94340000000000002</v>
      </c>
      <c r="O91" s="76">
        <f>'Key Inputs_BY Techs'!M$27*'Key Inputs_New Techs'!$J91</f>
        <v>0.94340000000000002</v>
      </c>
      <c r="P91" s="76">
        <f>'Key Inputs_BY Techs'!N$27*'Key Inputs_New Techs'!$J91</f>
        <v>0.94340000000000002</v>
      </c>
      <c r="Q91" s="76">
        <f>'Key Inputs_BY Techs'!O$27*'Key Inputs_New Techs'!$J91</f>
        <v>0.94340000000000002</v>
      </c>
      <c r="R91" s="76">
        <f>'Key Inputs_BY Techs'!P$27*'Key Inputs_New Techs'!$J91</f>
        <v>0.94340000000000002</v>
      </c>
      <c r="S91" s="76">
        <f>'Key Inputs_BY Techs'!Q$27*'Key Inputs_New Techs'!$J91</f>
        <v>0.94340000000000002</v>
      </c>
      <c r="T91" s="76">
        <f>'Key Inputs_BY Techs'!R$27*'Key Inputs_New Techs'!$J91</f>
        <v>0.94340000000000002</v>
      </c>
      <c r="U91" s="76">
        <f>'Key Inputs_BY Techs'!S$27*'Key Inputs_New Techs'!$J91</f>
        <v>0.94340000000000002</v>
      </c>
      <c r="V91" s="76">
        <f>'Key Inputs_BY Techs'!T$27*'Key Inputs_New Techs'!$J91</f>
        <v>0.94340000000000002</v>
      </c>
      <c r="W91" s="76">
        <f>'Key Inputs_BY Techs'!U$27*'Key Inputs_New Techs'!$J91</f>
        <v>0.94340000000000002</v>
      </c>
      <c r="X91" s="76">
        <f>'Key Inputs_BY Techs'!V$27*'Key Inputs_New Techs'!$J91</f>
        <v>0.94340000000000002</v>
      </c>
      <c r="Y91" s="76">
        <f>'Key Inputs_BY Techs'!W$27*'Key Inputs_New Techs'!$J91</f>
        <v>0.94340000000000002</v>
      </c>
      <c r="Z91" s="76">
        <f>'Key Inputs_BY Techs'!X$27*'Key Inputs_New Techs'!$J91</f>
        <v>0.94340000000000002</v>
      </c>
      <c r="AA91" s="76">
        <f>'Key Inputs_BY Techs'!Y$27*'Key Inputs_New Techs'!$J91</f>
        <v>0.94340000000000002</v>
      </c>
      <c r="AB91" s="76">
        <f>'Key Inputs_BY Techs'!Z$27*'Key Inputs_New Techs'!$J91</f>
        <v>0.94340000000000002</v>
      </c>
      <c r="AC91" s="76">
        <f>'Key Inputs_BY Techs'!AA$27*'Key Inputs_New Techs'!$J91</f>
        <v>0.94340000000000002</v>
      </c>
      <c r="AD91" s="76">
        <f>'Key Inputs_BY Techs'!AB$27*'Key Inputs_New Techs'!$J91</f>
        <v>0.94340000000000002</v>
      </c>
      <c r="AE91" s="76">
        <f>'Key Inputs_BY Techs'!AC$27*'Key Inputs_New Techs'!$J91</f>
        <v>0.94340000000000002</v>
      </c>
      <c r="AF91" s="76">
        <f>'Key Inputs_BY Techs'!AD$27*'Key Inputs_New Techs'!$J91</f>
        <v>0.94340000000000002</v>
      </c>
      <c r="AG91" s="76">
        <f>'Key Inputs_BY Techs'!AE$27*'Key Inputs_New Techs'!$J91</f>
        <v>0.94340000000000002</v>
      </c>
      <c r="AH91" s="76">
        <f>'Key Inputs_BY Techs'!AF$27*'Key Inputs_New Techs'!$J91</f>
        <v>0.94340000000000002</v>
      </c>
      <c r="AI91" s="76">
        <f>'Key Inputs_BY Techs'!AG$27*'Key Inputs_New Techs'!$J91</f>
        <v>0.94340000000000002</v>
      </c>
      <c r="AJ91" s="76">
        <f>'Key Inputs_BY Techs'!AH$27*'Key Inputs_New Techs'!$J91</f>
        <v>0.94340000000000002</v>
      </c>
      <c r="AK91" s="76">
        <f>'Key Inputs_BY Techs'!AI$27*'Key Inputs_New Techs'!$J91</f>
        <v>0.94340000000000002</v>
      </c>
      <c r="AL91" s="76">
        <f>'Key Inputs_BY Techs'!AJ$27*'Key Inputs_New Techs'!$J91</f>
        <v>0.94340000000000002</v>
      </c>
    </row>
    <row r="92" spans="1:51" x14ac:dyDescent="0.25">
      <c r="A92" s="424" t="s">
        <v>122</v>
      </c>
      <c r="B92" s="425" t="s">
        <v>553</v>
      </c>
      <c r="C92" s="425" t="s">
        <v>474</v>
      </c>
      <c r="D92" s="425" t="s">
        <v>475</v>
      </c>
      <c r="E92" s="425" t="s">
        <v>274</v>
      </c>
      <c r="F92" s="443">
        <v>2020</v>
      </c>
      <c r="G92" s="443">
        <v>17</v>
      </c>
      <c r="H92" s="445">
        <v>2020</v>
      </c>
      <c r="I92" s="134">
        <v>0.9857999999999999</v>
      </c>
      <c r="J92" s="161">
        <v>1.044943820224719</v>
      </c>
      <c r="K92" s="76">
        <f>'Key Inputs_BY Techs'!I$27*'Key Inputs_New Techs'!$J92</f>
        <v>0.9857999999999999</v>
      </c>
      <c r="L92" s="76">
        <f>'Key Inputs_BY Techs'!J$27*'Key Inputs_New Techs'!$J92</f>
        <v>0.9857999999999999</v>
      </c>
      <c r="M92" s="76">
        <f>'Key Inputs_BY Techs'!K$27*'Key Inputs_New Techs'!$J92</f>
        <v>0.9857999999999999</v>
      </c>
      <c r="N92" s="76">
        <f>'Key Inputs_BY Techs'!L$27*'Key Inputs_New Techs'!$J92</f>
        <v>0.9857999999999999</v>
      </c>
      <c r="O92" s="76">
        <f>'Key Inputs_BY Techs'!M$27*'Key Inputs_New Techs'!$J92</f>
        <v>0.9857999999999999</v>
      </c>
      <c r="P92" s="76">
        <f>'Key Inputs_BY Techs'!N$27*'Key Inputs_New Techs'!$J92</f>
        <v>0.9857999999999999</v>
      </c>
      <c r="Q92" s="76">
        <f>'Key Inputs_BY Techs'!O$27*'Key Inputs_New Techs'!$J92</f>
        <v>0.9857999999999999</v>
      </c>
      <c r="R92" s="76">
        <f>'Key Inputs_BY Techs'!P$27*'Key Inputs_New Techs'!$J92</f>
        <v>0.9857999999999999</v>
      </c>
      <c r="S92" s="76">
        <f>'Key Inputs_BY Techs'!Q$27*'Key Inputs_New Techs'!$J92</f>
        <v>0.9857999999999999</v>
      </c>
      <c r="T92" s="76">
        <f>'Key Inputs_BY Techs'!R$27*'Key Inputs_New Techs'!$J92</f>
        <v>0.9857999999999999</v>
      </c>
      <c r="U92" s="76">
        <f>'Key Inputs_BY Techs'!S$27*'Key Inputs_New Techs'!$J92</f>
        <v>0.9857999999999999</v>
      </c>
      <c r="V92" s="76">
        <f>'Key Inputs_BY Techs'!T$27*'Key Inputs_New Techs'!$J92</f>
        <v>0.9857999999999999</v>
      </c>
      <c r="W92" s="76">
        <f>'Key Inputs_BY Techs'!U$27*'Key Inputs_New Techs'!$J92</f>
        <v>0.9857999999999999</v>
      </c>
      <c r="X92" s="76">
        <f>'Key Inputs_BY Techs'!V$27*'Key Inputs_New Techs'!$J92</f>
        <v>0.9857999999999999</v>
      </c>
      <c r="Y92" s="76">
        <f>'Key Inputs_BY Techs'!W$27*'Key Inputs_New Techs'!$J92</f>
        <v>0.9857999999999999</v>
      </c>
      <c r="Z92" s="76">
        <f>'Key Inputs_BY Techs'!X$27*'Key Inputs_New Techs'!$J92</f>
        <v>0.9857999999999999</v>
      </c>
      <c r="AA92" s="76">
        <f>'Key Inputs_BY Techs'!Y$27*'Key Inputs_New Techs'!$J92</f>
        <v>0.9857999999999999</v>
      </c>
      <c r="AB92" s="76">
        <f>'Key Inputs_BY Techs'!Z$27*'Key Inputs_New Techs'!$J92</f>
        <v>0.9857999999999999</v>
      </c>
      <c r="AC92" s="76">
        <f>'Key Inputs_BY Techs'!AA$27*'Key Inputs_New Techs'!$J92</f>
        <v>0.9857999999999999</v>
      </c>
      <c r="AD92" s="76">
        <f>'Key Inputs_BY Techs'!AB$27*'Key Inputs_New Techs'!$J92</f>
        <v>0.9857999999999999</v>
      </c>
      <c r="AE92" s="76">
        <f>'Key Inputs_BY Techs'!AC$27*'Key Inputs_New Techs'!$J92</f>
        <v>0.9857999999999999</v>
      </c>
      <c r="AF92" s="76">
        <f>'Key Inputs_BY Techs'!AD$27*'Key Inputs_New Techs'!$J92</f>
        <v>0.9857999999999999</v>
      </c>
      <c r="AG92" s="76">
        <f>'Key Inputs_BY Techs'!AE$27*'Key Inputs_New Techs'!$J92</f>
        <v>0.9857999999999999</v>
      </c>
      <c r="AH92" s="76">
        <f>'Key Inputs_BY Techs'!AF$27*'Key Inputs_New Techs'!$J92</f>
        <v>0.9857999999999999</v>
      </c>
      <c r="AI92" s="76">
        <f>'Key Inputs_BY Techs'!AG$27*'Key Inputs_New Techs'!$J92</f>
        <v>0.9857999999999999</v>
      </c>
      <c r="AJ92" s="76">
        <f>'Key Inputs_BY Techs'!AH$27*'Key Inputs_New Techs'!$J92</f>
        <v>0.9857999999999999</v>
      </c>
      <c r="AK92" s="76">
        <f>'Key Inputs_BY Techs'!AI$27*'Key Inputs_New Techs'!$J92</f>
        <v>0.9857999999999999</v>
      </c>
      <c r="AL92" s="76">
        <f>'Key Inputs_BY Techs'!AJ$27*'Key Inputs_New Techs'!$J92</f>
        <v>0.9857999999999999</v>
      </c>
    </row>
    <row r="93" spans="1:51" x14ac:dyDescent="0.25">
      <c r="A93" s="424" t="s">
        <v>122</v>
      </c>
      <c r="B93" s="425" t="s">
        <v>554</v>
      </c>
      <c r="C93" s="425" t="s">
        <v>474</v>
      </c>
      <c r="D93" s="425" t="s">
        <v>475</v>
      </c>
      <c r="E93" s="425" t="s">
        <v>273</v>
      </c>
      <c r="F93" s="443">
        <v>2025</v>
      </c>
      <c r="G93" s="443">
        <v>17</v>
      </c>
      <c r="H93" s="445">
        <v>2025</v>
      </c>
      <c r="I93" s="134">
        <v>0.9857999999999999</v>
      </c>
      <c r="J93" s="161">
        <v>1.044943820224719</v>
      </c>
      <c r="K93" s="76">
        <f>'Key Inputs_BY Techs'!I$27*'Key Inputs_New Techs'!$J93</f>
        <v>0.9857999999999999</v>
      </c>
      <c r="L93" s="76">
        <f>'Key Inputs_BY Techs'!J$27*'Key Inputs_New Techs'!$J93</f>
        <v>0.9857999999999999</v>
      </c>
      <c r="M93" s="76">
        <f>'Key Inputs_BY Techs'!K$27*'Key Inputs_New Techs'!$J93</f>
        <v>0.9857999999999999</v>
      </c>
      <c r="N93" s="76">
        <f>'Key Inputs_BY Techs'!L$27*'Key Inputs_New Techs'!$J93</f>
        <v>0.9857999999999999</v>
      </c>
      <c r="O93" s="76">
        <f>'Key Inputs_BY Techs'!M$27*'Key Inputs_New Techs'!$J93</f>
        <v>0.9857999999999999</v>
      </c>
      <c r="P93" s="76">
        <f>'Key Inputs_BY Techs'!N$27*'Key Inputs_New Techs'!$J93</f>
        <v>0.9857999999999999</v>
      </c>
      <c r="Q93" s="76">
        <f>'Key Inputs_BY Techs'!O$27*'Key Inputs_New Techs'!$J93</f>
        <v>0.9857999999999999</v>
      </c>
      <c r="R93" s="76">
        <f>'Key Inputs_BY Techs'!P$27*'Key Inputs_New Techs'!$J93</f>
        <v>0.9857999999999999</v>
      </c>
      <c r="S93" s="76">
        <f>'Key Inputs_BY Techs'!Q$27*'Key Inputs_New Techs'!$J93</f>
        <v>0.9857999999999999</v>
      </c>
      <c r="T93" s="76">
        <f>'Key Inputs_BY Techs'!R$27*'Key Inputs_New Techs'!$J93</f>
        <v>0.9857999999999999</v>
      </c>
      <c r="U93" s="76">
        <f>'Key Inputs_BY Techs'!S$27*'Key Inputs_New Techs'!$J93</f>
        <v>0.9857999999999999</v>
      </c>
      <c r="V93" s="76">
        <f>'Key Inputs_BY Techs'!T$27*'Key Inputs_New Techs'!$J93</f>
        <v>0.9857999999999999</v>
      </c>
      <c r="W93" s="76">
        <f>'Key Inputs_BY Techs'!U$27*'Key Inputs_New Techs'!$J93</f>
        <v>0.9857999999999999</v>
      </c>
      <c r="X93" s="76">
        <f>'Key Inputs_BY Techs'!V$27*'Key Inputs_New Techs'!$J93</f>
        <v>0.9857999999999999</v>
      </c>
      <c r="Y93" s="76">
        <f>'Key Inputs_BY Techs'!W$27*'Key Inputs_New Techs'!$J93</f>
        <v>0.9857999999999999</v>
      </c>
      <c r="Z93" s="76">
        <f>'Key Inputs_BY Techs'!X$27*'Key Inputs_New Techs'!$J93</f>
        <v>0.9857999999999999</v>
      </c>
      <c r="AA93" s="76">
        <f>'Key Inputs_BY Techs'!Y$27*'Key Inputs_New Techs'!$J93</f>
        <v>0.9857999999999999</v>
      </c>
      <c r="AB93" s="76">
        <f>'Key Inputs_BY Techs'!Z$27*'Key Inputs_New Techs'!$J93</f>
        <v>0.9857999999999999</v>
      </c>
      <c r="AC93" s="76">
        <f>'Key Inputs_BY Techs'!AA$27*'Key Inputs_New Techs'!$J93</f>
        <v>0.9857999999999999</v>
      </c>
      <c r="AD93" s="76">
        <f>'Key Inputs_BY Techs'!AB$27*'Key Inputs_New Techs'!$J93</f>
        <v>0.9857999999999999</v>
      </c>
      <c r="AE93" s="76">
        <f>'Key Inputs_BY Techs'!AC$27*'Key Inputs_New Techs'!$J93</f>
        <v>0.9857999999999999</v>
      </c>
      <c r="AF93" s="76">
        <f>'Key Inputs_BY Techs'!AD$27*'Key Inputs_New Techs'!$J93</f>
        <v>0.9857999999999999</v>
      </c>
      <c r="AG93" s="76">
        <f>'Key Inputs_BY Techs'!AE$27*'Key Inputs_New Techs'!$J93</f>
        <v>0.9857999999999999</v>
      </c>
      <c r="AH93" s="76">
        <f>'Key Inputs_BY Techs'!AF$27*'Key Inputs_New Techs'!$J93</f>
        <v>0.9857999999999999</v>
      </c>
      <c r="AI93" s="76">
        <f>'Key Inputs_BY Techs'!AG$27*'Key Inputs_New Techs'!$J93</f>
        <v>0.9857999999999999</v>
      </c>
      <c r="AJ93" s="76">
        <f>'Key Inputs_BY Techs'!AH$27*'Key Inputs_New Techs'!$J93</f>
        <v>0.9857999999999999</v>
      </c>
      <c r="AK93" s="76">
        <f>'Key Inputs_BY Techs'!AI$27*'Key Inputs_New Techs'!$J93</f>
        <v>0.9857999999999999</v>
      </c>
      <c r="AL93" s="76">
        <f>'Key Inputs_BY Techs'!AJ$27*'Key Inputs_New Techs'!$J93</f>
        <v>0.9857999999999999</v>
      </c>
    </row>
    <row r="94" spans="1:51" x14ac:dyDescent="0.25">
      <c r="C94" s="424"/>
      <c r="D94" s="424"/>
      <c r="E94" s="424"/>
      <c r="F94" s="446"/>
      <c r="G94" s="446"/>
      <c r="H94" s="445">
        <v>2030</v>
      </c>
      <c r="I94" s="134">
        <v>1.0176000000000001</v>
      </c>
      <c r="J94" s="161">
        <v>1.0786516853932584</v>
      </c>
      <c r="K94" s="76">
        <f>'Key Inputs_BY Techs'!I$27*'Key Inputs_New Techs'!$J94</f>
        <v>1.0176000000000001</v>
      </c>
      <c r="L94" s="76">
        <f>'Key Inputs_BY Techs'!J$27*'Key Inputs_New Techs'!$J94</f>
        <v>1.0176000000000001</v>
      </c>
      <c r="M94" s="76">
        <f>'Key Inputs_BY Techs'!K$27*'Key Inputs_New Techs'!$J94</f>
        <v>1.0176000000000001</v>
      </c>
      <c r="N94" s="76">
        <f>'Key Inputs_BY Techs'!L$27*'Key Inputs_New Techs'!$J94</f>
        <v>1.0176000000000001</v>
      </c>
      <c r="O94" s="76">
        <f>'Key Inputs_BY Techs'!M$27*'Key Inputs_New Techs'!$J94</f>
        <v>1.0176000000000001</v>
      </c>
      <c r="P94" s="76">
        <f>'Key Inputs_BY Techs'!N$27*'Key Inputs_New Techs'!$J94</f>
        <v>1.0176000000000001</v>
      </c>
      <c r="Q94" s="76">
        <f>'Key Inputs_BY Techs'!O$27*'Key Inputs_New Techs'!$J94</f>
        <v>1.0176000000000001</v>
      </c>
      <c r="R94" s="76">
        <f>'Key Inputs_BY Techs'!P$27*'Key Inputs_New Techs'!$J94</f>
        <v>1.0176000000000001</v>
      </c>
      <c r="S94" s="76">
        <f>'Key Inputs_BY Techs'!Q$27*'Key Inputs_New Techs'!$J94</f>
        <v>1.0176000000000001</v>
      </c>
      <c r="T94" s="76">
        <f>'Key Inputs_BY Techs'!R$27*'Key Inputs_New Techs'!$J94</f>
        <v>1.0176000000000001</v>
      </c>
      <c r="U94" s="76">
        <f>'Key Inputs_BY Techs'!S$27*'Key Inputs_New Techs'!$J94</f>
        <v>1.0176000000000001</v>
      </c>
      <c r="V94" s="76">
        <f>'Key Inputs_BY Techs'!T$27*'Key Inputs_New Techs'!$J94</f>
        <v>1.0176000000000001</v>
      </c>
      <c r="W94" s="76">
        <f>'Key Inputs_BY Techs'!U$27*'Key Inputs_New Techs'!$J94</f>
        <v>1.0176000000000001</v>
      </c>
      <c r="X94" s="76">
        <f>'Key Inputs_BY Techs'!V$27*'Key Inputs_New Techs'!$J94</f>
        <v>1.0176000000000001</v>
      </c>
      <c r="Y94" s="76">
        <f>'Key Inputs_BY Techs'!W$27*'Key Inputs_New Techs'!$J94</f>
        <v>1.0176000000000001</v>
      </c>
      <c r="Z94" s="76">
        <f>'Key Inputs_BY Techs'!X$27*'Key Inputs_New Techs'!$J94</f>
        <v>1.0176000000000001</v>
      </c>
      <c r="AA94" s="76">
        <f>'Key Inputs_BY Techs'!Y$27*'Key Inputs_New Techs'!$J94</f>
        <v>1.0176000000000001</v>
      </c>
      <c r="AB94" s="76">
        <f>'Key Inputs_BY Techs'!Z$27*'Key Inputs_New Techs'!$J94</f>
        <v>1.0176000000000001</v>
      </c>
      <c r="AC94" s="76">
        <f>'Key Inputs_BY Techs'!AA$27*'Key Inputs_New Techs'!$J94</f>
        <v>1.0176000000000001</v>
      </c>
      <c r="AD94" s="76">
        <f>'Key Inputs_BY Techs'!AB$27*'Key Inputs_New Techs'!$J94</f>
        <v>1.0176000000000001</v>
      </c>
      <c r="AE94" s="76">
        <f>'Key Inputs_BY Techs'!AC$27*'Key Inputs_New Techs'!$J94</f>
        <v>1.0176000000000001</v>
      </c>
      <c r="AF94" s="76">
        <f>'Key Inputs_BY Techs'!AD$27*'Key Inputs_New Techs'!$J94</f>
        <v>1.0176000000000001</v>
      </c>
      <c r="AG94" s="76">
        <f>'Key Inputs_BY Techs'!AE$27*'Key Inputs_New Techs'!$J94</f>
        <v>1.0176000000000001</v>
      </c>
      <c r="AH94" s="76">
        <f>'Key Inputs_BY Techs'!AF$27*'Key Inputs_New Techs'!$J94</f>
        <v>1.0176000000000001</v>
      </c>
      <c r="AI94" s="76">
        <f>'Key Inputs_BY Techs'!AG$27*'Key Inputs_New Techs'!$J94</f>
        <v>1.0176000000000001</v>
      </c>
      <c r="AJ94" s="76">
        <f>'Key Inputs_BY Techs'!AH$27*'Key Inputs_New Techs'!$J94</f>
        <v>1.0176000000000001</v>
      </c>
      <c r="AK94" s="76">
        <f>'Key Inputs_BY Techs'!AI$27*'Key Inputs_New Techs'!$J94</f>
        <v>1.0176000000000001</v>
      </c>
      <c r="AL94" s="76">
        <f>'Key Inputs_BY Techs'!AJ$27*'Key Inputs_New Techs'!$J94</f>
        <v>1.0176000000000001</v>
      </c>
    </row>
    <row r="95" spans="1:51" x14ac:dyDescent="0.25">
      <c r="A95" s="424" t="s">
        <v>122</v>
      </c>
      <c r="B95" s="512" t="s">
        <v>590</v>
      </c>
      <c r="C95" s="512" t="s">
        <v>0</v>
      </c>
      <c r="D95" s="512" t="s">
        <v>109</v>
      </c>
      <c r="E95" s="425" t="s">
        <v>265</v>
      </c>
      <c r="F95" s="443">
        <v>2020</v>
      </c>
      <c r="G95" s="444">
        <v>17</v>
      </c>
      <c r="H95" s="445">
        <v>2020</v>
      </c>
      <c r="I95" s="134">
        <v>0.94340000000000002</v>
      </c>
      <c r="J95" s="161">
        <v>1</v>
      </c>
      <c r="K95" s="76">
        <f>K91</f>
        <v>0.94340000000000002</v>
      </c>
      <c r="L95" s="76">
        <f t="shared" ref="L95:AL95" si="1">L91</f>
        <v>0.94340000000000002</v>
      </c>
      <c r="M95" s="76">
        <f t="shared" si="1"/>
        <v>0.94340000000000002</v>
      </c>
      <c r="N95" s="76">
        <f t="shared" si="1"/>
        <v>0.94340000000000002</v>
      </c>
      <c r="O95" s="76">
        <f t="shared" si="1"/>
        <v>0.94340000000000002</v>
      </c>
      <c r="P95" s="76">
        <f t="shared" si="1"/>
        <v>0.94340000000000002</v>
      </c>
      <c r="Q95" s="76">
        <f t="shared" si="1"/>
        <v>0.94340000000000002</v>
      </c>
      <c r="R95" s="76">
        <f t="shared" si="1"/>
        <v>0.94340000000000002</v>
      </c>
      <c r="S95" s="76">
        <f t="shared" si="1"/>
        <v>0.94340000000000002</v>
      </c>
      <c r="T95" s="76">
        <f t="shared" si="1"/>
        <v>0.94340000000000002</v>
      </c>
      <c r="U95" s="76">
        <f t="shared" si="1"/>
        <v>0.94340000000000002</v>
      </c>
      <c r="V95" s="76">
        <f t="shared" si="1"/>
        <v>0.94340000000000002</v>
      </c>
      <c r="W95" s="76">
        <f t="shared" si="1"/>
        <v>0.94340000000000002</v>
      </c>
      <c r="X95" s="76">
        <f t="shared" si="1"/>
        <v>0.94340000000000002</v>
      </c>
      <c r="Y95" s="76">
        <f t="shared" si="1"/>
        <v>0.94340000000000002</v>
      </c>
      <c r="Z95" s="76">
        <f t="shared" si="1"/>
        <v>0.94340000000000002</v>
      </c>
      <c r="AA95" s="76">
        <f t="shared" si="1"/>
        <v>0.94340000000000002</v>
      </c>
      <c r="AB95" s="76">
        <f t="shared" si="1"/>
        <v>0.94340000000000002</v>
      </c>
      <c r="AC95" s="76">
        <f t="shared" si="1"/>
        <v>0.94340000000000002</v>
      </c>
      <c r="AD95" s="76">
        <f t="shared" si="1"/>
        <v>0.94340000000000002</v>
      </c>
      <c r="AE95" s="76">
        <f t="shared" si="1"/>
        <v>0.94340000000000002</v>
      </c>
      <c r="AF95" s="76">
        <f t="shared" si="1"/>
        <v>0.94340000000000002</v>
      </c>
      <c r="AG95" s="76">
        <f t="shared" si="1"/>
        <v>0.94340000000000002</v>
      </c>
      <c r="AH95" s="76">
        <f t="shared" si="1"/>
        <v>0.94340000000000002</v>
      </c>
      <c r="AI95" s="76">
        <f t="shared" si="1"/>
        <v>0.94340000000000002</v>
      </c>
      <c r="AJ95" s="76">
        <f t="shared" si="1"/>
        <v>0.94340000000000002</v>
      </c>
      <c r="AK95" s="76">
        <f t="shared" si="1"/>
        <v>0.94340000000000002</v>
      </c>
      <c r="AL95" s="76">
        <f t="shared" si="1"/>
        <v>0.94340000000000002</v>
      </c>
      <c r="AM95" s="426"/>
      <c r="AN95" s="426"/>
      <c r="AO95" s="426"/>
      <c r="AP95" s="426"/>
      <c r="AQ95" s="426"/>
      <c r="AR95" s="426"/>
      <c r="AS95" s="426"/>
      <c r="AT95" s="426"/>
      <c r="AU95" s="426"/>
      <c r="AV95" s="426"/>
      <c r="AW95" s="426"/>
      <c r="AX95" s="426"/>
      <c r="AY95" s="426"/>
    </row>
    <row r="96" spans="1:51" x14ac:dyDescent="0.25">
      <c r="A96" s="424" t="s">
        <v>122</v>
      </c>
      <c r="B96" s="425" t="s">
        <v>555</v>
      </c>
      <c r="C96" s="425" t="s">
        <v>22</v>
      </c>
      <c r="D96" s="425" t="s">
        <v>111</v>
      </c>
      <c r="E96" s="425" t="s">
        <v>270</v>
      </c>
      <c r="F96" s="443">
        <v>2020</v>
      </c>
      <c r="G96" s="444">
        <v>15</v>
      </c>
      <c r="H96" s="445">
        <v>2020</v>
      </c>
      <c r="I96" s="134">
        <v>1</v>
      </c>
      <c r="J96" s="163">
        <v>1</v>
      </c>
      <c r="K96" s="165">
        <f>'Key Inputs_BY Techs'!I$18*'Key Inputs_New Techs'!$J96</f>
        <v>1</v>
      </c>
      <c r="L96" s="165">
        <f>'Key Inputs_BY Techs'!J$18*'Key Inputs_New Techs'!$J96</f>
        <v>1</v>
      </c>
      <c r="M96" s="165">
        <f>'Key Inputs_BY Techs'!K$18*'Key Inputs_New Techs'!$J96</f>
        <v>1</v>
      </c>
      <c r="N96" s="165">
        <f>'Key Inputs_BY Techs'!L$18*'Key Inputs_New Techs'!$J96</f>
        <v>1</v>
      </c>
      <c r="O96" s="165">
        <f>'Key Inputs_BY Techs'!M$18*'Key Inputs_New Techs'!$J96</f>
        <v>1</v>
      </c>
      <c r="P96" s="165">
        <f>'Key Inputs_BY Techs'!N$18*'Key Inputs_New Techs'!$J96</f>
        <v>1</v>
      </c>
      <c r="Q96" s="165">
        <f>'Key Inputs_BY Techs'!O$18*'Key Inputs_New Techs'!$J96</f>
        <v>1</v>
      </c>
      <c r="R96" s="165">
        <f>'Key Inputs_BY Techs'!P$18*'Key Inputs_New Techs'!$J96</f>
        <v>1</v>
      </c>
      <c r="S96" s="165">
        <f>'Key Inputs_BY Techs'!Q$18*'Key Inputs_New Techs'!$J96</f>
        <v>1</v>
      </c>
      <c r="T96" s="165">
        <f>'Key Inputs_BY Techs'!R$18*'Key Inputs_New Techs'!$J96</f>
        <v>1</v>
      </c>
      <c r="U96" s="165">
        <f>'Key Inputs_BY Techs'!S$18*'Key Inputs_New Techs'!$J96</f>
        <v>1</v>
      </c>
      <c r="V96" s="165">
        <f>'Key Inputs_BY Techs'!T$18*'Key Inputs_New Techs'!$J96</f>
        <v>1</v>
      </c>
      <c r="W96" s="165">
        <f>'Key Inputs_BY Techs'!U$18*'Key Inputs_New Techs'!$J96</f>
        <v>1</v>
      </c>
      <c r="X96" s="165">
        <f>'Key Inputs_BY Techs'!V$18*'Key Inputs_New Techs'!$J96</f>
        <v>1</v>
      </c>
      <c r="Y96" s="165">
        <f>'Key Inputs_BY Techs'!W$18*'Key Inputs_New Techs'!$J96</f>
        <v>1</v>
      </c>
      <c r="Z96" s="165">
        <f>'Key Inputs_BY Techs'!X$18*'Key Inputs_New Techs'!$J96</f>
        <v>1</v>
      </c>
      <c r="AA96" s="165">
        <f>'Key Inputs_BY Techs'!Y$18*'Key Inputs_New Techs'!$J96</f>
        <v>1</v>
      </c>
      <c r="AB96" s="165">
        <f>'Key Inputs_BY Techs'!Z$18*'Key Inputs_New Techs'!$J96</f>
        <v>1</v>
      </c>
      <c r="AC96" s="165">
        <f>'Key Inputs_BY Techs'!AA$18*'Key Inputs_New Techs'!$J96</f>
        <v>1</v>
      </c>
      <c r="AD96" s="165">
        <f>'Key Inputs_BY Techs'!AB$18*'Key Inputs_New Techs'!$J96</f>
        <v>1</v>
      </c>
      <c r="AE96" s="165">
        <f>'Key Inputs_BY Techs'!AC$18*'Key Inputs_New Techs'!$J96</f>
        <v>1</v>
      </c>
      <c r="AF96" s="165">
        <f>'Key Inputs_BY Techs'!AD$18*'Key Inputs_New Techs'!$J96</f>
        <v>1</v>
      </c>
      <c r="AG96" s="165">
        <f>'Key Inputs_BY Techs'!AE$18*'Key Inputs_New Techs'!$J96</f>
        <v>1</v>
      </c>
      <c r="AH96" s="165">
        <f>'Key Inputs_BY Techs'!AF$18*'Key Inputs_New Techs'!$J96</f>
        <v>1</v>
      </c>
      <c r="AI96" s="165">
        <f>'Key Inputs_BY Techs'!AG$18*'Key Inputs_New Techs'!$J96</f>
        <v>1</v>
      </c>
      <c r="AJ96" s="165">
        <f>'Key Inputs_BY Techs'!AH$18*'Key Inputs_New Techs'!$J96</f>
        <v>1</v>
      </c>
      <c r="AK96" s="165">
        <f>'Key Inputs_BY Techs'!AI$18*'Key Inputs_New Techs'!$J96</f>
        <v>1</v>
      </c>
      <c r="AL96" s="165">
        <f>'Key Inputs_BY Techs'!AJ$18*'Key Inputs_New Techs'!$J96</f>
        <v>1</v>
      </c>
    </row>
    <row r="97" spans="1:51" x14ac:dyDescent="0.25">
      <c r="A97" s="448" t="s">
        <v>124</v>
      </c>
      <c r="B97" s="449" t="s">
        <v>556</v>
      </c>
      <c r="C97" s="449" t="s">
        <v>19</v>
      </c>
      <c r="D97" s="449" t="s">
        <v>105</v>
      </c>
      <c r="E97" s="449" t="s">
        <v>249</v>
      </c>
      <c r="F97" s="450">
        <v>2020</v>
      </c>
      <c r="G97" s="451">
        <v>14</v>
      </c>
      <c r="H97" s="452">
        <v>2020</v>
      </c>
      <c r="I97" s="453">
        <v>2.34</v>
      </c>
      <c r="J97" s="162">
        <v>1</v>
      </c>
      <c r="K97" s="494">
        <f>'Key Inputs_BY Techs'!I$29*'Key Inputs_New Techs'!$J97</f>
        <v>2.34</v>
      </c>
      <c r="L97" s="189">
        <f>'Key Inputs_BY Techs'!J$29*'Key Inputs_New Techs'!$J97</f>
        <v>2.34</v>
      </c>
      <c r="M97" s="189">
        <f>'Key Inputs_BY Techs'!K$29*'Key Inputs_New Techs'!$J97</f>
        <v>2.34</v>
      </c>
      <c r="N97" s="189">
        <f>'Key Inputs_BY Techs'!L$29*'Key Inputs_New Techs'!$J97</f>
        <v>2.34</v>
      </c>
      <c r="O97" s="189">
        <f>'Key Inputs_BY Techs'!M$29*'Key Inputs_New Techs'!$J97</f>
        <v>2.34</v>
      </c>
      <c r="P97" s="189">
        <f>'Key Inputs_BY Techs'!N$29*'Key Inputs_New Techs'!$J97</f>
        <v>2.34</v>
      </c>
      <c r="Q97" s="189">
        <f>'Key Inputs_BY Techs'!O$29*'Key Inputs_New Techs'!$J97</f>
        <v>2.34</v>
      </c>
      <c r="R97" s="189">
        <f>'Key Inputs_BY Techs'!P$29*'Key Inputs_New Techs'!$J97</f>
        <v>2.34</v>
      </c>
      <c r="S97" s="189">
        <f>'Key Inputs_BY Techs'!Q$29*'Key Inputs_New Techs'!$J97</f>
        <v>2.34</v>
      </c>
      <c r="T97" s="189">
        <f>'Key Inputs_BY Techs'!R$29*'Key Inputs_New Techs'!$J97</f>
        <v>2.34</v>
      </c>
      <c r="U97" s="189">
        <f>'Key Inputs_BY Techs'!S$29*'Key Inputs_New Techs'!$J97</f>
        <v>2.34</v>
      </c>
      <c r="V97" s="189">
        <f>'Key Inputs_BY Techs'!T$29*'Key Inputs_New Techs'!$J97</f>
        <v>2.34</v>
      </c>
      <c r="W97" s="189">
        <f>'Key Inputs_BY Techs'!U$29*'Key Inputs_New Techs'!$J97</f>
        <v>2.34</v>
      </c>
      <c r="X97" s="189">
        <f>'Key Inputs_BY Techs'!V$29*'Key Inputs_New Techs'!$J97</f>
        <v>2.34</v>
      </c>
      <c r="Y97" s="189">
        <f>'Key Inputs_BY Techs'!W$29*'Key Inputs_New Techs'!$J97</f>
        <v>2.34</v>
      </c>
      <c r="Z97" s="189">
        <f>'Key Inputs_BY Techs'!X$29*'Key Inputs_New Techs'!$J97</f>
        <v>2.34</v>
      </c>
      <c r="AA97" s="189">
        <f>'Key Inputs_BY Techs'!Y$29*'Key Inputs_New Techs'!$J97</f>
        <v>2.34</v>
      </c>
      <c r="AB97" s="189">
        <f>'Key Inputs_BY Techs'!Z$29*'Key Inputs_New Techs'!$J97</f>
        <v>2.34</v>
      </c>
      <c r="AC97" s="189">
        <f>'Key Inputs_BY Techs'!AA$29*'Key Inputs_New Techs'!$J97</f>
        <v>2.34</v>
      </c>
      <c r="AD97" s="189">
        <f>'Key Inputs_BY Techs'!AB$29*'Key Inputs_New Techs'!$J97</f>
        <v>2.34</v>
      </c>
      <c r="AE97" s="189">
        <f>'Key Inputs_BY Techs'!AC$29*'Key Inputs_New Techs'!$J97</f>
        <v>2.34</v>
      </c>
      <c r="AF97" s="189">
        <f>'Key Inputs_BY Techs'!AD$29*'Key Inputs_New Techs'!$J97</f>
        <v>2.34</v>
      </c>
      <c r="AG97" s="189">
        <f>'Key Inputs_BY Techs'!AE$29*'Key Inputs_New Techs'!$J97</f>
        <v>2.34</v>
      </c>
      <c r="AH97" s="189">
        <f>'Key Inputs_BY Techs'!AF$29*'Key Inputs_New Techs'!$J97</f>
        <v>2.34</v>
      </c>
      <c r="AI97" s="189">
        <f>'Key Inputs_BY Techs'!AG$29*'Key Inputs_New Techs'!$J97</f>
        <v>2.34</v>
      </c>
      <c r="AJ97" s="189">
        <f>'Key Inputs_BY Techs'!AH$29*'Key Inputs_New Techs'!$J97</f>
        <v>2.34</v>
      </c>
      <c r="AK97" s="189">
        <f>'Key Inputs_BY Techs'!AI$29*'Key Inputs_New Techs'!$J97</f>
        <v>2.34</v>
      </c>
      <c r="AL97" s="189">
        <f>'Key Inputs_BY Techs'!AJ$29*'Key Inputs_New Techs'!$J97</f>
        <v>2.34</v>
      </c>
    </row>
    <row r="98" spans="1:51" x14ac:dyDescent="0.25">
      <c r="A98" s="424" t="s">
        <v>124</v>
      </c>
      <c r="B98" s="425" t="s">
        <v>557</v>
      </c>
      <c r="C98" s="425" t="s">
        <v>19</v>
      </c>
      <c r="D98" s="425" t="s">
        <v>105</v>
      </c>
      <c r="E98" s="425" t="s">
        <v>250</v>
      </c>
      <c r="F98" s="443">
        <v>2025</v>
      </c>
      <c r="G98" s="444">
        <v>14</v>
      </c>
      <c r="H98" s="445">
        <v>2025</v>
      </c>
      <c r="I98" s="454">
        <v>2.34</v>
      </c>
      <c r="J98" s="161">
        <v>1</v>
      </c>
      <c r="K98" s="492">
        <f>'Key Inputs_BY Techs'!I$29*'Key Inputs_New Techs'!$J98</f>
        <v>2.34</v>
      </c>
      <c r="L98" s="164">
        <f>'Key Inputs_BY Techs'!J$29*'Key Inputs_New Techs'!$J98</f>
        <v>2.34</v>
      </c>
      <c r="M98" s="164">
        <f>'Key Inputs_BY Techs'!K$29*'Key Inputs_New Techs'!$J98</f>
        <v>2.34</v>
      </c>
      <c r="N98" s="164">
        <f>'Key Inputs_BY Techs'!L$29*'Key Inputs_New Techs'!$J98</f>
        <v>2.34</v>
      </c>
      <c r="O98" s="164">
        <f>'Key Inputs_BY Techs'!M$29*'Key Inputs_New Techs'!$J98</f>
        <v>2.34</v>
      </c>
      <c r="P98" s="164">
        <f>'Key Inputs_BY Techs'!N$29*'Key Inputs_New Techs'!$J98</f>
        <v>2.34</v>
      </c>
      <c r="Q98" s="164">
        <f>'Key Inputs_BY Techs'!O$29*'Key Inputs_New Techs'!$J98</f>
        <v>2.34</v>
      </c>
      <c r="R98" s="164">
        <f>'Key Inputs_BY Techs'!P$29*'Key Inputs_New Techs'!$J98</f>
        <v>2.34</v>
      </c>
      <c r="S98" s="164">
        <f>'Key Inputs_BY Techs'!Q$29*'Key Inputs_New Techs'!$J98</f>
        <v>2.34</v>
      </c>
      <c r="T98" s="164">
        <f>'Key Inputs_BY Techs'!R$29*'Key Inputs_New Techs'!$J98</f>
        <v>2.34</v>
      </c>
      <c r="U98" s="164">
        <f>'Key Inputs_BY Techs'!S$29*'Key Inputs_New Techs'!$J98</f>
        <v>2.34</v>
      </c>
      <c r="V98" s="164">
        <f>'Key Inputs_BY Techs'!T$29*'Key Inputs_New Techs'!$J98</f>
        <v>2.34</v>
      </c>
      <c r="W98" s="164">
        <f>'Key Inputs_BY Techs'!U$29*'Key Inputs_New Techs'!$J98</f>
        <v>2.34</v>
      </c>
      <c r="X98" s="164">
        <f>'Key Inputs_BY Techs'!V$29*'Key Inputs_New Techs'!$J98</f>
        <v>2.34</v>
      </c>
      <c r="Y98" s="164">
        <f>'Key Inputs_BY Techs'!W$29*'Key Inputs_New Techs'!$J98</f>
        <v>2.34</v>
      </c>
      <c r="Z98" s="164">
        <f>'Key Inputs_BY Techs'!X$29*'Key Inputs_New Techs'!$J98</f>
        <v>2.34</v>
      </c>
      <c r="AA98" s="164">
        <f>'Key Inputs_BY Techs'!Y$29*'Key Inputs_New Techs'!$J98</f>
        <v>2.34</v>
      </c>
      <c r="AB98" s="164">
        <f>'Key Inputs_BY Techs'!Z$29*'Key Inputs_New Techs'!$J98</f>
        <v>2.34</v>
      </c>
      <c r="AC98" s="164">
        <f>'Key Inputs_BY Techs'!AA$29*'Key Inputs_New Techs'!$J98</f>
        <v>2.34</v>
      </c>
      <c r="AD98" s="164">
        <f>'Key Inputs_BY Techs'!AB$29*'Key Inputs_New Techs'!$J98</f>
        <v>2.34</v>
      </c>
      <c r="AE98" s="164">
        <f>'Key Inputs_BY Techs'!AC$29*'Key Inputs_New Techs'!$J98</f>
        <v>2.34</v>
      </c>
      <c r="AF98" s="164">
        <f>'Key Inputs_BY Techs'!AD$29*'Key Inputs_New Techs'!$J98</f>
        <v>2.34</v>
      </c>
      <c r="AG98" s="164">
        <f>'Key Inputs_BY Techs'!AE$29*'Key Inputs_New Techs'!$J98</f>
        <v>2.34</v>
      </c>
      <c r="AH98" s="164">
        <f>'Key Inputs_BY Techs'!AF$29*'Key Inputs_New Techs'!$J98</f>
        <v>2.34</v>
      </c>
      <c r="AI98" s="164">
        <f>'Key Inputs_BY Techs'!AG$29*'Key Inputs_New Techs'!$J98</f>
        <v>2.34</v>
      </c>
      <c r="AJ98" s="164">
        <f>'Key Inputs_BY Techs'!AH$29*'Key Inputs_New Techs'!$J98</f>
        <v>2.34</v>
      </c>
      <c r="AK98" s="164">
        <f>'Key Inputs_BY Techs'!AI$29*'Key Inputs_New Techs'!$J98</f>
        <v>2.34</v>
      </c>
      <c r="AL98" s="164">
        <f>'Key Inputs_BY Techs'!AJ$29*'Key Inputs_New Techs'!$J98</f>
        <v>2.34</v>
      </c>
    </row>
    <row r="99" spans="1:51" x14ac:dyDescent="0.25">
      <c r="C99" s="424"/>
      <c r="D99" s="424"/>
      <c r="E99" s="424"/>
      <c r="F99" s="446"/>
      <c r="G99" s="455"/>
      <c r="H99" s="445">
        <v>2030</v>
      </c>
      <c r="I99" s="454">
        <v>2.42</v>
      </c>
      <c r="J99" s="161">
        <v>1.0341880341880343</v>
      </c>
      <c r="K99" s="492">
        <f>'Key Inputs_BY Techs'!I$29*'Key Inputs_New Techs'!$J99</f>
        <v>2.42</v>
      </c>
      <c r="L99" s="164">
        <f>'Key Inputs_BY Techs'!J$29*'Key Inputs_New Techs'!$J99</f>
        <v>2.42</v>
      </c>
      <c r="M99" s="164">
        <f>'Key Inputs_BY Techs'!K$29*'Key Inputs_New Techs'!$J99</f>
        <v>2.42</v>
      </c>
      <c r="N99" s="164">
        <f>'Key Inputs_BY Techs'!L$29*'Key Inputs_New Techs'!$J99</f>
        <v>2.42</v>
      </c>
      <c r="O99" s="164">
        <f>'Key Inputs_BY Techs'!M$29*'Key Inputs_New Techs'!$J99</f>
        <v>2.42</v>
      </c>
      <c r="P99" s="164">
        <f>'Key Inputs_BY Techs'!N$29*'Key Inputs_New Techs'!$J99</f>
        <v>2.42</v>
      </c>
      <c r="Q99" s="164">
        <f>'Key Inputs_BY Techs'!O$29*'Key Inputs_New Techs'!$J99</f>
        <v>2.42</v>
      </c>
      <c r="R99" s="164">
        <f>'Key Inputs_BY Techs'!P$29*'Key Inputs_New Techs'!$J99</f>
        <v>2.42</v>
      </c>
      <c r="S99" s="164">
        <f>'Key Inputs_BY Techs'!Q$29*'Key Inputs_New Techs'!$J99</f>
        <v>2.42</v>
      </c>
      <c r="T99" s="164">
        <f>'Key Inputs_BY Techs'!R$29*'Key Inputs_New Techs'!$J99</f>
        <v>2.42</v>
      </c>
      <c r="U99" s="164">
        <f>'Key Inputs_BY Techs'!S$29*'Key Inputs_New Techs'!$J99</f>
        <v>2.42</v>
      </c>
      <c r="V99" s="164">
        <f>'Key Inputs_BY Techs'!T$29*'Key Inputs_New Techs'!$J99</f>
        <v>2.42</v>
      </c>
      <c r="W99" s="164">
        <f>'Key Inputs_BY Techs'!U$29*'Key Inputs_New Techs'!$J99</f>
        <v>2.42</v>
      </c>
      <c r="X99" s="164">
        <f>'Key Inputs_BY Techs'!V$29*'Key Inputs_New Techs'!$J99</f>
        <v>2.42</v>
      </c>
      <c r="Y99" s="164">
        <f>'Key Inputs_BY Techs'!W$29*'Key Inputs_New Techs'!$J99</f>
        <v>2.42</v>
      </c>
      <c r="Z99" s="164">
        <f>'Key Inputs_BY Techs'!X$29*'Key Inputs_New Techs'!$J99</f>
        <v>2.42</v>
      </c>
      <c r="AA99" s="164">
        <f>'Key Inputs_BY Techs'!Y$29*'Key Inputs_New Techs'!$J99</f>
        <v>2.42</v>
      </c>
      <c r="AB99" s="164">
        <f>'Key Inputs_BY Techs'!Z$29*'Key Inputs_New Techs'!$J99</f>
        <v>2.42</v>
      </c>
      <c r="AC99" s="164">
        <f>'Key Inputs_BY Techs'!AA$29*'Key Inputs_New Techs'!$J99</f>
        <v>2.42</v>
      </c>
      <c r="AD99" s="164">
        <f>'Key Inputs_BY Techs'!AB$29*'Key Inputs_New Techs'!$J99</f>
        <v>2.42</v>
      </c>
      <c r="AE99" s="164">
        <f>'Key Inputs_BY Techs'!AC$29*'Key Inputs_New Techs'!$J99</f>
        <v>2.42</v>
      </c>
      <c r="AF99" s="164">
        <f>'Key Inputs_BY Techs'!AD$29*'Key Inputs_New Techs'!$J99</f>
        <v>2.42</v>
      </c>
      <c r="AG99" s="164">
        <f>'Key Inputs_BY Techs'!AE$29*'Key Inputs_New Techs'!$J99</f>
        <v>2.42</v>
      </c>
      <c r="AH99" s="164">
        <f>'Key Inputs_BY Techs'!AF$29*'Key Inputs_New Techs'!$J99</f>
        <v>2.42</v>
      </c>
      <c r="AI99" s="164">
        <f>'Key Inputs_BY Techs'!AG$29*'Key Inputs_New Techs'!$J99</f>
        <v>2.42</v>
      </c>
      <c r="AJ99" s="164">
        <f>'Key Inputs_BY Techs'!AH$29*'Key Inputs_New Techs'!$J99</f>
        <v>2.42</v>
      </c>
      <c r="AK99" s="164">
        <f>'Key Inputs_BY Techs'!AI$29*'Key Inputs_New Techs'!$J99</f>
        <v>2.42</v>
      </c>
      <c r="AL99" s="164">
        <f>'Key Inputs_BY Techs'!AJ$29*'Key Inputs_New Techs'!$J99</f>
        <v>2.42</v>
      </c>
    </row>
    <row r="100" spans="1:51" x14ac:dyDescent="0.25">
      <c r="B100" s="425"/>
      <c r="F100" s="443"/>
      <c r="G100" s="444"/>
      <c r="H100" s="445">
        <v>2050</v>
      </c>
      <c r="I100" s="454">
        <v>2.556</v>
      </c>
      <c r="J100" s="161">
        <v>1.0923076923076924</v>
      </c>
      <c r="K100" s="492">
        <f>'Key Inputs_BY Techs'!I$29*'Key Inputs_New Techs'!$J100</f>
        <v>2.556</v>
      </c>
      <c r="L100" s="164">
        <f>'Key Inputs_BY Techs'!J$29*'Key Inputs_New Techs'!$J100</f>
        <v>2.556</v>
      </c>
      <c r="M100" s="164">
        <f>'Key Inputs_BY Techs'!K$29*'Key Inputs_New Techs'!$J100</f>
        <v>2.556</v>
      </c>
      <c r="N100" s="164">
        <f>'Key Inputs_BY Techs'!L$29*'Key Inputs_New Techs'!$J100</f>
        <v>2.556</v>
      </c>
      <c r="O100" s="164">
        <f>'Key Inputs_BY Techs'!M$29*'Key Inputs_New Techs'!$J100</f>
        <v>2.556</v>
      </c>
      <c r="P100" s="164">
        <f>'Key Inputs_BY Techs'!N$29*'Key Inputs_New Techs'!$J100</f>
        <v>2.556</v>
      </c>
      <c r="Q100" s="164">
        <f>'Key Inputs_BY Techs'!O$29*'Key Inputs_New Techs'!$J100</f>
        <v>2.556</v>
      </c>
      <c r="R100" s="164">
        <f>'Key Inputs_BY Techs'!P$29*'Key Inputs_New Techs'!$J100</f>
        <v>2.556</v>
      </c>
      <c r="S100" s="164">
        <f>'Key Inputs_BY Techs'!Q$29*'Key Inputs_New Techs'!$J100</f>
        <v>2.556</v>
      </c>
      <c r="T100" s="164">
        <f>'Key Inputs_BY Techs'!R$29*'Key Inputs_New Techs'!$J100</f>
        <v>2.556</v>
      </c>
      <c r="U100" s="164">
        <f>'Key Inputs_BY Techs'!S$29*'Key Inputs_New Techs'!$J100</f>
        <v>2.556</v>
      </c>
      <c r="V100" s="164">
        <f>'Key Inputs_BY Techs'!T$29*'Key Inputs_New Techs'!$J100</f>
        <v>2.556</v>
      </c>
      <c r="W100" s="164">
        <f>'Key Inputs_BY Techs'!U$29*'Key Inputs_New Techs'!$J100</f>
        <v>2.556</v>
      </c>
      <c r="X100" s="164">
        <f>'Key Inputs_BY Techs'!V$29*'Key Inputs_New Techs'!$J100</f>
        <v>2.556</v>
      </c>
      <c r="Y100" s="164">
        <f>'Key Inputs_BY Techs'!W$29*'Key Inputs_New Techs'!$J100</f>
        <v>2.556</v>
      </c>
      <c r="Z100" s="164">
        <f>'Key Inputs_BY Techs'!X$29*'Key Inputs_New Techs'!$J100</f>
        <v>2.556</v>
      </c>
      <c r="AA100" s="164">
        <f>'Key Inputs_BY Techs'!Y$29*'Key Inputs_New Techs'!$J100</f>
        <v>2.556</v>
      </c>
      <c r="AB100" s="164">
        <f>'Key Inputs_BY Techs'!Z$29*'Key Inputs_New Techs'!$J100</f>
        <v>2.556</v>
      </c>
      <c r="AC100" s="164">
        <f>'Key Inputs_BY Techs'!AA$29*'Key Inputs_New Techs'!$J100</f>
        <v>2.556</v>
      </c>
      <c r="AD100" s="164">
        <f>'Key Inputs_BY Techs'!AB$29*'Key Inputs_New Techs'!$J100</f>
        <v>2.556</v>
      </c>
      <c r="AE100" s="164">
        <f>'Key Inputs_BY Techs'!AC$29*'Key Inputs_New Techs'!$J100</f>
        <v>2.556</v>
      </c>
      <c r="AF100" s="164">
        <f>'Key Inputs_BY Techs'!AD$29*'Key Inputs_New Techs'!$J100</f>
        <v>2.556</v>
      </c>
      <c r="AG100" s="164">
        <f>'Key Inputs_BY Techs'!AE$29*'Key Inputs_New Techs'!$J100</f>
        <v>2.556</v>
      </c>
      <c r="AH100" s="164">
        <f>'Key Inputs_BY Techs'!AF$29*'Key Inputs_New Techs'!$J100</f>
        <v>2.556</v>
      </c>
      <c r="AI100" s="164">
        <f>'Key Inputs_BY Techs'!AG$29*'Key Inputs_New Techs'!$J100</f>
        <v>2.556</v>
      </c>
      <c r="AJ100" s="164">
        <f>'Key Inputs_BY Techs'!AH$29*'Key Inputs_New Techs'!$J100</f>
        <v>2.556</v>
      </c>
      <c r="AK100" s="164">
        <f>'Key Inputs_BY Techs'!AI$29*'Key Inputs_New Techs'!$J100</f>
        <v>2.556</v>
      </c>
      <c r="AL100" s="164">
        <f>'Key Inputs_BY Techs'!AJ$29*'Key Inputs_New Techs'!$J100</f>
        <v>2.556</v>
      </c>
    </row>
    <row r="101" spans="1:51" x14ac:dyDescent="0.25">
      <c r="A101" s="424" t="s">
        <v>124</v>
      </c>
      <c r="B101" s="425" t="s">
        <v>558</v>
      </c>
      <c r="C101" s="425" t="s">
        <v>19</v>
      </c>
      <c r="D101" s="425" t="s">
        <v>105</v>
      </c>
      <c r="E101" s="425" t="s">
        <v>251</v>
      </c>
      <c r="F101" s="443">
        <v>2030</v>
      </c>
      <c r="G101" s="444">
        <v>14</v>
      </c>
      <c r="H101" s="445">
        <v>2030</v>
      </c>
      <c r="I101" s="134">
        <v>3.34</v>
      </c>
      <c r="J101" s="161">
        <v>1.4273504273504274</v>
      </c>
      <c r="K101" s="492">
        <f>'Key Inputs_BY Techs'!I$29*'Key Inputs_New Techs'!$J101</f>
        <v>3.34</v>
      </c>
      <c r="L101" s="164">
        <f>'Key Inputs_BY Techs'!J$29*'Key Inputs_New Techs'!$J101</f>
        <v>3.34</v>
      </c>
      <c r="M101" s="164">
        <f>'Key Inputs_BY Techs'!K$29*'Key Inputs_New Techs'!$J101</f>
        <v>3.34</v>
      </c>
      <c r="N101" s="164">
        <f>'Key Inputs_BY Techs'!L$29*'Key Inputs_New Techs'!$J101</f>
        <v>3.34</v>
      </c>
      <c r="O101" s="164">
        <f>'Key Inputs_BY Techs'!M$29*'Key Inputs_New Techs'!$J101</f>
        <v>3.34</v>
      </c>
      <c r="P101" s="164">
        <f>'Key Inputs_BY Techs'!N$29*'Key Inputs_New Techs'!$J101</f>
        <v>3.34</v>
      </c>
      <c r="Q101" s="164">
        <f>'Key Inputs_BY Techs'!O$29*'Key Inputs_New Techs'!$J101</f>
        <v>3.34</v>
      </c>
      <c r="R101" s="164">
        <f>'Key Inputs_BY Techs'!P$29*'Key Inputs_New Techs'!$J101</f>
        <v>3.34</v>
      </c>
      <c r="S101" s="164">
        <f>'Key Inputs_BY Techs'!Q$29*'Key Inputs_New Techs'!$J101</f>
        <v>3.34</v>
      </c>
      <c r="T101" s="164">
        <f>'Key Inputs_BY Techs'!R$29*'Key Inputs_New Techs'!$J101</f>
        <v>3.34</v>
      </c>
      <c r="U101" s="164">
        <f>'Key Inputs_BY Techs'!S$29*'Key Inputs_New Techs'!$J101</f>
        <v>3.34</v>
      </c>
      <c r="V101" s="164">
        <f>'Key Inputs_BY Techs'!T$29*'Key Inputs_New Techs'!$J101</f>
        <v>3.34</v>
      </c>
      <c r="W101" s="164">
        <f>'Key Inputs_BY Techs'!U$29*'Key Inputs_New Techs'!$J101</f>
        <v>3.34</v>
      </c>
      <c r="X101" s="164">
        <f>'Key Inputs_BY Techs'!V$29*'Key Inputs_New Techs'!$J101</f>
        <v>3.34</v>
      </c>
      <c r="Y101" s="164">
        <f>'Key Inputs_BY Techs'!W$29*'Key Inputs_New Techs'!$J101</f>
        <v>3.34</v>
      </c>
      <c r="Z101" s="164">
        <f>'Key Inputs_BY Techs'!X$29*'Key Inputs_New Techs'!$J101</f>
        <v>3.34</v>
      </c>
      <c r="AA101" s="164">
        <f>'Key Inputs_BY Techs'!Y$29*'Key Inputs_New Techs'!$J101</f>
        <v>3.34</v>
      </c>
      <c r="AB101" s="164">
        <f>'Key Inputs_BY Techs'!Z$29*'Key Inputs_New Techs'!$J101</f>
        <v>3.34</v>
      </c>
      <c r="AC101" s="164">
        <f>'Key Inputs_BY Techs'!AA$29*'Key Inputs_New Techs'!$J101</f>
        <v>3.34</v>
      </c>
      <c r="AD101" s="164">
        <f>'Key Inputs_BY Techs'!AB$29*'Key Inputs_New Techs'!$J101</f>
        <v>3.34</v>
      </c>
      <c r="AE101" s="164">
        <f>'Key Inputs_BY Techs'!AC$29*'Key Inputs_New Techs'!$J101</f>
        <v>3.34</v>
      </c>
      <c r="AF101" s="164">
        <f>'Key Inputs_BY Techs'!AD$29*'Key Inputs_New Techs'!$J101</f>
        <v>3.34</v>
      </c>
      <c r="AG101" s="164">
        <f>'Key Inputs_BY Techs'!AE$29*'Key Inputs_New Techs'!$J101</f>
        <v>3.34</v>
      </c>
      <c r="AH101" s="164">
        <f>'Key Inputs_BY Techs'!AF$29*'Key Inputs_New Techs'!$J101</f>
        <v>3.34</v>
      </c>
      <c r="AI101" s="164">
        <f>'Key Inputs_BY Techs'!AG$29*'Key Inputs_New Techs'!$J101</f>
        <v>3.34</v>
      </c>
      <c r="AJ101" s="164">
        <f>'Key Inputs_BY Techs'!AH$29*'Key Inputs_New Techs'!$J101</f>
        <v>3.34</v>
      </c>
      <c r="AK101" s="164">
        <f>'Key Inputs_BY Techs'!AI$29*'Key Inputs_New Techs'!$J101</f>
        <v>3.34</v>
      </c>
      <c r="AL101" s="164">
        <f>'Key Inputs_BY Techs'!AJ$29*'Key Inputs_New Techs'!$J101</f>
        <v>3.34</v>
      </c>
      <c r="AO101" s="426"/>
      <c r="AP101" s="426"/>
      <c r="AQ101" s="426"/>
      <c r="AR101" s="426"/>
      <c r="AS101" s="426"/>
      <c r="AT101" s="426"/>
      <c r="AU101" s="426"/>
      <c r="AV101" s="426"/>
      <c r="AW101" s="426"/>
      <c r="AX101" s="426"/>
      <c r="AY101" s="426"/>
    </row>
    <row r="102" spans="1:51" x14ac:dyDescent="0.25">
      <c r="A102" s="456"/>
      <c r="B102" s="432"/>
      <c r="C102" s="432"/>
      <c r="D102" s="432"/>
      <c r="E102" s="432"/>
      <c r="F102" s="457"/>
      <c r="G102" s="444"/>
      <c r="H102" s="458">
        <v>2050</v>
      </c>
      <c r="I102" s="134">
        <v>4.32</v>
      </c>
      <c r="J102" s="163">
        <v>1.8461538461538465</v>
      </c>
      <c r="K102" s="166">
        <f>'Key Inputs_BY Techs'!I$29*'Key Inputs_New Techs'!$J102</f>
        <v>4.32</v>
      </c>
      <c r="L102" s="165">
        <f>'Key Inputs_BY Techs'!J$29*'Key Inputs_New Techs'!$J102</f>
        <v>4.32</v>
      </c>
      <c r="M102" s="165">
        <f>'Key Inputs_BY Techs'!K$29*'Key Inputs_New Techs'!$J102</f>
        <v>4.32</v>
      </c>
      <c r="N102" s="165">
        <f>'Key Inputs_BY Techs'!L$29*'Key Inputs_New Techs'!$J102</f>
        <v>4.32</v>
      </c>
      <c r="O102" s="165">
        <f>'Key Inputs_BY Techs'!M$29*'Key Inputs_New Techs'!$J102</f>
        <v>4.32</v>
      </c>
      <c r="P102" s="165">
        <f>'Key Inputs_BY Techs'!N$29*'Key Inputs_New Techs'!$J102</f>
        <v>4.32</v>
      </c>
      <c r="Q102" s="165">
        <f>'Key Inputs_BY Techs'!O$29*'Key Inputs_New Techs'!$J102</f>
        <v>4.32</v>
      </c>
      <c r="R102" s="165">
        <f>'Key Inputs_BY Techs'!P$29*'Key Inputs_New Techs'!$J102</f>
        <v>4.32</v>
      </c>
      <c r="S102" s="165">
        <f>'Key Inputs_BY Techs'!Q$29*'Key Inputs_New Techs'!$J102</f>
        <v>4.32</v>
      </c>
      <c r="T102" s="165">
        <f>'Key Inputs_BY Techs'!R$29*'Key Inputs_New Techs'!$J102</f>
        <v>4.32</v>
      </c>
      <c r="U102" s="165">
        <f>'Key Inputs_BY Techs'!S$29*'Key Inputs_New Techs'!$J102</f>
        <v>4.32</v>
      </c>
      <c r="V102" s="165">
        <f>'Key Inputs_BY Techs'!T$29*'Key Inputs_New Techs'!$J102</f>
        <v>4.32</v>
      </c>
      <c r="W102" s="165">
        <f>'Key Inputs_BY Techs'!U$29*'Key Inputs_New Techs'!$J102</f>
        <v>4.32</v>
      </c>
      <c r="X102" s="165">
        <f>'Key Inputs_BY Techs'!V$29*'Key Inputs_New Techs'!$J102</f>
        <v>4.32</v>
      </c>
      <c r="Y102" s="165">
        <f>'Key Inputs_BY Techs'!W$29*'Key Inputs_New Techs'!$J102</f>
        <v>4.32</v>
      </c>
      <c r="Z102" s="165">
        <f>'Key Inputs_BY Techs'!X$29*'Key Inputs_New Techs'!$J102</f>
        <v>4.32</v>
      </c>
      <c r="AA102" s="165">
        <f>'Key Inputs_BY Techs'!Y$29*'Key Inputs_New Techs'!$J102</f>
        <v>4.32</v>
      </c>
      <c r="AB102" s="165">
        <f>'Key Inputs_BY Techs'!Z$29*'Key Inputs_New Techs'!$J102</f>
        <v>4.32</v>
      </c>
      <c r="AC102" s="165">
        <f>'Key Inputs_BY Techs'!AA$29*'Key Inputs_New Techs'!$J102</f>
        <v>4.32</v>
      </c>
      <c r="AD102" s="165">
        <f>'Key Inputs_BY Techs'!AB$29*'Key Inputs_New Techs'!$J102</f>
        <v>4.32</v>
      </c>
      <c r="AE102" s="165">
        <f>'Key Inputs_BY Techs'!AC$29*'Key Inputs_New Techs'!$J102</f>
        <v>4.32</v>
      </c>
      <c r="AF102" s="165">
        <f>'Key Inputs_BY Techs'!AD$29*'Key Inputs_New Techs'!$J102</f>
        <v>4.32</v>
      </c>
      <c r="AG102" s="165">
        <f>'Key Inputs_BY Techs'!AE$29*'Key Inputs_New Techs'!$J102</f>
        <v>4.32</v>
      </c>
      <c r="AH102" s="165">
        <f>'Key Inputs_BY Techs'!AF$29*'Key Inputs_New Techs'!$J102</f>
        <v>4.32</v>
      </c>
      <c r="AI102" s="165">
        <f>'Key Inputs_BY Techs'!AG$29*'Key Inputs_New Techs'!$J102</f>
        <v>4.32</v>
      </c>
      <c r="AJ102" s="165">
        <f>'Key Inputs_BY Techs'!AH$29*'Key Inputs_New Techs'!$J102</f>
        <v>4.32</v>
      </c>
      <c r="AK102" s="165">
        <f>'Key Inputs_BY Techs'!AI$29*'Key Inputs_New Techs'!$J102</f>
        <v>4.32</v>
      </c>
      <c r="AL102" s="165">
        <f>'Key Inputs_BY Techs'!AJ$29*'Key Inputs_New Techs'!$J102</f>
        <v>4.32</v>
      </c>
      <c r="AO102" s="426"/>
      <c r="AP102" s="426"/>
      <c r="AQ102" s="426"/>
      <c r="AR102" s="426"/>
      <c r="AS102" s="426"/>
      <c r="AT102" s="426"/>
      <c r="AU102" s="426"/>
      <c r="AV102" s="426"/>
      <c r="AW102" s="426"/>
      <c r="AX102" s="426"/>
      <c r="AY102" s="426"/>
    </row>
    <row r="103" spans="1:51" x14ac:dyDescent="0.25">
      <c r="A103" s="448" t="s">
        <v>124</v>
      </c>
      <c r="B103" s="449" t="s">
        <v>559</v>
      </c>
      <c r="C103" s="449" t="s">
        <v>19</v>
      </c>
      <c r="D103" s="449" t="s">
        <v>105</v>
      </c>
      <c r="E103" s="449" t="s">
        <v>249</v>
      </c>
      <c r="F103" s="450">
        <v>2020</v>
      </c>
      <c r="G103" s="451">
        <v>14</v>
      </c>
      <c r="H103" s="452">
        <v>2020</v>
      </c>
      <c r="I103" s="453">
        <v>2.34</v>
      </c>
      <c r="J103" s="162">
        <v>1</v>
      </c>
      <c r="K103" s="494">
        <f>'Key Inputs_BY Techs'!I$31*'Key Inputs_New Techs'!$J103</f>
        <v>2.34</v>
      </c>
      <c r="L103" s="189">
        <f>'Key Inputs_BY Techs'!J$31*'Key Inputs_New Techs'!$J103</f>
        <v>2.34</v>
      </c>
      <c r="M103" s="189">
        <f>'Key Inputs_BY Techs'!K$31*'Key Inputs_New Techs'!$J103</f>
        <v>2.34</v>
      </c>
      <c r="N103" s="189">
        <f>'Key Inputs_BY Techs'!L$31*'Key Inputs_New Techs'!$J103</f>
        <v>2.34</v>
      </c>
      <c r="O103" s="189">
        <f>'Key Inputs_BY Techs'!M$31*'Key Inputs_New Techs'!$J103</f>
        <v>2.34</v>
      </c>
      <c r="P103" s="189">
        <f>'Key Inputs_BY Techs'!N$31*'Key Inputs_New Techs'!$J103</f>
        <v>2.34</v>
      </c>
      <c r="Q103" s="189">
        <f>'Key Inputs_BY Techs'!O$31*'Key Inputs_New Techs'!$J103</f>
        <v>2.34</v>
      </c>
      <c r="R103" s="189">
        <f>'Key Inputs_BY Techs'!P$31*'Key Inputs_New Techs'!$J103</f>
        <v>2.34</v>
      </c>
      <c r="S103" s="189">
        <f>'Key Inputs_BY Techs'!Q$31*'Key Inputs_New Techs'!$J103</f>
        <v>2.34</v>
      </c>
      <c r="T103" s="189">
        <f>'Key Inputs_BY Techs'!R$31*'Key Inputs_New Techs'!$J103</f>
        <v>2.34</v>
      </c>
      <c r="U103" s="189">
        <f>'Key Inputs_BY Techs'!S$31*'Key Inputs_New Techs'!$J103</f>
        <v>2.34</v>
      </c>
      <c r="V103" s="189">
        <f>'Key Inputs_BY Techs'!T$31*'Key Inputs_New Techs'!$J103</f>
        <v>2.34</v>
      </c>
      <c r="W103" s="189">
        <f>'Key Inputs_BY Techs'!U$31*'Key Inputs_New Techs'!$J103</f>
        <v>2.34</v>
      </c>
      <c r="X103" s="189">
        <f>'Key Inputs_BY Techs'!V$31*'Key Inputs_New Techs'!$J103</f>
        <v>2.34</v>
      </c>
      <c r="Y103" s="189">
        <f>'Key Inputs_BY Techs'!W$31*'Key Inputs_New Techs'!$J103</f>
        <v>2.34</v>
      </c>
      <c r="Z103" s="189">
        <f>'Key Inputs_BY Techs'!X$31*'Key Inputs_New Techs'!$J103</f>
        <v>2.34</v>
      </c>
      <c r="AA103" s="189">
        <f>'Key Inputs_BY Techs'!Y$31*'Key Inputs_New Techs'!$J103</f>
        <v>2.34</v>
      </c>
      <c r="AB103" s="189">
        <f>'Key Inputs_BY Techs'!Z$31*'Key Inputs_New Techs'!$J103</f>
        <v>2.34</v>
      </c>
      <c r="AC103" s="189">
        <f>'Key Inputs_BY Techs'!AA$31*'Key Inputs_New Techs'!$J103</f>
        <v>2.34</v>
      </c>
      <c r="AD103" s="189">
        <f>'Key Inputs_BY Techs'!AB$31*'Key Inputs_New Techs'!$J103</f>
        <v>2.34</v>
      </c>
      <c r="AE103" s="189">
        <f>'Key Inputs_BY Techs'!AC$31*'Key Inputs_New Techs'!$J103</f>
        <v>2.34</v>
      </c>
      <c r="AF103" s="189">
        <f>'Key Inputs_BY Techs'!AD$31*'Key Inputs_New Techs'!$J103</f>
        <v>2.34</v>
      </c>
      <c r="AG103" s="189">
        <f>'Key Inputs_BY Techs'!AE$31*'Key Inputs_New Techs'!$J103</f>
        <v>2.34</v>
      </c>
      <c r="AH103" s="189">
        <f>'Key Inputs_BY Techs'!AF$31*'Key Inputs_New Techs'!$J103</f>
        <v>2.34</v>
      </c>
      <c r="AI103" s="189">
        <f>'Key Inputs_BY Techs'!AG$31*'Key Inputs_New Techs'!$J103</f>
        <v>2.34</v>
      </c>
      <c r="AJ103" s="189">
        <f>'Key Inputs_BY Techs'!AH$31*'Key Inputs_New Techs'!$J103</f>
        <v>2.34</v>
      </c>
      <c r="AK103" s="189">
        <f>'Key Inputs_BY Techs'!AI$31*'Key Inputs_New Techs'!$J103</f>
        <v>2.34</v>
      </c>
      <c r="AL103" s="189">
        <f>'Key Inputs_BY Techs'!AJ$31*'Key Inputs_New Techs'!$J103</f>
        <v>2.34</v>
      </c>
      <c r="AO103" s="426"/>
      <c r="AP103" s="426"/>
      <c r="AQ103" s="426"/>
      <c r="AR103" s="426"/>
      <c r="AS103" s="426"/>
      <c r="AT103" s="426"/>
      <c r="AU103" s="426"/>
      <c r="AV103" s="426"/>
      <c r="AW103" s="426"/>
      <c r="AX103" s="426"/>
      <c r="AY103" s="426"/>
    </row>
    <row r="104" spans="1:51" x14ac:dyDescent="0.25">
      <c r="A104" s="424" t="s">
        <v>124</v>
      </c>
      <c r="B104" s="425" t="s">
        <v>560</v>
      </c>
      <c r="C104" s="425" t="s">
        <v>19</v>
      </c>
      <c r="D104" s="425" t="s">
        <v>105</v>
      </c>
      <c r="E104" s="425" t="s">
        <v>250</v>
      </c>
      <c r="F104" s="443">
        <v>2025</v>
      </c>
      <c r="G104" s="443">
        <v>14</v>
      </c>
      <c r="H104" s="445">
        <v>2025</v>
      </c>
      <c r="I104" s="454">
        <v>2.34</v>
      </c>
      <c r="J104" s="161">
        <v>1</v>
      </c>
      <c r="K104" s="492">
        <f>'Key Inputs_BY Techs'!I$31*'Key Inputs_New Techs'!$J104</f>
        <v>2.34</v>
      </c>
      <c r="L104" s="164">
        <f>'Key Inputs_BY Techs'!J$31*'Key Inputs_New Techs'!$J104</f>
        <v>2.34</v>
      </c>
      <c r="M104" s="164">
        <f>'Key Inputs_BY Techs'!K$31*'Key Inputs_New Techs'!$J104</f>
        <v>2.34</v>
      </c>
      <c r="N104" s="164">
        <f>'Key Inputs_BY Techs'!L$31*'Key Inputs_New Techs'!$J104</f>
        <v>2.34</v>
      </c>
      <c r="O104" s="164">
        <f>'Key Inputs_BY Techs'!M$31*'Key Inputs_New Techs'!$J104</f>
        <v>2.34</v>
      </c>
      <c r="P104" s="164">
        <f>'Key Inputs_BY Techs'!N$31*'Key Inputs_New Techs'!$J104</f>
        <v>2.34</v>
      </c>
      <c r="Q104" s="164">
        <f>'Key Inputs_BY Techs'!O$31*'Key Inputs_New Techs'!$J104</f>
        <v>2.34</v>
      </c>
      <c r="R104" s="164">
        <f>'Key Inputs_BY Techs'!P$31*'Key Inputs_New Techs'!$J104</f>
        <v>2.34</v>
      </c>
      <c r="S104" s="164">
        <f>'Key Inputs_BY Techs'!Q$31*'Key Inputs_New Techs'!$J104</f>
        <v>2.34</v>
      </c>
      <c r="T104" s="164">
        <f>'Key Inputs_BY Techs'!R$31*'Key Inputs_New Techs'!$J104</f>
        <v>2.34</v>
      </c>
      <c r="U104" s="164">
        <f>'Key Inputs_BY Techs'!S$31*'Key Inputs_New Techs'!$J104</f>
        <v>2.34</v>
      </c>
      <c r="V104" s="164">
        <f>'Key Inputs_BY Techs'!T$31*'Key Inputs_New Techs'!$J104</f>
        <v>2.34</v>
      </c>
      <c r="W104" s="164">
        <f>'Key Inputs_BY Techs'!U$31*'Key Inputs_New Techs'!$J104</f>
        <v>2.34</v>
      </c>
      <c r="X104" s="164">
        <f>'Key Inputs_BY Techs'!V$31*'Key Inputs_New Techs'!$J104</f>
        <v>2.34</v>
      </c>
      <c r="Y104" s="164">
        <f>'Key Inputs_BY Techs'!W$31*'Key Inputs_New Techs'!$J104</f>
        <v>2.34</v>
      </c>
      <c r="Z104" s="164">
        <f>'Key Inputs_BY Techs'!X$31*'Key Inputs_New Techs'!$J104</f>
        <v>2.34</v>
      </c>
      <c r="AA104" s="164">
        <f>'Key Inputs_BY Techs'!Y$31*'Key Inputs_New Techs'!$J104</f>
        <v>2.34</v>
      </c>
      <c r="AB104" s="164">
        <f>'Key Inputs_BY Techs'!Z$31*'Key Inputs_New Techs'!$J104</f>
        <v>2.34</v>
      </c>
      <c r="AC104" s="164">
        <f>'Key Inputs_BY Techs'!AA$31*'Key Inputs_New Techs'!$J104</f>
        <v>2.34</v>
      </c>
      <c r="AD104" s="164">
        <f>'Key Inputs_BY Techs'!AB$31*'Key Inputs_New Techs'!$J104</f>
        <v>2.34</v>
      </c>
      <c r="AE104" s="164">
        <f>'Key Inputs_BY Techs'!AC$31*'Key Inputs_New Techs'!$J104</f>
        <v>2.34</v>
      </c>
      <c r="AF104" s="164">
        <f>'Key Inputs_BY Techs'!AD$31*'Key Inputs_New Techs'!$J104</f>
        <v>2.34</v>
      </c>
      <c r="AG104" s="164">
        <f>'Key Inputs_BY Techs'!AE$31*'Key Inputs_New Techs'!$J104</f>
        <v>2.34</v>
      </c>
      <c r="AH104" s="164">
        <f>'Key Inputs_BY Techs'!AF$31*'Key Inputs_New Techs'!$J104</f>
        <v>2.34</v>
      </c>
      <c r="AI104" s="164">
        <f>'Key Inputs_BY Techs'!AG$31*'Key Inputs_New Techs'!$J104</f>
        <v>2.34</v>
      </c>
      <c r="AJ104" s="164">
        <f>'Key Inputs_BY Techs'!AH$31*'Key Inputs_New Techs'!$J104</f>
        <v>2.34</v>
      </c>
      <c r="AK104" s="164">
        <f>'Key Inputs_BY Techs'!AI$31*'Key Inputs_New Techs'!$J104</f>
        <v>2.34</v>
      </c>
      <c r="AL104" s="164">
        <f>'Key Inputs_BY Techs'!AJ$31*'Key Inputs_New Techs'!$J104</f>
        <v>2.34</v>
      </c>
      <c r="AO104" s="426"/>
      <c r="AP104" s="426"/>
      <c r="AQ104" s="426"/>
      <c r="AR104" s="426"/>
      <c r="AS104" s="426"/>
      <c r="AT104" s="426"/>
      <c r="AU104" s="426"/>
      <c r="AV104" s="426"/>
      <c r="AW104" s="426"/>
      <c r="AX104" s="426"/>
      <c r="AY104" s="426"/>
    </row>
    <row r="105" spans="1:51" x14ac:dyDescent="0.25">
      <c r="C105" s="424"/>
      <c r="D105" s="424"/>
      <c r="E105" s="424"/>
      <c r="F105" s="446"/>
      <c r="G105" s="446"/>
      <c r="H105" s="445">
        <v>2030</v>
      </c>
      <c r="I105" s="454">
        <v>2.42</v>
      </c>
      <c r="J105" s="161">
        <v>1.0341880341880343</v>
      </c>
      <c r="K105" s="492">
        <f>'Key Inputs_BY Techs'!I$31*'Key Inputs_New Techs'!$J105</f>
        <v>2.42</v>
      </c>
      <c r="L105" s="164">
        <f>'Key Inputs_BY Techs'!J$31*'Key Inputs_New Techs'!$J105</f>
        <v>2.42</v>
      </c>
      <c r="M105" s="164">
        <f>'Key Inputs_BY Techs'!K$31*'Key Inputs_New Techs'!$J105</f>
        <v>2.42</v>
      </c>
      <c r="N105" s="164">
        <f>'Key Inputs_BY Techs'!L$31*'Key Inputs_New Techs'!$J105</f>
        <v>2.42</v>
      </c>
      <c r="O105" s="164">
        <f>'Key Inputs_BY Techs'!M$31*'Key Inputs_New Techs'!$J105</f>
        <v>2.42</v>
      </c>
      <c r="P105" s="164">
        <f>'Key Inputs_BY Techs'!N$31*'Key Inputs_New Techs'!$J105</f>
        <v>2.42</v>
      </c>
      <c r="Q105" s="164">
        <f>'Key Inputs_BY Techs'!O$31*'Key Inputs_New Techs'!$J105</f>
        <v>2.42</v>
      </c>
      <c r="R105" s="164">
        <f>'Key Inputs_BY Techs'!P$31*'Key Inputs_New Techs'!$J105</f>
        <v>2.42</v>
      </c>
      <c r="S105" s="164">
        <f>'Key Inputs_BY Techs'!Q$31*'Key Inputs_New Techs'!$J105</f>
        <v>2.42</v>
      </c>
      <c r="T105" s="164">
        <f>'Key Inputs_BY Techs'!R$31*'Key Inputs_New Techs'!$J105</f>
        <v>2.42</v>
      </c>
      <c r="U105" s="164">
        <f>'Key Inputs_BY Techs'!S$31*'Key Inputs_New Techs'!$J105</f>
        <v>2.42</v>
      </c>
      <c r="V105" s="164">
        <f>'Key Inputs_BY Techs'!T$31*'Key Inputs_New Techs'!$J105</f>
        <v>2.42</v>
      </c>
      <c r="W105" s="164">
        <f>'Key Inputs_BY Techs'!U$31*'Key Inputs_New Techs'!$J105</f>
        <v>2.42</v>
      </c>
      <c r="X105" s="164">
        <f>'Key Inputs_BY Techs'!V$31*'Key Inputs_New Techs'!$J105</f>
        <v>2.42</v>
      </c>
      <c r="Y105" s="164">
        <f>'Key Inputs_BY Techs'!W$31*'Key Inputs_New Techs'!$J105</f>
        <v>2.42</v>
      </c>
      <c r="Z105" s="164">
        <f>'Key Inputs_BY Techs'!X$31*'Key Inputs_New Techs'!$J105</f>
        <v>2.42</v>
      </c>
      <c r="AA105" s="164">
        <f>'Key Inputs_BY Techs'!Y$31*'Key Inputs_New Techs'!$J105</f>
        <v>2.42</v>
      </c>
      <c r="AB105" s="164">
        <f>'Key Inputs_BY Techs'!Z$31*'Key Inputs_New Techs'!$J105</f>
        <v>2.42</v>
      </c>
      <c r="AC105" s="164">
        <f>'Key Inputs_BY Techs'!AA$31*'Key Inputs_New Techs'!$J105</f>
        <v>2.42</v>
      </c>
      <c r="AD105" s="164">
        <f>'Key Inputs_BY Techs'!AB$31*'Key Inputs_New Techs'!$J105</f>
        <v>2.42</v>
      </c>
      <c r="AE105" s="164">
        <f>'Key Inputs_BY Techs'!AC$31*'Key Inputs_New Techs'!$J105</f>
        <v>2.42</v>
      </c>
      <c r="AF105" s="164">
        <f>'Key Inputs_BY Techs'!AD$31*'Key Inputs_New Techs'!$J105</f>
        <v>2.42</v>
      </c>
      <c r="AG105" s="164">
        <f>'Key Inputs_BY Techs'!AE$31*'Key Inputs_New Techs'!$J105</f>
        <v>2.42</v>
      </c>
      <c r="AH105" s="164">
        <f>'Key Inputs_BY Techs'!AF$31*'Key Inputs_New Techs'!$J105</f>
        <v>2.42</v>
      </c>
      <c r="AI105" s="164">
        <f>'Key Inputs_BY Techs'!AG$31*'Key Inputs_New Techs'!$J105</f>
        <v>2.42</v>
      </c>
      <c r="AJ105" s="164">
        <f>'Key Inputs_BY Techs'!AH$31*'Key Inputs_New Techs'!$J105</f>
        <v>2.42</v>
      </c>
      <c r="AK105" s="164">
        <f>'Key Inputs_BY Techs'!AI$31*'Key Inputs_New Techs'!$J105</f>
        <v>2.42</v>
      </c>
      <c r="AL105" s="164">
        <f>'Key Inputs_BY Techs'!AJ$31*'Key Inputs_New Techs'!$J105</f>
        <v>2.42</v>
      </c>
      <c r="AO105" s="426"/>
      <c r="AP105" s="426"/>
      <c r="AQ105" s="426"/>
      <c r="AR105" s="426"/>
      <c r="AS105" s="426"/>
      <c r="AT105" s="426"/>
      <c r="AU105" s="426"/>
      <c r="AV105" s="426"/>
      <c r="AW105" s="426"/>
      <c r="AX105" s="426"/>
      <c r="AY105" s="426"/>
    </row>
    <row r="106" spans="1:51" x14ac:dyDescent="0.25">
      <c r="B106" s="425"/>
      <c r="F106" s="443"/>
      <c r="G106" s="443"/>
      <c r="H106" s="445">
        <v>2050</v>
      </c>
      <c r="I106" s="454">
        <v>2.556</v>
      </c>
      <c r="J106" s="161">
        <v>1.0923076923076924</v>
      </c>
      <c r="K106" s="492">
        <f>'Key Inputs_BY Techs'!I$31*'Key Inputs_New Techs'!$J106</f>
        <v>2.556</v>
      </c>
      <c r="L106" s="164">
        <f>'Key Inputs_BY Techs'!J$31*'Key Inputs_New Techs'!$J106</f>
        <v>2.556</v>
      </c>
      <c r="M106" s="164">
        <f>'Key Inputs_BY Techs'!K$31*'Key Inputs_New Techs'!$J106</f>
        <v>2.556</v>
      </c>
      <c r="N106" s="164">
        <f>'Key Inputs_BY Techs'!L$31*'Key Inputs_New Techs'!$J106</f>
        <v>2.556</v>
      </c>
      <c r="O106" s="164">
        <f>'Key Inputs_BY Techs'!M$31*'Key Inputs_New Techs'!$J106</f>
        <v>2.556</v>
      </c>
      <c r="P106" s="164">
        <f>'Key Inputs_BY Techs'!N$31*'Key Inputs_New Techs'!$J106</f>
        <v>2.556</v>
      </c>
      <c r="Q106" s="164">
        <f>'Key Inputs_BY Techs'!O$31*'Key Inputs_New Techs'!$J106</f>
        <v>2.556</v>
      </c>
      <c r="R106" s="164">
        <f>'Key Inputs_BY Techs'!P$31*'Key Inputs_New Techs'!$J106</f>
        <v>2.556</v>
      </c>
      <c r="S106" s="164">
        <f>'Key Inputs_BY Techs'!Q$31*'Key Inputs_New Techs'!$J106</f>
        <v>2.556</v>
      </c>
      <c r="T106" s="164">
        <f>'Key Inputs_BY Techs'!R$31*'Key Inputs_New Techs'!$J106</f>
        <v>2.556</v>
      </c>
      <c r="U106" s="164">
        <f>'Key Inputs_BY Techs'!S$31*'Key Inputs_New Techs'!$J106</f>
        <v>2.556</v>
      </c>
      <c r="V106" s="164">
        <f>'Key Inputs_BY Techs'!T$31*'Key Inputs_New Techs'!$J106</f>
        <v>2.556</v>
      </c>
      <c r="W106" s="164">
        <f>'Key Inputs_BY Techs'!U$31*'Key Inputs_New Techs'!$J106</f>
        <v>2.556</v>
      </c>
      <c r="X106" s="164">
        <f>'Key Inputs_BY Techs'!V$31*'Key Inputs_New Techs'!$J106</f>
        <v>2.556</v>
      </c>
      <c r="Y106" s="164">
        <f>'Key Inputs_BY Techs'!W$31*'Key Inputs_New Techs'!$J106</f>
        <v>2.556</v>
      </c>
      <c r="Z106" s="164">
        <f>'Key Inputs_BY Techs'!X$31*'Key Inputs_New Techs'!$J106</f>
        <v>2.556</v>
      </c>
      <c r="AA106" s="164">
        <f>'Key Inputs_BY Techs'!Y$31*'Key Inputs_New Techs'!$J106</f>
        <v>2.556</v>
      </c>
      <c r="AB106" s="164">
        <f>'Key Inputs_BY Techs'!Z$31*'Key Inputs_New Techs'!$J106</f>
        <v>2.556</v>
      </c>
      <c r="AC106" s="164">
        <f>'Key Inputs_BY Techs'!AA$31*'Key Inputs_New Techs'!$J106</f>
        <v>2.556</v>
      </c>
      <c r="AD106" s="164">
        <f>'Key Inputs_BY Techs'!AB$31*'Key Inputs_New Techs'!$J106</f>
        <v>2.556</v>
      </c>
      <c r="AE106" s="164">
        <f>'Key Inputs_BY Techs'!AC$31*'Key Inputs_New Techs'!$J106</f>
        <v>2.556</v>
      </c>
      <c r="AF106" s="164">
        <f>'Key Inputs_BY Techs'!AD$31*'Key Inputs_New Techs'!$J106</f>
        <v>2.556</v>
      </c>
      <c r="AG106" s="164">
        <f>'Key Inputs_BY Techs'!AE$31*'Key Inputs_New Techs'!$J106</f>
        <v>2.556</v>
      </c>
      <c r="AH106" s="164">
        <f>'Key Inputs_BY Techs'!AF$31*'Key Inputs_New Techs'!$J106</f>
        <v>2.556</v>
      </c>
      <c r="AI106" s="164">
        <f>'Key Inputs_BY Techs'!AG$31*'Key Inputs_New Techs'!$J106</f>
        <v>2.556</v>
      </c>
      <c r="AJ106" s="164">
        <f>'Key Inputs_BY Techs'!AH$31*'Key Inputs_New Techs'!$J106</f>
        <v>2.556</v>
      </c>
      <c r="AK106" s="164">
        <f>'Key Inputs_BY Techs'!AI$31*'Key Inputs_New Techs'!$J106</f>
        <v>2.556</v>
      </c>
      <c r="AL106" s="164">
        <f>'Key Inputs_BY Techs'!AJ$31*'Key Inputs_New Techs'!$J106</f>
        <v>2.556</v>
      </c>
      <c r="AO106" s="426"/>
      <c r="AP106" s="426"/>
      <c r="AQ106" s="426"/>
      <c r="AR106" s="426"/>
      <c r="AS106" s="426"/>
      <c r="AT106" s="426"/>
      <c r="AU106" s="426"/>
      <c r="AV106" s="426"/>
      <c r="AW106" s="426"/>
      <c r="AX106" s="426"/>
      <c r="AY106" s="426"/>
    </row>
    <row r="107" spans="1:51" x14ac:dyDescent="0.25">
      <c r="A107" s="424" t="s">
        <v>124</v>
      </c>
      <c r="B107" s="425" t="s">
        <v>561</v>
      </c>
      <c r="C107" s="425" t="s">
        <v>19</v>
      </c>
      <c r="D107" s="425" t="s">
        <v>105</v>
      </c>
      <c r="E107" s="425" t="s">
        <v>251</v>
      </c>
      <c r="F107" s="443">
        <v>2030</v>
      </c>
      <c r="G107" s="443">
        <v>14</v>
      </c>
      <c r="H107" s="445">
        <v>2030</v>
      </c>
      <c r="I107" s="134">
        <v>3.34</v>
      </c>
      <c r="J107" s="161">
        <v>1.4273504273504274</v>
      </c>
      <c r="K107" s="492">
        <f>'Key Inputs_BY Techs'!I$31*'Key Inputs_New Techs'!$J107</f>
        <v>3.34</v>
      </c>
      <c r="L107" s="164">
        <f>'Key Inputs_BY Techs'!J$31*'Key Inputs_New Techs'!$J107</f>
        <v>3.34</v>
      </c>
      <c r="M107" s="164">
        <f>'Key Inputs_BY Techs'!K$31*'Key Inputs_New Techs'!$J107</f>
        <v>3.34</v>
      </c>
      <c r="N107" s="164">
        <f>'Key Inputs_BY Techs'!L$31*'Key Inputs_New Techs'!$J107</f>
        <v>3.34</v>
      </c>
      <c r="O107" s="164">
        <f>'Key Inputs_BY Techs'!M$31*'Key Inputs_New Techs'!$J107</f>
        <v>3.34</v>
      </c>
      <c r="P107" s="164">
        <f>'Key Inputs_BY Techs'!N$31*'Key Inputs_New Techs'!$J107</f>
        <v>3.34</v>
      </c>
      <c r="Q107" s="164">
        <f>'Key Inputs_BY Techs'!O$31*'Key Inputs_New Techs'!$J107</f>
        <v>3.34</v>
      </c>
      <c r="R107" s="164">
        <f>'Key Inputs_BY Techs'!P$31*'Key Inputs_New Techs'!$J107</f>
        <v>3.34</v>
      </c>
      <c r="S107" s="164">
        <f>'Key Inputs_BY Techs'!Q$31*'Key Inputs_New Techs'!$J107</f>
        <v>3.34</v>
      </c>
      <c r="T107" s="164">
        <f>'Key Inputs_BY Techs'!R$31*'Key Inputs_New Techs'!$J107</f>
        <v>3.34</v>
      </c>
      <c r="U107" s="164">
        <f>'Key Inputs_BY Techs'!S$31*'Key Inputs_New Techs'!$J107</f>
        <v>3.34</v>
      </c>
      <c r="V107" s="164">
        <f>'Key Inputs_BY Techs'!T$31*'Key Inputs_New Techs'!$J107</f>
        <v>3.34</v>
      </c>
      <c r="W107" s="164">
        <f>'Key Inputs_BY Techs'!U$31*'Key Inputs_New Techs'!$J107</f>
        <v>3.34</v>
      </c>
      <c r="X107" s="164">
        <f>'Key Inputs_BY Techs'!V$31*'Key Inputs_New Techs'!$J107</f>
        <v>3.34</v>
      </c>
      <c r="Y107" s="164">
        <f>'Key Inputs_BY Techs'!W$31*'Key Inputs_New Techs'!$J107</f>
        <v>3.34</v>
      </c>
      <c r="Z107" s="164">
        <f>'Key Inputs_BY Techs'!X$31*'Key Inputs_New Techs'!$J107</f>
        <v>3.34</v>
      </c>
      <c r="AA107" s="164">
        <f>'Key Inputs_BY Techs'!Y$31*'Key Inputs_New Techs'!$J107</f>
        <v>3.34</v>
      </c>
      <c r="AB107" s="164">
        <f>'Key Inputs_BY Techs'!Z$31*'Key Inputs_New Techs'!$J107</f>
        <v>3.34</v>
      </c>
      <c r="AC107" s="164">
        <f>'Key Inputs_BY Techs'!AA$31*'Key Inputs_New Techs'!$J107</f>
        <v>3.34</v>
      </c>
      <c r="AD107" s="164">
        <f>'Key Inputs_BY Techs'!AB$31*'Key Inputs_New Techs'!$J107</f>
        <v>3.34</v>
      </c>
      <c r="AE107" s="164">
        <f>'Key Inputs_BY Techs'!AC$31*'Key Inputs_New Techs'!$J107</f>
        <v>3.34</v>
      </c>
      <c r="AF107" s="164">
        <f>'Key Inputs_BY Techs'!AD$31*'Key Inputs_New Techs'!$J107</f>
        <v>3.34</v>
      </c>
      <c r="AG107" s="164">
        <f>'Key Inputs_BY Techs'!AE$31*'Key Inputs_New Techs'!$J107</f>
        <v>3.34</v>
      </c>
      <c r="AH107" s="164">
        <f>'Key Inputs_BY Techs'!AF$31*'Key Inputs_New Techs'!$J107</f>
        <v>3.34</v>
      </c>
      <c r="AI107" s="164">
        <f>'Key Inputs_BY Techs'!AG$31*'Key Inputs_New Techs'!$J107</f>
        <v>3.34</v>
      </c>
      <c r="AJ107" s="164">
        <f>'Key Inputs_BY Techs'!AH$31*'Key Inputs_New Techs'!$J107</f>
        <v>3.34</v>
      </c>
      <c r="AK107" s="164">
        <f>'Key Inputs_BY Techs'!AI$31*'Key Inputs_New Techs'!$J107</f>
        <v>3.34</v>
      </c>
      <c r="AL107" s="164">
        <f>'Key Inputs_BY Techs'!AJ$31*'Key Inputs_New Techs'!$J107</f>
        <v>3.34</v>
      </c>
      <c r="AO107" s="426"/>
      <c r="AP107" s="426"/>
      <c r="AQ107" s="426"/>
      <c r="AR107" s="426"/>
      <c r="AS107" s="426"/>
      <c r="AT107" s="426"/>
      <c r="AU107" s="426"/>
      <c r="AV107" s="426"/>
      <c r="AW107" s="426"/>
      <c r="AX107" s="426"/>
      <c r="AY107" s="426"/>
    </row>
    <row r="108" spans="1:51" x14ac:dyDescent="0.25">
      <c r="B108" s="425"/>
      <c r="F108" s="457"/>
      <c r="G108" s="443"/>
      <c r="H108" s="458">
        <v>2050</v>
      </c>
      <c r="I108" s="134">
        <v>4.32</v>
      </c>
      <c r="J108" s="163">
        <v>1.8461538461538465</v>
      </c>
      <c r="K108" s="166">
        <f>'Key Inputs_BY Techs'!I$31*'Key Inputs_New Techs'!$J108</f>
        <v>4.32</v>
      </c>
      <c r="L108" s="165">
        <f>'Key Inputs_BY Techs'!J$31*'Key Inputs_New Techs'!$J108</f>
        <v>4.32</v>
      </c>
      <c r="M108" s="165">
        <f>'Key Inputs_BY Techs'!K$31*'Key Inputs_New Techs'!$J108</f>
        <v>4.32</v>
      </c>
      <c r="N108" s="165">
        <f>'Key Inputs_BY Techs'!L$31*'Key Inputs_New Techs'!$J108</f>
        <v>4.32</v>
      </c>
      <c r="O108" s="165">
        <f>'Key Inputs_BY Techs'!M$31*'Key Inputs_New Techs'!$J108</f>
        <v>4.32</v>
      </c>
      <c r="P108" s="165">
        <f>'Key Inputs_BY Techs'!N$31*'Key Inputs_New Techs'!$J108</f>
        <v>4.32</v>
      </c>
      <c r="Q108" s="165">
        <f>'Key Inputs_BY Techs'!O$31*'Key Inputs_New Techs'!$J108</f>
        <v>4.32</v>
      </c>
      <c r="R108" s="165">
        <f>'Key Inputs_BY Techs'!P$31*'Key Inputs_New Techs'!$J108</f>
        <v>4.32</v>
      </c>
      <c r="S108" s="165">
        <f>'Key Inputs_BY Techs'!Q$31*'Key Inputs_New Techs'!$J108</f>
        <v>4.32</v>
      </c>
      <c r="T108" s="165">
        <f>'Key Inputs_BY Techs'!R$31*'Key Inputs_New Techs'!$J108</f>
        <v>4.32</v>
      </c>
      <c r="U108" s="165">
        <f>'Key Inputs_BY Techs'!S$31*'Key Inputs_New Techs'!$J108</f>
        <v>4.32</v>
      </c>
      <c r="V108" s="165">
        <f>'Key Inputs_BY Techs'!T$31*'Key Inputs_New Techs'!$J108</f>
        <v>4.32</v>
      </c>
      <c r="W108" s="165">
        <f>'Key Inputs_BY Techs'!U$31*'Key Inputs_New Techs'!$J108</f>
        <v>4.32</v>
      </c>
      <c r="X108" s="165">
        <f>'Key Inputs_BY Techs'!V$31*'Key Inputs_New Techs'!$J108</f>
        <v>4.32</v>
      </c>
      <c r="Y108" s="165">
        <f>'Key Inputs_BY Techs'!W$31*'Key Inputs_New Techs'!$J108</f>
        <v>4.32</v>
      </c>
      <c r="Z108" s="165">
        <f>'Key Inputs_BY Techs'!X$31*'Key Inputs_New Techs'!$J108</f>
        <v>4.32</v>
      </c>
      <c r="AA108" s="165">
        <f>'Key Inputs_BY Techs'!Y$31*'Key Inputs_New Techs'!$J108</f>
        <v>4.32</v>
      </c>
      <c r="AB108" s="165">
        <f>'Key Inputs_BY Techs'!Z$31*'Key Inputs_New Techs'!$J108</f>
        <v>4.32</v>
      </c>
      <c r="AC108" s="165">
        <f>'Key Inputs_BY Techs'!AA$31*'Key Inputs_New Techs'!$J108</f>
        <v>4.32</v>
      </c>
      <c r="AD108" s="165">
        <f>'Key Inputs_BY Techs'!AB$31*'Key Inputs_New Techs'!$J108</f>
        <v>4.32</v>
      </c>
      <c r="AE108" s="165">
        <f>'Key Inputs_BY Techs'!AC$31*'Key Inputs_New Techs'!$J108</f>
        <v>4.32</v>
      </c>
      <c r="AF108" s="165">
        <f>'Key Inputs_BY Techs'!AD$31*'Key Inputs_New Techs'!$J108</f>
        <v>4.32</v>
      </c>
      <c r="AG108" s="165">
        <f>'Key Inputs_BY Techs'!AE$31*'Key Inputs_New Techs'!$J108</f>
        <v>4.32</v>
      </c>
      <c r="AH108" s="165">
        <f>'Key Inputs_BY Techs'!AF$31*'Key Inputs_New Techs'!$J108</f>
        <v>4.32</v>
      </c>
      <c r="AI108" s="165">
        <f>'Key Inputs_BY Techs'!AG$31*'Key Inputs_New Techs'!$J108</f>
        <v>4.32</v>
      </c>
      <c r="AJ108" s="165">
        <f>'Key Inputs_BY Techs'!AH$31*'Key Inputs_New Techs'!$J108</f>
        <v>4.32</v>
      </c>
      <c r="AK108" s="165">
        <f>'Key Inputs_BY Techs'!AI$31*'Key Inputs_New Techs'!$J108</f>
        <v>4.32</v>
      </c>
      <c r="AL108" s="165">
        <f>'Key Inputs_BY Techs'!AJ$31*'Key Inputs_New Techs'!$J108</f>
        <v>4.32</v>
      </c>
      <c r="AO108" s="426"/>
      <c r="AP108" s="426"/>
      <c r="AQ108" s="426"/>
      <c r="AR108" s="426"/>
      <c r="AS108" s="426"/>
      <c r="AT108" s="426"/>
      <c r="AU108" s="426"/>
      <c r="AV108" s="426"/>
      <c r="AW108" s="426"/>
      <c r="AX108" s="426"/>
      <c r="AY108" s="426"/>
    </row>
    <row r="109" spans="1:51" x14ac:dyDescent="0.25">
      <c r="A109" s="448" t="s">
        <v>119</v>
      </c>
      <c r="B109" s="449" t="s">
        <v>562</v>
      </c>
      <c r="C109" s="449" t="s">
        <v>19</v>
      </c>
      <c r="D109" s="449" t="s">
        <v>105</v>
      </c>
      <c r="E109" s="449" t="s">
        <v>252</v>
      </c>
      <c r="F109" s="443">
        <v>2020</v>
      </c>
      <c r="G109" s="451">
        <v>12</v>
      </c>
      <c r="H109" s="445">
        <v>2020</v>
      </c>
      <c r="I109" s="135">
        <v>0.79</v>
      </c>
      <c r="J109" s="161">
        <v>1</v>
      </c>
      <c r="K109" s="76">
        <f>'Key Inputs_BY Techs'!I34*'Key Inputs_New Techs'!$J109</f>
        <v>0.94799999999999995</v>
      </c>
      <c r="L109" s="76">
        <f>'Key Inputs_BY Techs'!J34*'Key Inputs_New Techs'!$J109</f>
        <v>0.94799999999999995</v>
      </c>
      <c r="M109" s="76">
        <f>'Key Inputs_BY Techs'!K34*'Key Inputs_New Techs'!$J109</f>
        <v>0.94799999999999995</v>
      </c>
      <c r="N109" s="76">
        <f>'Key Inputs_BY Techs'!L34*'Key Inputs_New Techs'!$J109</f>
        <v>0.94799999999999995</v>
      </c>
      <c r="O109" s="76">
        <f>'Key Inputs_BY Techs'!M34*'Key Inputs_New Techs'!$J109</f>
        <v>0.94799999999999995</v>
      </c>
      <c r="P109" s="76">
        <f>'Key Inputs_BY Techs'!N34*'Key Inputs_New Techs'!$J109</f>
        <v>0.94799999999999995</v>
      </c>
      <c r="Q109" s="76">
        <f>'Key Inputs_BY Techs'!O34*'Key Inputs_New Techs'!$J109</f>
        <v>0.79</v>
      </c>
      <c r="R109" s="76">
        <f>'Key Inputs_BY Techs'!P34*'Key Inputs_New Techs'!$J109</f>
        <v>0.94799999999999995</v>
      </c>
      <c r="S109" s="76">
        <f>'Key Inputs_BY Techs'!Q34*'Key Inputs_New Techs'!$J109</f>
        <v>0.84765660930812292</v>
      </c>
      <c r="T109" s="76">
        <f>'Key Inputs_BY Techs'!R34*'Key Inputs_New Techs'!$J109</f>
        <v>0.94799999999999995</v>
      </c>
      <c r="U109" s="76">
        <f>'Key Inputs_BY Techs'!S34*'Key Inputs_New Techs'!$J109</f>
        <v>0.94799999999999995</v>
      </c>
      <c r="V109" s="76">
        <f>'Key Inputs_BY Techs'!T34*'Key Inputs_New Techs'!$J109</f>
        <v>0.94799999999999995</v>
      </c>
      <c r="W109" s="76">
        <f>'Key Inputs_BY Techs'!U34*'Key Inputs_New Techs'!$J109</f>
        <v>0.94799999999999995</v>
      </c>
      <c r="X109" s="76">
        <f>'Key Inputs_BY Techs'!V34*'Key Inputs_New Techs'!$J109</f>
        <v>0.94799999999999995</v>
      </c>
      <c r="Y109" s="76">
        <f>'Key Inputs_BY Techs'!W34*'Key Inputs_New Techs'!$J109</f>
        <v>0.94799999999999995</v>
      </c>
      <c r="Z109" s="76">
        <f>'Key Inputs_BY Techs'!X34*'Key Inputs_New Techs'!$J109</f>
        <v>0.94799999999999995</v>
      </c>
      <c r="AA109" s="76">
        <f>'Key Inputs_BY Techs'!Y34*'Key Inputs_New Techs'!$J109</f>
        <v>0.94799999999999995</v>
      </c>
      <c r="AB109" s="76">
        <f>'Key Inputs_BY Techs'!Z34*'Key Inputs_New Techs'!$J109</f>
        <v>0.94799999999999995</v>
      </c>
      <c r="AC109" s="76">
        <f>'Key Inputs_BY Techs'!AA34*'Key Inputs_New Techs'!$J109</f>
        <v>0.94799999999999995</v>
      </c>
      <c r="AD109" s="76">
        <f>'Key Inputs_BY Techs'!AB34*'Key Inputs_New Techs'!$J109</f>
        <v>0.94799999999999995</v>
      </c>
      <c r="AE109" s="76">
        <f>'Key Inputs_BY Techs'!AC34*'Key Inputs_New Techs'!$J109</f>
        <v>0.94799999999999995</v>
      </c>
      <c r="AF109" s="76">
        <f>'Key Inputs_BY Techs'!AD34*'Key Inputs_New Techs'!$J109</f>
        <v>0.94799999999999995</v>
      </c>
      <c r="AG109" s="76">
        <f>'Key Inputs_BY Techs'!AE34*'Key Inputs_New Techs'!$J109</f>
        <v>0.94799999999999995</v>
      </c>
      <c r="AH109" s="76">
        <f>'Key Inputs_BY Techs'!AF34*'Key Inputs_New Techs'!$J109</f>
        <v>0.94799999999999995</v>
      </c>
      <c r="AI109" s="76">
        <f>'Key Inputs_BY Techs'!AG34*'Key Inputs_New Techs'!$J109</f>
        <v>0.94799999999999995</v>
      </c>
      <c r="AJ109" s="76">
        <f>'Key Inputs_BY Techs'!AH34*'Key Inputs_New Techs'!$J109</f>
        <v>0.94799999999999995</v>
      </c>
      <c r="AK109" s="76">
        <f>'Key Inputs_BY Techs'!AI34*'Key Inputs_New Techs'!$J109</f>
        <v>0.94799999999999995</v>
      </c>
      <c r="AL109" s="76">
        <f>'Key Inputs_BY Techs'!AJ34*'Key Inputs_New Techs'!$J109</f>
        <v>0.94799999999999995</v>
      </c>
      <c r="AM109" s="426"/>
      <c r="AO109" s="426"/>
      <c r="AP109" s="426"/>
      <c r="AQ109" s="426"/>
      <c r="AR109" s="426"/>
      <c r="AS109" s="426"/>
      <c r="AT109" s="426"/>
      <c r="AU109" s="426"/>
      <c r="AV109" s="426"/>
      <c r="AW109" s="426"/>
      <c r="AX109" s="426"/>
      <c r="AY109" s="426"/>
    </row>
    <row r="110" spans="1:51" x14ac:dyDescent="0.25">
      <c r="A110" s="424" t="s">
        <v>119</v>
      </c>
      <c r="B110" s="425" t="s">
        <v>563</v>
      </c>
      <c r="C110" s="425" t="s">
        <v>515</v>
      </c>
      <c r="D110" s="425" t="s">
        <v>516</v>
      </c>
      <c r="E110" s="425" t="s">
        <v>252</v>
      </c>
      <c r="F110" s="443">
        <v>2020</v>
      </c>
      <c r="G110" s="444">
        <v>12</v>
      </c>
      <c r="H110" s="445">
        <v>2020</v>
      </c>
      <c r="I110" s="134">
        <v>0.42</v>
      </c>
      <c r="J110" s="161">
        <v>1</v>
      </c>
      <c r="K110" s="76">
        <f>'Key Inputs_BY Techs'!I35*'Key Inputs_New Techs'!$J110</f>
        <v>0.504</v>
      </c>
      <c r="L110" s="76">
        <f>'Key Inputs_BY Techs'!J35*'Key Inputs_New Techs'!$J110</f>
        <v>0.504</v>
      </c>
      <c r="M110" s="76">
        <f>'Key Inputs_BY Techs'!K35*'Key Inputs_New Techs'!$J110</f>
        <v>0.504</v>
      </c>
      <c r="N110" s="76">
        <f>'Key Inputs_BY Techs'!L35*'Key Inputs_New Techs'!$J110</f>
        <v>0.504</v>
      </c>
      <c r="O110" s="76">
        <f>'Key Inputs_BY Techs'!M35*'Key Inputs_New Techs'!$J110</f>
        <v>0.504</v>
      </c>
      <c r="P110" s="76">
        <f>'Key Inputs_BY Techs'!N35*'Key Inputs_New Techs'!$J110</f>
        <v>0.504</v>
      </c>
      <c r="Q110" s="76">
        <f>'Key Inputs_BY Techs'!O35*'Key Inputs_New Techs'!$J110</f>
        <v>0.42</v>
      </c>
      <c r="R110" s="76">
        <f>'Key Inputs_BY Techs'!P35*'Key Inputs_New Techs'!$J110</f>
        <v>0.504</v>
      </c>
      <c r="S110" s="76">
        <f>'Key Inputs_BY Techs'!Q35*'Key Inputs_New Techs'!$J110</f>
        <v>0.45065288089798938</v>
      </c>
      <c r="T110" s="76">
        <f>'Key Inputs_BY Techs'!R35*'Key Inputs_New Techs'!$J110</f>
        <v>0.504</v>
      </c>
      <c r="U110" s="76">
        <f>'Key Inputs_BY Techs'!S35*'Key Inputs_New Techs'!$J110</f>
        <v>0.504</v>
      </c>
      <c r="V110" s="76">
        <f>'Key Inputs_BY Techs'!T35*'Key Inputs_New Techs'!$J110</f>
        <v>0.504</v>
      </c>
      <c r="W110" s="76">
        <f>'Key Inputs_BY Techs'!U35*'Key Inputs_New Techs'!$J110</f>
        <v>0.504</v>
      </c>
      <c r="X110" s="76">
        <f>'Key Inputs_BY Techs'!V35*'Key Inputs_New Techs'!$J110</f>
        <v>0.504</v>
      </c>
      <c r="Y110" s="76">
        <f>'Key Inputs_BY Techs'!W35*'Key Inputs_New Techs'!$J110</f>
        <v>0.504</v>
      </c>
      <c r="Z110" s="76">
        <f>'Key Inputs_BY Techs'!X35*'Key Inputs_New Techs'!$J110</f>
        <v>0.504</v>
      </c>
      <c r="AA110" s="76">
        <f>'Key Inputs_BY Techs'!Y35*'Key Inputs_New Techs'!$J110</f>
        <v>0.504</v>
      </c>
      <c r="AB110" s="76">
        <f>'Key Inputs_BY Techs'!Z35*'Key Inputs_New Techs'!$J110</f>
        <v>0.504</v>
      </c>
      <c r="AC110" s="76">
        <f>'Key Inputs_BY Techs'!AA35*'Key Inputs_New Techs'!$J110</f>
        <v>0.504</v>
      </c>
      <c r="AD110" s="76">
        <f>'Key Inputs_BY Techs'!AB35*'Key Inputs_New Techs'!$J110</f>
        <v>0.504</v>
      </c>
      <c r="AE110" s="76">
        <f>'Key Inputs_BY Techs'!AC35*'Key Inputs_New Techs'!$J110</f>
        <v>0.504</v>
      </c>
      <c r="AF110" s="76">
        <f>'Key Inputs_BY Techs'!AD35*'Key Inputs_New Techs'!$J110</f>
        <v>0.504</v>
      </c>
      <c r="AG110" s="76">
        <f>'Key Inputs_BY Techs'!AE35*'Key Inputs_New Techs'!$J110</f>
        <v>0.504</v>
      </c>
      <c r="AH110" s="76">
        <f>'Key Inputs_BY Techs'!AF35*'Key Inputs_New Techs'!$J110</f>
        <v>0.504</v>
      </c>
      <c r="AI110" s="76">
        <f>'Key Inputs_BY Techs'!AG35*'Key Inputs_New Techs'!$J110</f>
        <v>0.504</v>
      </c>
      <c r="AJ110" s="76">
        <f>'Key Inputs_BY Techs'!AH35*'Key Inputs_New Techs'!$J110</f>
        <v>0.504</v>
      </c>
      <c r="AK110" s="76">
        <f>'Key Inputs_BY Techs'!AI35*'Key Inputs_New Techs'!$J110</f>
        <v>0.504</v>
      </c>
      <c r="AL110" s="76">
        <f>'Key Inputs_BY Techs'!AJ35*'Key Inputs_New Techs'!$J110</f>
        <v>0.504</v>
      </c>
      <c r="AM110" s="426"/>
      <c r="AO110" s="426"/>
      <c r="AP110" s="426"/>
      <c r="AQ110" s="426"/>
      <c r="AR110" s="426"/>
      <c r="AS110" s="426"/>
      <c r="AT110" s="426"/>
      <c r="AU110" s="426"/>
      <c r="AV110" s="426"/>
      <c r="AW110" s="426"/>
      <c r="AX110" s="426"/>
      <c r="AY110" s="426"/>
    </row>
    <row r="111" spans="1:51" x14ac:dyDescent="0.25">
      <c r="A111" s="424" t="s">
        <v>119</v>
      </c>
      <c r="B111" s="425" t="s">
        <v>564</v>
      </c>
      <c r="C111" s="425" t="s">
        <v>0</v>
      </c>
      <c r="D111" s="425" t="s">
        <v>109</v>
      </c>
      <c r="E111" s="425" t="s">
        <v>252</v>
      </c>
      <c r="F111" s="443">
        <v>2020</v>
      </c>
      <c r="G111" s="444">
        <v>20</v>
      </c>
      <c r="H111" s="445">
        <v>2020</v>
      </c>
      <c r="I111" s="134">
        <v>0.60399999999999998</v>
      </c>
      <c r="J111" s="161">
        <v>1</v>
      </c>
      <c r="K111" s="76">
        <f>'Key Inputs_BY Techs'!I36*'Key Inputs_New Techs'!$J111</f>
        <v>0.7248</v>
      </c>
      <c r="L111" s="76">
        <f>'Key Inputs_BY Techs'!J36*'Key Inputs_New Techs'!$J111</f>
        <v>0.7248</v>
      </c>
      <c r="M111" s="76">
        <f>'Key Inputs_BY Techs'!K36*'Key Inputs_New Techs'!$J111</f>
        <v>0.7248</v>
      </c>
      <c r="N111" s="76">
        <f>'Key Inputs_BY Techs'!L36*'Key Inputs_New Techs'!$J111</f>
        <v>0.7248</v>
      </c>
      <c r="O111" s="76">
        <f>'Key Inputs_BY Techs'!M36*'Key Inputs_New Techs'!$J111</f>
        <v>0.7248</v>
      </c>
      <c r="P111" s="76">
        <f>'Key Inputs_BY Techs'!N36*'Key Inputs_New Techs'!$J111</f>
        <v>0.7248</v>
      </c>
      <c r="Q111" s="76">
        <f>'Key Inputs_BY Techs'!O36*'Key Inputs_New Techs'!$J111</f>
        <v>0.60399999999999998</v>
      </c>
      <c r="R111" s="76">
        <f>'Key Inputs_BY Techs'!P36*'Key Inputs_New Techs'!$J111</f>
        <v>0.7248</v>
      </c>
      <c r="S111" s="76">
        <f>'Key Inputs_BY Techs'!Q36*'Key Inputs_New Techs'!$J111</f>
        <v>0.64808176205329904</v>
      </c>
      <c r="T111" s="76">
        <f>'Key Inputs_BY Techs'!R36*'Key Inputs_New Techs'!$J111</f>
        <v>0.7248</v>
      </c>
      <c r="U111" s="76">
        <f>'Key Inputs_BY Techs'!S36*'Key Inputs_New Techs'!$J111</f>
        <v>0.7248</v>
      </c>
      <c r="V111" s="76">
        <f>'Key Inputs_BY Techs'!T36*'Key Inputs_New Techs'!$J111</f>
        <v>0.7248</v>
      </c>
      <c r="W111" s="76">
        <f>'Key Inputs_BY Techs'!U36*'Key Inputs_New Techs'!$J111</f>
        <v>0.7248</v>
      </c>
      <c r="X111" s="76">
        <f>'Key Inputs_BY Techs'!V36*'Key Inputs_New Techs'!$J111</f>
        <v>0.7248</v>
      </c>
      <c r="Y111" s="76">
        <f>'Key Inputs_BY Techs'!W36*'Key Inputs_New Techs'!$J111</f>
        <v>0.7248</v>
      </c>
      <c r="Z111" s="76">
        <f>'Key Inputs_BY Techs'!X36*'Key Inputs_New Techs'!$J111</f>
        <v>0.7248</v>
      </c>
      <c r="AA111" s="76">
        <f>'Key Inputs_BY Techs'!Y36*'Key Inputs_New Techs'!$J111</f>
        <v>0.7248</v>
      </c>
      <c r="AB111" s="76">
        <f>'Key Inputs_BY Techs'!Z36*'Key Inputs_New Techs'!$J111</f>
        <v>0.7248</v>
      </c>
      <c r="AC111" s="76">
        <f>'Key Inputs_BY Techs'!AA36*'Key Inputs_New Techs'!$J111</f>
        <v>0.7248</v>
      </c>
      <c r="AD111" s="76">
        <f>'Key Inputs_BY Techs'!AB36*'Key Inputs_New Techs'!$J111</f>
        <v>0.7248</v>
      </c>
      <c r="AE111" s="76">
        <f>'Key Inputs_BY Techs'!AC36*'Key Inputs_New Techs'!$J111</f>
        <v>0.7248</v>
      </c>
      <c r="AF111" s="76">
        <f>'Key Inputs_BY Techs'!AD36*'Key Inputs_New Techs'!$J111</f>
        <v>0.7248</v>
      </c>
      <c r="AG111" s="76">
        <f>'Key Inputs_BY Techs'!AE36*'Key Inputs_New Techs'!$J111</f>
        <v>0.7248</v>
      </c>
      <c r="AH111" s="76">
        <f>'Key Inputs_BY Techs'!AF36*'Key Inputs_New Techs'!$J111</f>
        <v>0.7248</v>
      </c>
      <c r="AI111" s="76">
        <f>'Key Inputs_BY Techs'!AG36*'Key Inputs_New Techs'!$J111</f>
        <v>0.7248</v>
      </c>
      <c r="AJ111" s="76">
        <f>'Key Inputs_BY Techs'!AH36*'Key Inputs_New Techs'!$J111</f>
        <v>0.7248</v>
      </c>
      <c r="AK111" s="76">
        <f>'Key Inputs_BY Techs'!AI36*'Key Inputs_New Techs'!$J111</f>
        <v>0.7248</v>
      </c>
      <c r="AL111" s="76">
        <f>'Key Inputs_BY Techs'!AJ36*'Key Inputs_New Techs'!$J111</f>
        <v>0.7248</v>
      </c>
      <c r="AM111" s="426"/>
      <c r="AO111" s="426"/>
      <c r="AP111" s="426"/>
      <c r="AQ111" s="426"/>
      <c r="AR111" s="426"/>
      <c r="AS111" s="426"/>
      <c r="AT111" s="426"/>
      <c r="AU111" s="426"/>
      <c r="AV111" s="426"/>
      <c r="AW111" s="426"/>
      <c r="AX111" s="426"/>
      <c r="AY111" s="426"/>
    </row>
    <row r="112" spans="1:51" x14ac:dyDescent="0.25">
      <c r="A112" s="424" t="s">
        <v>119</v>
      </c>
      <c r="B112" s="507" t="s">
        <v>583</v>
      </c>
      <c r="C112" s="507" t="s">
        <v>115</v>
      </c>
      <c r="D112" s="507" t="s">
        <v>368</v>
      </c>
      <c r="E112" s="425" t="s">
        <v>252</v>
      </c>
      <c r="F112" s="443">
        <v>2020</v>
      </c>
      <c r="G112" s="443">
        <f>G110</f>
        <v>12</v>
      </c>
      <c r="H112" s="445">
        <v>2020</v>
      </c>
      <c r="I112" s="134">
        <f>I113</f>
        <v>0.45100000000000001</v>
      </c>
      <c r="J112" s="161">
        <v>1</v>
      </c>
      <c r="K112" s="76">
        <f>'Key Inputs_BY Techs'!I33*'Key Inputs_New Techs'!$J112</f>
        <v>0.54120000000000001</v>
      </c>
      <c r="L112" s="76">
        <f>'Key Inputs_BY Techs'!J33*'Key Inputs_New Techs'!$J112</f>
        <v>0.54120000000000001</v>
      </c>
      <c r="M112" s="76">
        <f>'Key Inputs_BY Techs'!K33*'Key Inputs_New Techs'!$J112</f>
        <v>0.54120000000000001</v>
      </c>
      <c r="N112" s="76">
        <f>'Key Inputs_BY Techs'!L33*'Key Inputs_New Techs'!$J112</f>
        <v>0.54120000000000001</v>
      </c>
      <c r="O112" s="76">
        <f>'Key Inputs_BY Techs'!M33*'Key Inputs_New Techs'!$J112</f>
        <v>0.54120000000000001</v>
      </c>
      <c r="P112" s="76">
        <f>'Key Inputs_BY Techs'!N33*'Key Inputs_New Techs'!$J112</f>
        <v>0.54120000000000001</v>
      </c>
      <c r="Q112" s="76">
        <f>'Key Inputs_BY Techs'!O33*'Key Inputs_New Techs'!$J112</f>
        <v>0.45100000000000001</v>
      </c>
      <c r="R112" s="76">
        <f>'Key Inputs_BY Techs'!P33*'Key Inputs_New Techs'!$J112</f>
        <v>0.54120000000000001</v>
      </c>
      <c r="S112" s="76">
        <f>'Key Inputs_BY Techs'!Q33*'Key Inputs_New Techs'!$J112</f>
        <v>0.48391535544046005</v>
      </c>
      <c r="T112" s="76">
        <f>'Key Inputs_BY Techs'!R33*'Key Inputs_New Techs'!$J112</f>
        <v>0.54120000000000001</v>
      </c>
      <c r="U112" s="76">
        <f>'Key Inputs_BY Techs'!S33*'Key Inputs_New Techs'!$J112</f>
        <v>0.54120000000000001</v>
      </c>
      <c r="V112" s="76">
        <f>'Key Inputs_BY Techs'!T33*'Key Inputs_New Techs'!$J112</f>
        <v>0.54120000000000001</v>
      </c>
      <c r="W112" s="76">
        <f>'Key Inputs_BY Techs'!U33*'Key Inputs_New Techs'!$J112</f>
        <v>0.54120000000000001</v>
      </c>
      <c r="X112" s="76">
        <f>'Key Inputs_BY Techs'!V33*'Key Inputs_New Techs'!$J112</f>
        <v>0.54120000000000001</v>
      </c>
      <c r="Y112" s="76">
        <f>'Key Inputs_BY Techs'!W33*'Key Inputs_New Techs'!$J112</f>
        <v>0.54120000000000001</v>
      </c>
      <c r="Z112" s="76">
        <f>'Key Inputs_BY Techs'!X33*'Key Inputs_New Techs'!$J112</f>
        <v>0.54120000000000001</v>
      </c>
      <c r="AA112" s="76">
        <f>'Key Inputs_BY Techs'!Y33*'Key Inputs_New Techs'!$J112</f>
        <v>0.54120000000000001</v>
      </c>
      <c r="AB112" s="76">
        <f>'Key Inputs_BY Techs'!Z33*'Key Inputs_New Techs'!$J112</f>
        <v>0.54120000000000001</v>
      </c>
      <c r="AC112" s="76">
        <f>'Key Inputs_BY Techs'!AA33*'Key Inputs_New Techs'!$J112</f>
        <v>0.54120000000000001</v>
      </c>
      <c r="AD112" s="76">
        <f>'Key Inputs_BY Techs'!AB33*'Key Inputs_New Techs'!$J112</f>
        <v>0.54120000000000001</v>
      </c>
      <c r="AE112" s="76">
        <f>'Key Inputs_BY Techs'!AC33*'Key Inputs_New Techs'!$J112</f>
        <v>0.54120000000000001</v>
      </c>
      <c r="AF112" s="76">
        <f>'Key Inputs_BY Techs'!AD33*'Key Inputs_New Techs'!$J112</f>
        <v>0.54120000000000001</v>
      </c>
      <c r="AG112" s="76">
        <f>'Key Inputs_BY Techs'!AE33*'Key Inputs_New Techs'!$J112</f>
        <v>0.54120000000000001</v>
      </c>
      <c r="AH112" s="76">
        <f>'Key Inputs_BY Techs'!AF33*'Key Inputs_New Techs'!$J112</f>
        <v>0.54120000000000001</v>
      </c>
      <c r="AI112" s="76">
        <f>'Key Inputs_BY Techs'!AG33*'Key Inputs_New Techs'!$J112</f>
        <v>0.54120000000000001</v>
      </c>
      <c r="AJ112" s="76">
        <f>'Key Inputs_BY Techs'!AH33*'Key Inputs_New Techs'!$J112</f>
        <v>0.54120000000000001</v>
      </c>
      <c r="AK112" s="76">
        <f>'Key Inputs_BY Techs'!AI33*'Key Inputs_New Techs'!$J112</f>
        <v>0.54120000000000001</v>
      </c>
      <c r="AL112" s="76">
        <f>'Key Inputs_BY Techs'!AJ33*'Key Inputs_New Techs'!$J112</f>
        <v>0.54120000000000001</v>
      </c>
      <c r="AM112" s="426"/>
      <c r="AO112" s="426"/>
      <c r="AP112" s="426"/>
      <c r="AQ112" s="426"/>
      <c r="AR112" s="426"/>
      <c r="AS112" s="426"/>
      <c r="AT112" s="426"/>
      <c r="AU112" s="426"/>
      <c r="AV112" s="426"/>
      <c r="AW112" s="426"/>
      <c r="AX112" s="426"/>
      <c r="AY112" s="426"/>
    </row>
    <row r="113" spans="1:51" x14ac:dyDescent="0.25">
      <c r="A113" s="424" t="s">
        <v>119</v>
      </c>
      <c r="B113" s="425" t="s">
        <v>565</v>
      </c>
      <c r="C113" s="425" t="s">
        <v>18</v>
      </c>
      <c r="D113" s="425" t="s">
        <v>104</v>
      </c>
      <c r="E113" s="425" t="s">
        <v>252</v>
      </c>
      <c r="F113" s="443">
        <v>2020</v>
      </c>
      <c r="G113" s="443">
        <f>G110</f>
        <v>12</v>
      </c>
      <c r="H113" s="445">
        <v>2020</v>
      </c>
      <c r="I113" s="134">
        <v>0.45100000000000001</v>
      </c>
      <c r="J113" s="161">
        <v>1</v>
      </c>
      <c r="K113" s="76">
        <f>'Key Inputs_BY Techs'!I37*'Key Inputs_New Techs'!$J113</f>
        <v>0.54120000000000001</v>
      </c>
      <c r="L113" s="76">
        <f>'Key Inputs_BY Techs'!J37*'Key Inputs_New Techs'!$J113</f>
        <v>0.54120000000000001</v>
      </c>
      <c r="M113" s="76">
        <f>'Key Inputs_BY Techs'!K37*'Key Inputs_New Techs'!$J113</f>
        <v>0.54120000000000001</v>
      </c>
      <c r="N113" s="76">
        <f>'Key Inputs_BY Techs'!L37*'Key Inputs_New Techs'!$J113</f>
        <v>0.54120000000000001</v>
      </c>
      <c r="O113" s="76">
        <f>'Key Inputs_BY Techs'!M37*'Key Inputs_New Techs'!$J113</f>
        <v>0.54120000000000001</v>
      </c>
      <c r="P113" s="76">
        <f>'Key Inputs_BY Techs'!N37*'Key Inputs_New Techs'!$J113</f>
        <v>0.54120000000000001</v>
      </c>
      <c r="Q113" s="76">
        <f>'Key Inputs_BY Techs'!O37*'Key Inputs_New Techs'!$J113</f>
        <v>0.45100000000000001</v>
      </c>
      <c r="R113" s="76">
        <f>'Key Inputs_BY Techs'!P37*'Key Inputs_New Techs'!$J113</f>
        <v>0.54120000000000001</v>
      </c>
      <c r="S113" s="76">
        <f>'Key Inputs_BY Techs'!Q37*'Key Inputs_New Techs'!$J113</f>
        <v>0.48391535544046005</v>
      </c>
      <c r="T113" s="76">
        <f>'Key Inputs_BY Techs'!R37*'Key Inputs_New Techs'!$J113</f>
        <v>0.54120000000000001</v>
      </c>
      <c r="U113" s="76">
        <f>'Key Inputs_BY Techs'!S37*'Key Inputs_New Techs'!$J113</f>
        <v>0.54120000000000001</v>
      </c>
      <c r="V113" s="76">
        <f>'Key Inputs_BY Techs'!T37*'Key Inputs_New Techs'!$J113</f>
        <v>0.54120000000000001</v>
      </c>
      <c r="W113" s="76">
        <f>'Key Inputs_BY Techs'!U37*'Key Inputs_New Techs'!$J113</f>
        <v>0.54120000000000001</v>
      </c>
      <c r="X113" s="76">
        <f>'Key Inputs_BY Techs'!V37*'Key Inputs_New Techs'!$J113</f>
        <v>0.54120000000000001</v>
      </c>
      <c r="Y113" s="76">
        <f>'Key Inputs_BY Techs'!W37*'Key Inputs_New Techs'!$J113</f>
        <v>0.54120000000000001</v>
      </c>
      <c r="Z113" s="76">
        <f>'Key Inputs_BY Techs'!X37*'Key Inputs_New Techs'!$J113</f>
        <v>0.54120000000000001</v>
      </c>
      <c r="AA113" s="76">
        <f>'Key Inputs_BY Techs'!Y37*'Key Inputs_New Techs'!$J113</f>
        <v>0.54120000000000001</v>
      </c>
      <c r="AB113" s="76">
        <f>'Key Inputs_BY Techs'!Z37*'Key Inputs_New Techs'!$J113</f>
        <v>0.54120000000000001</v>
      </c>
      <c r="AC113" s="76">
        <f>'Key Inputs_BY Techs'!AA37*'Key Inputs_New Techs'!$J113</f>
        <v>0.54120000000000001</v>
      </c>
      <c r="AD113" s="76">
        <f>'Key Inputs_BY Techs'!AB37*'Key Inputs_New Techs'!$J113</f>
        <v>0.54120000000000001</v>
      </c>
      <c r="AE113" s="76">
        <f>'Key Inputs_BY Techs'!AC37*'Key Inputs_New Techs'!$J113</f>
        <v>0.54120000000000001</v>
      </c>
      <c r="AF113" s="76">
        <f>'Key Inputs_BY Techs'!AD37*'Key Inputs_New Techs'!$J113</f>
        <v>0.54120000000000001</v>
      </c>
      <c r="AG113" s="76">
        <f>'Key Inputs_BY Techs'!AE37*'Key Inputs_New Techs'!$J113</f>
        <v>0.54120000000000001</v>
      </c>
      <c r="AH113" s="76">
        <f>'Key Inputs_BY Techs'!AF37*'Key Inputs_New Techs'!$J113</f>
        <v>0.54120000000000001</v>
      </c>
      <c r="AI113" s="76">
        <f>'Key Inputs_BY Techs'!AG37*'Key Inputs_New Techs'!$J113</f>
        <v>0.54120000000000001</v>
      </c>
      <c r="AJ113" s="76">
        <f>'Key Inputs_BY Techs'!AH37*'Key Inputs_New Techs'!$J113</f>
        <v>0.54120000000000001</v>
      </c>
      <c r="AK113" s="76">
        <f>'Key Inputs_BY Techs'!AI37*'Key Inputs_New Techs'!$J113</f>
        <v>0.54120000000000001</v>
      </c>
      <c r="AL113" s="76">
        <f>'Key Inputs_BY Techs'!AJ37*'Key Inputs_New Techs'!$J113</f>
        <v>0.54120000000000001</v>
      </c>
      <c r="AM113" s="426"/>
      <c r="AO113" s="426"/>
      <c r="AP113" s="426"/>
      <c r="AQ113" s="426"/>
      <c r="AR113" s="426"/>
      <c r="AS113" s="426"/>
      <c r="AT113" s="426"/>
      <c r="AU113" s="426"/>
      <c r="AV113" s="426"/>
      <c r="AW113" s="426"/>
      <c r="AX113" s="426"/>
      <c r="AY113" s="426"/>
    </row>
    <row r="114" spans="1:51" x14ac:dyDescent="0.25">
      <c r="A114" s="448" t="s">
        <v>94</v>
      </c>
      <c r="B114" s="449" t="s">
        <v>566</v>
      </c>
      <c r="C114" s="449" t="s">
        <v>19</v>
      </c>
      <c r="D114" s="449" t="s">
        <v>105</v>
      </c>
      <c r="E114" s="449" t="s">
        <v>253</v>
      </c>
      <c r="F114" s="450">
        <v>2020</v>
      </c>
      <c r="G114" s="459">
        <v>5.7077625570776256</v>
      </c>
      <c r="H114" s="452">
        <v>2020</v>
      </c>
      <c r="I114" s="190">
        <f>'Key Inputs_BY Techs'!H39</f>
        <v>25</v>
      </c>
      <c r="J114" s="162">
        <v>1</v>
      </c>
      <c r="K114" s="494">
        <f>$I114</f>
        <v>25</v>
      </c>
      <c r="L114" s="189">
        <f>$I114</f>
        <v>25</v>
      </c>
      <c r="M114" s="189">
        <f t="shared" ref="M114:AL125" si="2">$I114</f>
        <v>25</v>
      </c>
      <c r="N114" s="189">
        <f t="shared" si="2"/>
        <v>25</v>
      </c>
      <c r="O114" s="189">
        <f t="shared" si="2"/>
        <v>25</v>
      </c>
      <c r="P114" s="189">
        <f t="shared" si="2"/>
        <v>25</v>
      </c>
      <c r="Q114" s="189">
        <f t="shared" si="2"/>
        <v>25</v>
      </c>
      <c r="R114" s="189">
        <f t="shared" si="2"/>
        <v>25</v>
      </c>
      <c r="S114" s="189">
        <f t="shared" si="2"/>
        <v>25</v>
      </c>
      <c r="T114" s="189">
        <f t="shared" si="2"/>
        <v>25</v>
      </c>
      <c r="U114" s="189">
        <f t="shared" si="2"/>
        <v>25</v>
      </c>
      <c r="V114" s="189">
        <f t="shared" si="2"/>
        <v>25</v>
      </c>
      <c r="W114" s="189">
        <f t="shared" si="2"/>
        <v>25</v>
      </c>
      <c r="X114" s="189">
        <f t="shared" si="2"/>
        <v>25</v>
      </c>
      <c r="Y114" s="189">
        <f t="shared" si="2"/>
        <v>25</v>
      </c>
      <c r="Z114" s="189">
        <f t="shared" si="2"/>
        <v>25</v>
      </c>
      <c r="AA114" s="189">
        <f t="shared" si="2"/>
        <v>25</v>
      </c>
      <c r="AB114" s="189">
        <f t="shared" si="2"/>
        <v>25</v>
      </c>
      <c r="AC114" s="189">
        <f t="shared" si="2"/>
        <v>25</v>
      </c>
      <c r="AD114" s="189">
        <f t="shared" si="2"/>
        <v>25</v>
      </c>
      <c r="AE114" s="189">
        <f t="shared" si="2"/>
        <v>25</v>
      </c>
      <c r="AF114" s="189">
        <f t="shared" si="2"/>
        <v>25</v>
      </c>
      <c r="AG114" s="189">
        <f t="shared" si="2"/>
        <v>25</v>
      </c>
      <c r="AH114" s="189">
        <f t="shared" si="2"/>
        <v>25</v>
      </c>
      <c r="AI114" s="189">
        <f t="shared" si="2"/>
        <v>25</v>
      </c>
      <c r="AJ114" s="189">
        <f t="shared" si="2"/>
        <v>25</v>
      </c>
      <c r="AK114" s="189">
        <f t="shared" si="2"/>
        <v>25</v>
      </c>
      <c r="AL114" s="189">
        <f t="shared" si="2"/>
        <v>25</v>
      </c>
      <c r="AM114" s="426"/>
      <c r="AN114" s="426"/>
      <c r="AO114" s="426"/>
      <c r="AP114" s="426"/>
      <c r="AQ114" s="426"/>
      <c r="AR114" s="426"/>
      <c r="AS114" s="426"/>
      <c r="AT114" s="426"/>
      <c r="AU114" s="426"/>
      <c r="AV114" s="426"/>
      <c r="AW114" s="426"/>
      <c r="AX114" s="426"/>
      <c r="AY114" s="426"/>
    </row>
    <row r="115" spans="1:51" x14ac:dyDescent="0.25">
      <c r="A115" s="424" t="s">
        <v>94</v>
      </c>
      <c r="B115" s="425" t="s">
        <v>567</v>
      </c>
      <c r="C115" s="425" t="s">
        <v>19</v>
      </c>
      <c r="D115" s="425" t="s">
        <v>105</v>
      </c>
      <c r="E115" s="425" t="s">
        <v>303</v>
      </c>
      <c r="F115" s="443">
        <v>2025</v>
      </c>
      <c r="G115" s="460">
        <v>5.7077625570776256</v>
      </c>
      <c r="H115" s="445">
        <v>2025</v>
      </c>
      <c r="I115" s="193">
        <f>I$114*J115</f>
        <v>25</v>
      </c>
      <c r="J115" s="161">
        <v>1</v>
      </c>
      <c r="K115" s="492">
        <f t="shared" ref="K115:Z119" si="3">$I115</f>
        <v>25</v>
      </c>
      <c r="L115" s="164">
        <f t="shared" si="3"/>
        <v>25</v>
      </c>
      <c r="M115" s="164">
        <f t="shared" si="3"/>
        <v>25</v>
      </c>
      <c r="N115" s="164">
        <f t="shared" si="3"/>
        <v>25</v>
      </c>
      <c r="O115" s="164">
        <f t="shared" si="3"/>
        <v>25</v>
      </c>
      <c r="P115" s="164">
        <f t="shared" si="3"/>
        <v>25</v>
      </c>
      <c r="Q115" s="164">
        <f t="shared" si="3"/>
        <v>25</v>
      </c>
      <c r="R115" s="164">
        <f t="shared" si="3"/>
        <v>25</v>
      </c>
      <c r="S115" s="164">
        <f t="shared" si="3"/>
        <v>25</v>
      </c>
      <c r="T115" s="164">
        <f t="shared" si="3"/>
        <v>25</v>
      </c>
      <c r="U115" s="164">
        <f t="shared" si="3"/>
        <v>25</v>
      </c>
      <c r="V115" s="164">
        <f t="shared" si="3"/>
        <v>25</v>
      </c>
      <c r="W115" s="164">
        <f t="shared" si="3"/>
        <v>25</v>
      </c>
      <c r="X115" s="164">
        <f t="shared" si="3"/>
        <v>25</v>
      </c>
      <c r="Y115" s="164">
        <f t="shared" si="3"/>
        <v>25</v>
      </c>
      <c r="Z115" s="164">
        <f t="shared" si="3"/>
        <v>25</v>
      </c>
      <c r="AA115" s="164">
        <f t="shared" si="2"/>
        <v>25</v>
      </c>
      <c r="AB115" s="164">
        <f t="shared" si="2"/>
        <v>25</v>
      </c>
      <c r="AC115" s="164">
        <f t="shared" si="2"/>
        <v>25</v>
      </c>
      <c r="AD115" s="164">
        <f t="shared" si="2"/>
        <v>25</v>
      </c>
      <c r="AE115" s="164">
        <f t="shared" si="2"/>
        <v>25</v>
      </c>
      <c r="AF115" s="164">
        <f t="shared" si="2"/>
        <v>25</v>
      </c>
      <c r="AG115" s="164">
        <f t="shared" si="2"/>
        <v>25</v>
      </c>
      <c r="AH115" s="164">
        <f t="shared" si="2"/>
        <v>25</v>
      </c>
      <c r="AI115" s="164">
        <f t="shared" si="2"/>
        <v>25</v>
      </c>
      <c r="AJ115" s="164">
        <f t="shared" si="2"/>
        <v>25</v>
      </c>
      <c r="AK115" s="164">
        <f t="shared" si="2"/>
        <v>25</v>
      </c>
      <c r="AL115" s="164">
        <f t="shared" si="2"/>
        <v>25</v>
      </c>
      <c r="AM115" s="426"/>
      <c r="AN115" s="426"/>
      <c r="AO115" s="426"/>
      <c r="AP115" s="426"/>
      <c r="AQ115" s="426"/>
      <c r="AR115" s="426"/>
      <c r="AS115" s="426"/>
      <c r="AT115" s="426"/>
      <c r="AU115" s="426"/>
      <c r="AV115" s="426"/>
      <c r="AW115" s="426"/>
      <c r="AX115" s="426"/>
      <c r="AY115" s="426"/>
    </row>
    <row r="116" spans="1:51" x14ac:dyDescent="0.25">
      <c r="C116" s="424"/>
      <c r="D116" s="424"/>
      <c r="E116" s="424"/>
      <c r="F116" s="446"/>
      <c r="G116" s="446"/>
      <c r="H116" s="445">
        <v>2030</v>
      </c>
      <c r="I116" s="193">
        <f>I$114*J116</f>
        <v>35.582498682129675</v>
      </c>
      <c r="J116" s="161">
        <v>1.4232999472851871</v>
      </c>
      <c r="K116" s="492">
        <f t="shared" si="3"/>
        <v>35.582498682129675</v>
      </c>
      <c r="L116" s="164">
        <f t="shared" si="3"/>
        <v>35.582498682129675</v>
      </c>
      <c r="M116" s="164">
        <f t="shared" si="2"/>
        <v>35.582498682129675</v>
      </c>
      <c r="N116" s="164">
        <f t="shared" si="2"/>
        <v>35.582498682129675</v>
      </c>
      <c r="O116" s="164">
        <f t="shared" si="2"/>
        <v>35.582498682129675</v>
      </c>
      <c r="P116" s="164">
        <f t="shared" si="2"/>
        <v>35.582498682129675</v>
      </c>
      <c r="Q116" s="164">
        <f t="shared" si="2"/>
        <v>35.582498682129675</v>
      </c>
      <c r="R116" s="164">
        <f t="shared" si="2"/>
        <v>35.582498682129675</v>
      </c>
      <c r="S116" s="164">
        <f t="shared" si="2"/>
        <v>35.582498682129675</v>
      </c>
      <c r="T116" s="164">
        <f t="shared" si="2"/>
        <v>35.582498682129675</v>
      </c>
      <c r="U116" s="164">
        <f t="shared" si="2"/>
        <v>35.582498682129675</v>
      </c>
      <c r="V116" s="164">
        <f t="shared" si="2"/>
        <v>35.582498682129675</v>
      </c>
      <c r="W116" s="164">
        <f t="shared" si="2"/>
        <v>35.582498682129675</v>
      </c>
      <c r="X116" s="164">
        <f t="shared" si="2"/>
        <v>35.582498682129675</v>
      </c>
      <c r="Y116" s="164">
        <f t="shared" si="2"/>
        <v>35.582498682129675</v>
      </c>
      <c r="Z116" s="164">
        <f t="shared" si="2"/>
        <v>35.582498682129675</v>
      </c>
      <c r="AA116" s="164">
        <f t="shared" si="2"/>
        <v>35.582498682129675</v>
      </c>
      <c r="AB116" s="164">
        <f t="shared" si="2"/>
        <v>35.582498682129675</v>
      </c>
      <c r="AC116" s="164">
        <f t="shared" si="2"/>
        <v>35.582498682129675</v>
      </c>
      <c r="AD116" s="164">
        <f t="shared" si="2"/>
        <v>35.582498682129675</v>
      </c>
      <c r="AE116" s="164">
        <f t="shared" si="2"/>
        <v>35.582498682129675</v>
      </c>
      <c r="AF116" s="164">
        <f t="shared" si="2"/>
        <v>35.582498682129675</v>
      </c>
      <c r="AG116" s="164">
        <f t="shared" si="2"/>
        <v>35.582498682129675</v>
      </c>
      <c r="AH116" s="164">
        <f t="shared" si="2"/>
        <v>35.582498682129675</v>
      </c>
      <c r="AI116" s="164">
        <f t="shared" si="2"/>
        <v>35.582498682129675</v>
      </c>
      <c r="AJ116" s="164">
        <f t="shared" si="2"/>
        <v>35.582498682129675</v>
      </c>
      <c r="AK116" s="164">
        <f t="shared" si="2"/>
        <v>35.582498682129675</v>
      </c>
      <c r="AL116" s="164">
        <f t="shared" si="2"/>
        <v>35.582498682129675</v>
      </c>
      <c r="AM116" s="426"/>
      <c r="AN116" s="426"/>
      <c r="AO116" s="426"/>
      <c r="AP116" s="426"/>
      <c r="AQ116" s="426"/>
      <c r="AR116" s="426"/>
      <c r="AS116" s="426"/>
      <c r="AT116" s="426"/>
      <c r="AU116" s="426"/>
      <c r="AV116" s="426"/>
      <c r="AW116" s="426"/>
      <c r="AX116" s="426"/>
      <c r="AY116" s="426"/>
    </row>
    <row r="117" spans="1:51" x14ac:dyDescent="0.25">
      <c r="B117" s="425"/>
      <c r="F117" s="443"/>
      <c r="G117" s="460"/>
      <c r="H117" s="445">
        <v>2050</v>
      </c>
      <c r="I117" s="193">
        <f t="shared" ref="I117" si="4">I$114*J117</f>
        <v>41.171088746569076</v>
      </c>
      <c r="J117" s="161">
        <v>1.6468435498627632</v>
      </c>
      <c r="K117" s="492">
        <f t="shared" si="3"/>
        <v>41.171088746569076</v>
      </c>
      <c r="L117" s="164">
        <f t="shared" si="3"/>
        <v>41.171088746569076</v>
      </c>
      <c r="M117" s="164">
        <f t="shared" si="2"/>
        <v>41.171088746569076</v>
      </c>
      <c r="N117" s="164">
        <f t="shared" si="2"/>
        <v>41.171088746569076</v>
      </c>
      <c r="O117" s="164">
        <f t="shared" si="2"/>
        <v>41.171088746569076</v>
      </c>
      <c r="P117" s="164">
        <f t="shared" si="2"/>
        <v>41.171088746569076</v>
      </c>
      <c r="Q117" s="164">
        <f t="shared" si="2"/>
        <v>41.171088746569076</v>
      </c>
      <c r="R117" s="164">
        <f t="shared" si="2"/>
        <v>41.171088746569076</v>
      </c>
      <c r="S117" s="164">
        <f t="shared" si="2"/>
        <v>41.171088746569076</v>
      </c>
      <c r="T117" s="164">
        <f t="shared" si="2"/>
        <v>41.171088746569076</v>
      </c>
      <c r="U117" s="164">
        <f t="shared" si="2"/>
        <v>41.171088746569076</v>
      </c>
      <c r="V117" s="164">
        <f t="shared" si="2"/>
        <v>41.171088746569076</v>
      </c>
      <c r="W117" s="164">
        <f t="shared" si="2"/>
        <v>41.171088746569076</v>
      </c>
      <c r="X117" s="164">
        <f t="shared" si="2"/>
        <v>41.171088746569076</v>
      </c>
      <c r="Y117" s="164">
        <f t="shared" si="2"/>
        <v>41.171088746569076</v>
      </c>
      <c r="Z117" s="164">
        <f t="shared" si="2"/>
        <v>41.171088746569076</v>
      </c>
      <c r="AA117" s="164">
        <f t="shared" si="2"/>
        <v>41.171088746569076</v>
      </c>
      <c r="AB117" s="164">
        <f t="shared" si="2"/>
        <v>41.171088746569076</v>
      </c>
      <c r="AC117" s="164">
        <f t="shared" si="2"/>
        <v>41.171088746569076</v>
      </c>
      <c r="AD117" s="164">
        <f t="shared" si="2"/>
        <v>41.171088746569076</v>
      </c>
      <c r="AE117" s="164">
        <f t="shared" si="2"/>
        <v>41.171088746569076</v>
      </c>
      <c r="AF117" s="164">
        <f t="shared" si="2"/>
        <v>41.171088746569076</v>
      </c>
      <c r="AG117" s="164">
        <f t="shared" si="2"/>
        <v>41.171088746569076</v>
      </c>
      <c r="AH117" s="164">
        <f t="shared" si="2"/>
        <v>41.171088746569076</v>
      </c>
      <c r="AI117" s="164">
        <f t="shared" si="2"/>
        <v>41.171088746569076</v>
      </c>
      <c r="AJ117" s="164">
        <f t="shared" si="2"/>
        <v>41.171088746569076</v>
      </c>
      <c r="AK117" s="164">
        <f t="shared" si="2"/>
        <v>41.171088746569076</v>
      </c>
      <c r="AL117" s="164">
        <f t="shared" si="2"/>
        <v>41.171088746569076</v>
      </c>
      <c r="AM117" s="426"/>
      <c r="AN117" s="426"/>
      <c r="AO117" s="426"/>
      <c r="AP117" s="426"/>
      <c r="AQ117" s="426"/>
      <c r="AR117" s="426"/>
      <c r="AS117" s="426"/>
      <c r="AT117" s="426"/>
      <c r="AU117" s="426"/>
      <c r="AV117" s="426"/>
      <c r="AW117" s="426"/>
      <c r="AX117" s="426"/>
      <c r="AY117" s="426"/>
    </row>
    <row r="118" spans="1:51" x14ac:dyDescent="0.25">
      <c r="A118" s="424" t="s">
        <v>94</v>
      </c>
      <c r="B118" s="425" t="s">
        <v>568</v>
      </c>
      <c r="C118" s="425" t="s">
        <v>19</v>
      </c>
      <c r="D118" s="425" t="s">
        <v>105</v>
      </c>
      <c r="E118" s="425" t="s">
        <v>305</v>
      </c>
      <c r="F118" s="443">
        <v>2030</v>
      </c>
      <c r="G118" s="460">
        <v>5.7077625570776256</v>
      </c>
      <c r="H118" s="445">
        <v>2030</v>
      </c>
      <c r="I118" s="193">
        <f>I$116*J118</f>
        <v>60.888169276616082</v>
      </c>
      <c r="J118" s="192">
        <v>1.7111830684109737</v>
      </c>
      <c r="K118" s="492">
        <f t="shared" si="3"/>
        <v>60.888169276616082</v>
      </c>
      <c r="L118" s="164">
        <f t="shared" si="3"/>
        <v>60.888169276616082</v>
      </c>
      <c r="M118" s="164">
        <f t="shared" si="2"/>
        <v>60.888169276616082</v>
      </c>
      <c r="N118" s="164">
        <f t="shared" si="2"/>
        <v>60.888169276616082</v>
      </c>
      <c r="O118" s="164">
        <f t="shared" si="2"/>
        <v>60.888169276616082</v>
      </c>
      <c r="P118" s="164">
        <f t="shared" si="2"/>
        <v>60.888169276616082</v>
      </c>
      <c r="Q118" s="164">
        <f t="shared" si="2"/>
        <v>60.888169276616082</v>
      </c>
      <c r="R118" s="164">
        <f t="shared" si="2"/>
        <v>60.888169276616082</v>
      </c>
      <c r="S118" s="164">
        <f t="shared" si="2"/>
        <v>60.888169276616082</v>
      </c>
      <c r="T118" s="164">
        <f t="shared" si="2"/>
        <v>60.888169276616082</v>
      </c>
      <c r="U118" s="164">
        <f t="shared" si="2"/>
        <v>60.888169276616082</v>
      </c>
      <c r="V118" s="164">
        <f t="shared" si="2"/>
        <v>60.888169276616082</v>
      </c>
      <c r="W118" s="164">
        <f t="shared" si="2"/>
        <v>60.888169276616082</v>
      </c>
      <c r="X118" s="164">
        <f t="shared" si="2"/>
        <v>60.888169276616082</v>
      </c>
      <c r="Y118" s="164">
        <f t="shared" si="2"/>
        <v>60.888169276616082</v>
      </c>
      <c r="Z118" s="164">
        <f t="shared" si="2"/>
        <v>60.888169276616082</v>
      </c>
      <c r="AA118" s="164">
        <f t="shared" si="2"/>
        <v>60.888169276616082</v>
      </c>
      <c r="AB118" s="164">
        <f t="shared" si="2"/>
        <v>60.888169276616082</v>
      </c>
      <c r="AC118" s="164">
        <f t="shared" si="2"/>
        <v>60.888169276616082</v>
      </c>
      <c r="AD118" s="164">
        <f t="shared" si="2"/>
        <v>60.888169276616082</v>
      </c>
      <c r="AE118" s="164">
        <f t="shared" si="2"/>
        <v>60.888169276616082</v>
      </c>
      <c r="AF118" s="164">
        <f t="shared" si="2"/>
        <v>60.888169276616082</v>
      </c>
      <c r="AG118" s="164">
        <f t="shared" si="2"/>
        <v>60.888169276616082</v>
      </c>
      <c r="AH118" s="164">
        <f t="shared" si="2"/>
        <v>60.888169276616082</v>
      </c>
      <c r="AI118" s="164">
        <f t="shared" si="2"/>
        <v>60.888169276616082</v>
      </c>
      <c r="AJ118" s="164">
        <f t="shared" si="2"/>
        <v>60.888169276616082</v>
      </c>
      <c r="AK118" s="164">
        <f t="shared" si="2"/>
        <v>60.888169276616082</v>
      </c>
      <c r="AL118" s="164">
        <f t="shared" si="2"/>
        <v>60.888169276616082</v>
      </c>
      <c r="AM118" s="426"/>
      <c r="AN118" s="426"/>
      <c r="AO118" s="426"/>
      <c r="AP118" s="426"/>
      <c r="AQ118" s="426"/>
      <c r="AR118" s="426"/>
      <c r="AS118" s="426"/>
      <c r="AT118" s="426"/>
      <c r="AU118" s="426"/>
      <c r="AV118" s="426"/>
      <c r="AW118" s="426"/>
      <c r="AX118" s="426"/>
      <c r="AY118" s="426"/>
    </row>
    <row r="119" spans="1:51" x14ac:dyDescent="0.25">
      <c r="B119" s="425"/>
      <c r="F119" s="443"/>
      <c r="G119" s="460"/>
      <c r="H119" s="445">
        <v>2050</v>
      </c>
      <c r="I119" s="193">
        <f>I$117*J119</f>
        <v>128.65965233302839</v>
      </c>
      <c r="J119" s="161">
        <v>3.1250000000000004</v>
      </c>
      <c r="K119" s="166">
        <f t="shared" si="3"/>
        <v>128.65965233302839</v>
      </c>
      <c r="L119" s="164">
        <f t="shared" si="3"/>
        <v>128.65965233302839</v>
      </c>
      <c r="M119" s="164">
        <f t="shared" si="2"/>
        <v>128.65965233302839</v>
      </c>
      <c r="N119" s="164">
        <f t="shared" si="2"/>
        <v>128.65965233302839</v>
      </c>
      <c r="O119" s="164">
        <f t="shared" si="2"/>
        <v>128.65965233302839</v>
      </c>
      <c r="P119" s="164">
        <f t="shared" si="2"/>
        <v>128.65965233302839</v>
      </c>
      <c r="Q119" s="164">
        <f t="shared" si="2"/>
        <v>128.65965233302839</v>
      </c>
      <c r="R119" s="164">
        <f t="shared" si="2"/>
        <v>128.65965233302839</v>
      </c>
      <c r="S119" s="164">
        <f t="shared" si="2"/>
        <v>128.65965233302839</v>
      </c>
      <c r="T119" s="164">
        <f t="shared" si="2"/>
        <v>128.65965233302839</v>
      </c>
      <c r="U119" s="164">
        <f t="shared" si="2"/>
        <v>128.65965233302839</v>
      </c>
      <c r="V119" s="164">
        <f t="shared" si="2"/>
        <v>128.65965233302839</v>
      </c>
      <c r="W119" s="164">
        <f t="shared" si="2"/>
        <v>128.65965233302839</v>
      </c>
      <c r="X119" s="164">
        <f t="shared" si="2"/>
        <v>128.65965233302839</v>
      </c>
      <c r="Y119" s="164">
        <f t="shared" si="2"/>
        <v>128.65965233302839</v>
      </c>
      <c r="Z119" s="164">
        <f t="shared" si="2"/>
        <v>128.65965233302839</v>
      </c>
      <c r="AA119" s="164">
        <f t="shared" si="2"/>
        <v>128.65965233302839</v>
      </c>
      <c r="AB119" s="164">
        <f t="shared" si="2"/>
        <v>128.65965233302839</v>
      </c>
      <c r="AC119" s="164">
        <f t="shared" si="2"/>
        <v>128.65965233302839</v>
      </c>
      <c r="AD119" s="164">
        <f t="shared" si="2"/>
        <v>128.65965233302839</v>
      </c>
      <c r="AE119" s="164">
        <f t="shared" si="2"/>
        <v>128.65965233302839</v>
      </c>
      <c r="AF119" s="164">
        <f t="shared" si="2"/>
        <v>128.65965233302839</v>
      </c>
      <c r="AG119" s="164">
        <f t="shared" si="2"/>
        <v>128.65965233302839</v>
      </c>
      <c r="AH119" s="164">
        <f t="shared" si="2"/>
        <v>128.65965233302839</v>
      </c>
      <c r="AI119" s="164">
        <f t="shared" si="2"/>
        <v>128.65965233302839</v>
      </c>
      <c r="AJ119" s="164">
        <f t="shared" si="2"/>
        <v>128.65965233302839</v>
      </c>
      <c r="AK119" s="164">
        <f t="shared" si="2"/>
        <v>128.65965233302839</v>
      </c>
      <c r="AL119" s="164">
        <f t="shared" si="2"/>
        <v>128.65965233302839</v>
      </c>
      <c r="AM119" s="426"/>
      <c r="AN119" s="426"/>
      <c r="AO119" s="426"/>
      <c r="AP119" s="426"/>
      <c r="AQ119" s="426"/>
      <c r="AR119" s="426"/>
      <c r="AS119" s="426"/>
      <c r="AT119" s="426"/>
      <c r="AU119" s="426"/>
      <c r="AV119" s="426"/>
      <c r="AW119" s="426"/>
      <c r="AX119" s="426"/>
      <c r="AY119" s="426"/>
    </row>
    <row r="120" spans="1:51" x14ac:dyDescent="0.25">
      <c r="A120" s="448" t="s">
        <v>148</v>
      </c>
      <c r="B120" s="449" t="s">
        <v>569</v>
      </c>
      <c r="C120" s="449" t="s">
        <v>19</v>
      </c>
      <c r="D120" s="449" t="s">
        <v>105</v>
      </c>
      <c r="E120" s="449" t="s">
        <v>264</v>
      </c>
      <c r="F120" s="450">
        <v>2020</v>
      </c>
      <c r="G120" s="451">
        <v>7</v>
      </c>
      <c r="H120" s="452">
        <v>2020</v>
      </c>
      <c r="I120" s="190">
        <f>'Key Inputs_BY Techs'!H$40</f>
        <v>1</v>
      </c>
      <c r="J120" s="162">
        <v>1</v>
      </c>
      <c r="K120" s="494">
        <f>$I120</f>
        <v>1</v>
      </c>
      <c r="L120" s="189">
        <f>$I120</f>
        <v>1</v>
      </c>
      <c r="M120" s="189">
        <f t="shared" si="2"/>
        <v>1</v>
      </c>
      <c r="N120" s="189">
        <f t="shared" si="2"/>
        <v>1</v>
      </c>
      <c r="O120" s="189">
        <f t="shared" si="2"/>
        <v>1</v>
      </c>
      <c r="P120" s="189">
        <f t="shared" si="2"/>
        <v>1</v>
      </c>
      <c r="Q120" s="189">
        <f t="shared" si="2"/>
        <v>1</v>
      </c>
      <c r="R120" s="189">
        <f t="shared" si="2"/>
        <v>1</v>
      </c>
      <c r="S120" s="189">
        <f t="shared" si="2"/>
        <v>1</v>
      </c>
      <c r="T120" s="189">
        <f t="shared" si="2"/>
        <v>1</v>
      </c>
      <c r="U120" s="189">
        <f t="shared" si="2"/>
        <v>1</v>
      </c>
      <c r="V120" s="189">
        <f t="shared" si="2"/>
        <v>1</v>
      </c>
      <c r="W120" s="189">
        <f t="shared" si="2"/>
        <v>1</v>
      </c>
      <c r="X120" s="189">
        <f t="shared" si="2"/>
        <v>1</v>
      </c>
      <c r="Y120" s="189">
        <f t="shared" si="2"/>
        <v>1</v>
      </c>
      <c r="Z120" s="189">
        <f t="shared" si="2"/>
        <v>1</v>
      </c>
      <c r="AA120" s="189">
        <f t="shared" si="2"/>
        <v>1</v>
      </c>
      <c r="AB120" s="189">
        <f t="shared" si="2"/>
        <v>1</v>
      </c>
      <c r="AC120" s="189">
        <f t="shared" si="2"/>
        <v>1</v>
      </c>
      <c r="AD120" s="189">
        <f t="shared" si="2"/>
        <v>1</v>
      </c>
      <c r="AE120" s="189">
        <f t="shared" si="2"/>
        <v>1</v>
      </c>
      <c r="AF120" s="189">
        <f t="shared" si="2"/>
        <v>1</v>
      </c>
      <c r="AG120" s="189">
        <f t="shared" si="2"/>
        <v>1</v>
      </c>
      <c r="AH120" s="189">
        <f t="shared" si="2"/>
        <v>1</v>
      </c>
      <c r="AI120" s="189">
        <f t="shared" si="2"/>
        <v>1</v>
      </c>
      <c r="AJ120" s="189">
        <f t="shared" si="2"/>
        <v>1</v>
      </c>
      <c r="AK120" s="189">
        <f t="shared" si="2"/>
        <v>1</v>
      </c>
      <c r="AL120" s="189">
        <f t="shared" si="2"/>
        <v>1</v>
      </c>
      <c r="AM120" s="426"/>
      <c r="AN120" s="426"/>
      <c r="AO120" s="426"/>
      <c r="AP120" s="426"/>
      <c r="AQ120" s="426"/>
      <c r="AR120" s="426"/>
      <c r="AS120" s="426"/>
      <c r="AT120" s="426"/>
      <c r="AU120" s="426"/>
      <c r="AV120" s="426"/>
      <c r="AW120" s="426"/>
      <c r="AX120" s="426"/>
      <c r="AY120" s="426"/>
    </row>
    <row r="121" spans="1:51" x14ac:dyDescent="0.25">
      <c r="A121" s="424" t="s">
        <v>148</v>
      </c>
      <c r="B121" s="425" t="s">
        <v>570</v>
      </c>
      <c r="C121" s="425" t="s">
        <v>19</v>
      </c>
      <c r="D121" s="425" t="s">
        <v>105</v>
      </c>
      <c r="E121" s="425" t="s">
        <v>306</v>
      </c>
      <c r="F121" s="443">
        <v>2025</v>
      </c>
      <c r="G121" s="444">
        <v>7</v>
      </c>
      <c r="H121" s="445">
        <v>2025</v>
      </c>
      <c r="I121" s="193">
        <f>'Key Inputs_BY Techs'!H$40</f>
        <v>1</v>
      </c>
      <c r="J121" s="161">
        <v>1</v>
      </c>
      <c r="K121" s="492">
        <f>$I121</f>
        <v>1</v>
      </c>
      <c r="L121" s="164">
        <f>$I121</f>
        <v>1</v>
      </c>
      <c r="M121" s="164">
        <f t="shared" si="2"/>
        <v>1</v>
      </c>
      <c r="N121" s="164">
        <f t="shared" si="2"/>
        <v>1</v>
      </c>
      <c r="O121" s="164">
        <f t="shared" si="2"/>
        <v>1</v>
      </c>
      <c r="P121" s="164">
        <f t="shared" si="2"/>
        <v>1</v>
      </c>
      <c r="Q121" s="164">
        <f t="shared" si="2"/>
        <v>1</v>
      </c>
      <c r="R121" s="164">
        <f t="shared" si="2"/>
        <v>1</v>
      </c>
      <c r="S121" s="164">
        <f t="shared" si="2"/>
        <v>1</v>
      </c>
      <c r="T121" s="164">
        <f t="shared" si="2"/>
        <v>1</v>
      </c>
      <c r="U121" s="164">
        <f t="shared" si="2"/>
        <v>1</v>
      </c>
      <c r="V121" s="164">
        <f t="shared" si="2"/>
        <v>1</v>
      </c>
      <c r="W121" s="164">
        <f t="shared" si="2"/>
        <v>1</v>
      </c>
      <c r="X121" s="164">
        <f t="shared" si="2"/>
        <v>1</v>
      </c>
      <c r="Y121" s="164">
        <f t="shared" si="2"/>
        <v>1</v>
      </c>
      <c r="Z121" s="164">
        <f t="shared" si="2"/>
        <v>1</v>
      </c>
      <c r="AA121" s="164">
        <f t="shared" si="2"/>
        <v>1</v>
      </c>
      <c r="AB121" s="164">
        <f t="shared" si="2"/>
        <v>1</v>
      </c>
      <c r="AC121" s="164">
        <f t="shared" si="2"/>
        <v>1</v>
      </c>
      <c r="AD121" s="164">
        <f t="shared" si="2"/>
        <v>1</v>
      </c>
      <c r="AE121" s="164">
        <f t="shared" si="2"/>
        <v>1</v>
      </c>
      <c r="AF121" s="164">
        <f t="shared" si="2"/>
        <v>1</v>
      </c>
      <c r="AG121" s="164">
        <f t="shared" si="2"/>
        <v>1</v>
      </c>
      <c r="AH121" s="164">
        <f t="shared" si="2"/>
        <v>1</v>
      </c>
      <c r="AI121" s="164">
        <f t="shared" si="2"/>
        <v>1</v>
      </c>
      <c r="AJ121" s="164">
        <f t="shared" si="2"/>
        <v>1</v>
      </c>
      <c r="AK121" s="164">
        <f t="shared" si="2"/>
        <v>1</v>
      </c>
      <c r="AL121" s="164">
        <f t="shared" si="2"/>
        <v>1</v>
      </c>
      <c r="AM121" s="426"/>
      <c r="AN121" s="426"/>
      <c r="AO121" s="426"/>
      <c r="AP121" s="426"/>
      <c r="AQ121" s="426"/>
      <c r="AR121" s="426"/>
      <c r="AS121" s="426"/>
      <c r="AT121" s="426"/>
      <c r="AU121" s="426"/>
      <c r="AV121" s="426"/>
      <c r="AW121" s="426"/>
      <c r="AX121" s="426"/>
      <c r="AY121" s="426"/>
    </row>
    <row r="122" spans="1:51" x14ac:dyDescent="0.25">
      <c r="C122" s="424"/>
      <c r="D122" s="424"/>
      <c r="E122" s="424"/>
      <c r="F122" s="446"/>
      <c r="G122" s="446"/>
      <c r="H122" s="445">
        <v>2030</v>
      </c>
      <c r="I122" s="193">
        <f>'Key Inputs_BY Techs'!H$40</f>
        <v>1</v>
      </c>
      <c r="J122" s="161">
        <v>1.2648196596229857</v>
      </c>
      <c r="K122" s="492">
        <f t="shared" ref="K122:Z125" si="5">$I122</f>
        <v>1</v>
      </c>
      <c r="L122" s="164">
        <f t="shared" si="5"/>
        <v>1</v>
      </c>
      <c r="M122" s="164">
        <f t="shared" si="5"/>
        <v>1</v>
      </c>
      <c r="N122" s="164">
        <f t="shared" si="5"/>
        <v>1</v>
      </c>
      <c r="O122" s="164">
        <f t="shared" si="5"/>
        <v>1</v>
      </c>
      <c r="P122" s="164">
        <f t="shared" si="5"/>
        <v>1</v>
      </c>
      <c r="Q122" s="164">
        <f t="shared" si="5"/>
        <v>1</v>
      </c>
      <c r="R122" s="164">
        <f t="shared" si="5"/>
        <v>1</v>
      </c>
      <c r="S122" s="164">
        <f t="shared" si="5"/>
        <v>1</v>
      </c>
      <c r="T122" s="164">
        <f t="shared" si="5"/>
        <v>1</v>
      </c>
      <c r="U122" s="164">
        <f t="shared" si="5"/>
        <v>1</v>
      </c>
      <c r="V122" s="164">
        <f t="shared" si="5"/>
        <v>1</v>
      </c>
      <c r="W122" s="164">
        <f t="shared" si="5"/>
        <v>1</v>
      </c>
      <c r="X122" s="164">
        <f t="shared" si="5"/>
        <v>1</v>
      </c>
      <c r="Y122" s="164">
        <f t="shared" si="5"/>
        <v>1</v>
      </c>
      <c r="Z122" s="164">
        <f t="shared" si="5"/>
        <v>1</v>
      </c>
      <c r="AA122" s="164">
        <f t="shared" si="2"/>
        <v>1</v>
      </c>
      <c r="AB122" s="164">
        <f t="shared" si="2"/>
        <v>1</v>
      </c>
      <c r="AC122" s="164">
        <f t="shared" si="2"/>
        <v>1</v>
      </c>
      <c r="AD122" s="164">
        <f t="shared" si="2"/>
        <v>1</v>
      </c>
      <c r="AE122" s="164">
        <f t="shared" si="2"/>
        <v>1</v>
      </c>
      <c r="AF122" s="164">
        <f t="shared" si="2"/>
        <v>1</v>
      </c>
      <c r="AG122" s="164">
        <f t="shared" si="2"/>
        <v>1</v>
      </c>
      <c r="AH122" s="164">
        <f t="shared" si="2"/>
        <v>1</v>
      </c>
      <c r="AI122" s="164">
        <f t="shared" si="2"/>
        <v>1</v>
      </c>
      <c r="AJ122" s="164">
        <f t="shared" si="2"/>
        <v>1</v>
      </c>
      <c r="AK122" s="164">
        <f t="shared" si="2"/>
        <v>1</v>
      </c>
      <c r="AL122" s="164">
        <f t="shared" si="2"/>
        <v>1</v>
      </c>
      <c r="AM122" s="426"/>
      <c r="AN122" s="426"/>
      <c r="AO122" s="426"/>
      <c r="AP122" s="426"/>
      <c r="AQ122" s="426"/>
      <c r="AR122" s="426"/>
      <c r="AS122" s="426"/>
      <c r="AT122" s="426"/>
      <c r="AU122" s="426"/>
      <c r="AV122" s="426"/>
      <c r="AW122" s="426"/>
      <c r="AX122" s="426"/>
      <c r="AY122" s="426"/>
    </row>
    <row r="123" spans="1:51" x14ac:dyDescent="0.25">
      <c r="B123" s="425"/>
      <c r="F123" s="443"/>
      <c r="G123" s="444"/>
      <c r="H123" s="445">
        <v>2050</v>
      </c>
      <c r="I123" s="193">
        <f>'Key Inputs_BY Techs'!H$40</f>
        <v>1</v>
      </c>
      <c r="J123" s="161">
        <v>1.5423997373422076</v>
      </c>
      <c r="K123" s="492">
        <f t="shared" si="5"/>
        <v>1</v>
      </c>
      <c r="L123" s="164">
        <f t="shared" si="5"/>
        <v>1</v>
      </c>
      <c r="M123" s="164">
        <f t="shared" si="5"/>
        <v>1</v>
      </c>
      <c r="N123" s="164">
        <f t="shared" si="5"/>
        <v>1</v>
      </c>
      <c r="O123" s="164">
        <f t="shared" si="5"/>
        <v>1</v>
      </c>
      <c r="P123" s="164">
        <f t="shared" si="5"/>
        <v>1</v>
      </c>
      <c r="Q123" s="164">
        <f t="shared" si="5"/>
        <v>1</v>
      </c>
      <c r="R123" s="164">
        <f t="shared" si="5"/>
        <v>1</v>
      </c>
      <c r="S123" s="164">
        <f t="shared" si="5"/>
        <v>1</v>
      </c>
      <c r="T123" s="164">
        <f t="shared" si="5"/>
        <v>1</v>
      </c>
      <c r="U123" s="164">
        <f t="shared" si="5"/>
        <v>1</v>
      </c>
      <c r="V123" s="164">
        <f t="shared" si="2"/>
        <v>1</v>
      </c>
      <c r="W123" s="164">
        <f t="shared" si="2"/>
        <v>1</v>
      </c>
      <c r="X123" s="164">
        <f t="shared" si="2"/>
        <v>1</v>
      </c>
      <c r="Y123" s="164">
        <f t="shared" si="2"/>
        <v>1</v>
      </c>
      <c r="Z123" s="164">
        <f t="shared" si="2"/>
        <v>1</v>
      </c>
      <c r="AA123" s="164">
        <f t="shared" si="2"/>
        <v>1</v>
      </c>
      <c r="AB123" s="164">
        <f t="shared" si="2"/>
        <v>1</v>
      </c>
      <c r="AC123" s="164">
        <f t="shared" si="2"/>
        <v>1</v>
      </c>
      <c r="AD123" s="164">
        <f t="shared" si="2"/>
        <v>1</v>
      </c>
      <c r="AE123" s="164">
        <f t="shared" si="2"/>
        <v>1</v>
      </c>
      <c r="AF123" s="164">
        <f t="shared" si="2"/>
        <v>1</v>
      </c>
      <c r="AG123" s="164">
        <f t="shared" si="2"/>
        <v>1</v>
      </c>
      <c r="AH123" s="164">
        <f t="shared" si="2"/>
        <v>1</v>
      </c>
      <c r="AI123" s="164">
        <f t="shared" si="2"/>
        <v>1</v>
      </c>
      <c r="AJ123" s="164">
        <f t="shared" si="2"/>
        <v>1</v>
      </c>
      <c r="AK123" s="164">
        <f t="shared" si="2"/>
        <v>1</v>
      </c>
      <c r="AL123" s="164">
        <f t="shared" si="2"/>
        <v>1</v>
      </c>
      <c r="AM123" s="426"/>
      <c r="AN123" s="426"/>
      <c r="AO123" s="426"/>
      <c r="AP123" s="426"/>
      <c r="AQ123" s="426"/>
      <c r="AR123" s="426"/>
      <c r="AS123" s="426"/>
      <c r="AT123" s="426"/>
      <c r="AU123" s="426"/>
      <c r="AV123" s="426"/>
      <c r="AW123" s="426"/>
      <c r="AX123" s="426"/>
      <c r="AY123" s="426"/>
    </row>
    <row r="124" spans="1:51" x14ac:dyDescent="0.25">
      <c r="A124" s="424" t="s">
        <v>148</v>
      </c>
      <c r="B124" s="425" t="s">
        <v>571</v>
      </c>
      <c r="C124" s="425" t="s">
        <v>19</v>
      </c>
      <c r="D124" s="425" t="s">
        <v>105</v>
      </c>
      <c r="E124" s="425" t="s">
        <v>304</v>
      </c>
      <c r="F124" s="443">
        <v>2030</v>
      </c>
      <c r="G124" s="444">
        <v>7</v>
      </c>
      <c r="H124" s="445">
        <v>2030</v>
      </c>
      <c r="I124" s="193">
        <f>'Key Inputs_BY Techs'!H$40</f>
        <v>1</v>
      </c>
      <c r="J124" s="161">
        <v>1.4335118894191925</v>
      </c>
      <c r="K124" s="492">
        <f t="shared" si="5"/>
        <v>1</v>
      </c>
      <c r="L124" s="164">
        <f t="shared" si="5"/>
        <v>1</v>
      </c>
      <c r="M124" s="164">
        <f t="shared" si="5"/>
        <v>1</v>
      </c>
      <c r="N124" s="164">
        <f t="shared" si="5"/>
        <v>1</v>
      </c>
      <c r="O124" s="164">
        <f t="shared" si="5"/>
        <v>1</v>
      </c>
      <c r="P124" s="164">
        <f t="shared" si="5"/>
        <v>1</v>
      </c>
      <c r="Q124" s="164">
        <f t="shared" si="5"/>
        <v>1</v>
      </c>
      <c r="R124" s="164">
        <f t="shared" si="5"/>
        <v>1</v>
      </c>
      <c r="S124" s="164">
        <f t="shared" si="5"/>
        <v>1</v>
      </c>
      <c r="T124" s="164">
        <f t="shared" si="5"/>
        <v>1</v>
      </c>
      <c r="U124" s="164">
        <f t="shared" si="5"/>
        <v>1</v>
      </c>
      <c r="V124" s="164">
        <f t="shared" si="2"/>
        <v>1</v>
      </c>
      <c r="W124" s="164">
        <f t="shared" si="2"/>
        <v>1</v>
      </c>
      <c r="X124" s="164">
        <f t="shared" si="2"/>
        <v>1</v>
      </c>
      <c r="Y124" s="164">
        <f t="shared" si="2"/>
        <v>1</v>
      </c>
      <c r="Z124" s="164">
        <f t="shared" si="2"/>
        <v>1</v>
      </c>
      <c r="AA124" s="164">
        <f t="shared" si="2"/>
        <v>1</v>
      </c>
      <c r="AB124" s="164">
        <f t="shared" si="2"/>
        <v>1</v>
      </c>
      <c r="AC124" s="164">
        <f t="shared" si="2"/>
        <v>1</v>
      </c>
      <c r="AD124" s="164">
        <f t="shared" si="2"/>
        <v>1</v>
      </c>
      <c r="AE124" s="164">
        <f t="shared" si="2"/>
        <v>1</v>
      </c>
      <c r="AF124" s="164">
        <f t="shared" si="2"/>
        <v>1</v>
      </c>
      <c r="AG124" s="164">
        <f t="shared" si="2"/>
        <v>1</v>
      </c>
      <c r="AH124" s="164">
        <f t="shared" si="2"/>
        <v>1</v>
      </c>
      <c r="AI124" s="164">
        <f t="shared" si="2"/>
        <v>1</v>
      </c>
      <c r="AJ124" s="164">
        <f t="shared" si="2"/>
        <v>1</v>
      </c>
      <c r="AK124" s="164">
        <f t="shared" si="2"/>
        <v>1</v>
      </c>
      <c r="AL124" s="164">
        <f t="shared" si="2"/>
        <v>1</v>
      </c>
      <c r="AM124" s="426"/>
      <c r="AN124" s="426"/>
      <c r="AO124" s="426"/>
      <c r="AP124" s="426"/>
      <c r="AQ124" s="426"/>
      <c r="AR124" s="426"/>
      <c r="AS124" s="426"/>
      <c r="AT124" s="426"/>
      <c r="AU124" s="426"/>
      <c r="AV124" s="426"/>
      <c r="AW124" s="426"/>
      <c r="AX124" s="426"/>
      <c r="AY124" s="426"/>
    </row>
    <row r="125" spans="1:51" x14ac:dyDescent="0.25">
      <c r="A125" s="456"/>
      <c r="B125" s="432"/>
      <c r="C125" s="432"/>
      <c r="D125" s="432"/>
      <c r="E125" s="432"/>
      <c r="F125" s="457"/>
      <c r="G125" s="461"/>
      <c r="H125" s="458">
        <v>2050</v>
      </c>
      <c r="I125" s="191">
        <f>'Key Inputs_BY Techs'!H$40</f>
        <v>1</v>
      </c>
      <c r="J125" s="163">
        <v>2.2992435785957834</v>
      </c>
      <c r="K125" s="166">
        <f t="shared" si="5"/>
        <v>1</v>
      </c>
      <c r="L125" s="165">
        <f t="shared" si="5"/>
        <v>1</v>
      </c>
      <c r="M125" s="165">
        <f t="shared" si="5"/>
        <v>1</v>
      </c>
      <c r="N125" s="165">
        <f t="shared" si="5"/>
        <v>1</v>
      </c>
      <c r="O125" s="165">
        <f t="shared" si="5"/>
        <v>1</v>
      </c>
      <c r="P125" s="165">
        <f t="shared" si="5"/>
        <v>1</v>
      </c>
      <c r="Q125" s="165">
        <f t="shared" si="5"/>
        <v>1</v>
      </c>
      <c r="R125" s="165">
        <f t="shared" si="5"/>
        <v>1</v>
      </c>
      <c r="S125" s="165">
        <f t="shared" si="5"/>
        <v>1</v>
      </c>
      <c r="T125" s="165">
        <f t="shared" si="5"/>
        <v>1</v>
      </c>
      <c r="U125" s="165">
        <f t="shared" si="5"/>
        <v>1</v>
      </c>
      <c r="V125" s="165">
        <f t="shared" si="2"/>
        <v>1</v>
      </c>
      <c r="W125" s="165">
        <f t="shared" si="2"/>
        <v>1</v>
      </c>
      <c r="X125" s="165">
        <f t="shared" si="2"/>
        <v>1</v>
      </c>
      <c r="Y125" s="165">
        <f t="shared" si="2"/>
        <v>1</v>
      </c>
      <c r="Z125" s="165">
        <f t="shared" si="2"/>
        <v>1</v>
      </c>
      <c r="AA125" s="165">
        <f t="shared" ref="AA125:AL125" si="6">$I125</f>
        <v>1</v>
      </c>
      <c r="AB125" s="165">
        <f t="shared" si="6"/>
        <v>1</v>
      </c>
      <c r="AC125" s="165">
        <f t="shared" si="6"/>
        <v>1</v>
      </c>
      <c r="AD125" s="165">
        <f t="shared" si="6"/>
        <v>1</v>
      </c>
      <c r="AE125" s="165">
        <f t="shared" si="6"/>
        <v>1</v>
      </c>
      <c r="AF125" s="165">
        <f t="shared" si="6"/>
        <v>1</v>
      </c>
      <c r="AG125" s="165">
        <f t="shared" si="6"/>
        <v>1</v>
      </c>
      <c r="AH125" s="165">
        <f t="shared" si="6"/>
        <v>1</v>
      </c>
      <c r="AI125" s="165">
        <f t="shared" si="6"/>
        <v>1</v>
      </c>
      <c r="AJ125" s="165">
        <f t="shared" si="6"/>
        <v>1</v>
      </c>
      <c r="AK125" s="165">
        <f t="shared" si="6"/>
        <v>1</v>
      </c>
      <c r="AL125" s="165">
        <f t="shared" si="6"/>
        <v>1</v>
      </c>
      <c r="AM125" s="426"/>
      <c r="AN125" s="426"/>
      <c r="AO125" s="426"/>
      <c r="AP125" s="426"/>
      <c r="AQ125" s="426"/>
      <c r="AR125" s="426"/>
      <c r="AS125" s="426"/>
      <c r="AT125" s="426"/>
      <c r="AU125" s="426"/>
      <c r="AV125" s="426"/>
      <c r="AW125" s="426"/>
      <c r="AX125" s="426"/>
      <c r="AY125" s="426"/>
    </row>
    <row r="126" spans="1:51" x14ac:dyDescent="0.25">
      <c r="B126" s="425"/>
      <c r="G126" s="462"/>
      <c r="H126" s="463"/>
      <c r="I126" s="464"/>
      <c r="J126" s="463"/>
      <c r="K126" s="463"/>
      <c r="AM126" s="426"/>
      <c r="AN126" s="426"/>
      <c r="AO126" s="426"/>
      <c r="AP126" s="426"/>
      <c r="AQ126" s="426"/>
      <c r="AR126" s="426"/>
      <c r="AS126" s="426"/>
      <c r="AT126" s="426"/>
      <c r="AU126" s="426"/>
      <c r="AV126" s="426"/>
      <c r="AW126" s="426"/>
      <c r="AX126" s="426"/>
      <c r="AY126" s="426"/>
    </row>
    <row r="127" spans="1:51" x14ac:dyDescent="0.25">
      <c r="B127" s="425"/>
      <c r="G127" s="462"/>
      <c r="H127" s="463"/>
      <c r="I127" s="463"/>
      <c r="J127" s="463"/>
      <c r="K127" s="463"/>
      <c r="AM127" s="426"/>
      <c r="AN127" s="426"/>
      <c r="AO127" s="426"/>
      <c r="AP127" s="426"/>
      <c r="AQ127" s="426"/>
      <c r="AR127" s="426"/>
      <c r="AS127" s="426"/>
      <c r="AT127" s="426"/>
      <c r="AU127" s="426"/>
      <c r="AV127" s="426"/>
      <c r="AW127" s="426"/>
      <c r="AX127" s="426"/>
      <c r="AY127" s="426"/>
    </row>
    <row r="128" spans="1:51" ht="26.25" x14ac:dyDescent="0.25">
      <c r="A128" s="4" t="s">
        <v>572</v>
      </c>
      <c r="B128" s="4" t="s">
        <v>300</v>
      </c>
      <c r="K128" s="424"/>
      <c r="AM128" s="426"/>
      <c r="AN128" s="426"/>
      <c r="AO128" s="426"/>
      <c r="AP128" s="426"/>
      <c r="AQ128" s="426"/>
      <c r="AR128" s="426"/>
      <c r="AS128" s="426"/>
      <c r="AT128" s="426"/>
      <c r="AU128" s="426"/>
      <c r="AV128" s="426"/>
      <c r="AW128" s="426"/>
      <c r="AX128" s="426"/>
      <c r="AY128" s="426"/>
    </row>
    <row r="129" spans="1:51" ht="15.75" x14ac:dyDescent="0.25">
      <c r="A129" s="382" t="s">
        <v>413</v>
      </c>
      <c r="B129" s="382" t="s">
        <v>414</v>
      </c>
      <c r="C129" s="382"/>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s="426"/>
      <c r="AN129" s="426"/>
      <c r="AO129" s="426"/>
      <c r="AP129" s="426"/>
      <c r="AQ129" s="426"/>
      <c r="AR129" s="426"/>
      <c r="AS129" s="426"/>
      <c r="AT129" s="426"/>
      <c r="AU129" s="426"/>
      <c r="AV129" s="426"/>
      <c r="AW129" s="426"/>
      <c r="AX129" s="426"/>
      <c r="AY129" s="426"/>
    </row>
    <row r="130" spans="1:51" x14ac:dyDescent="0.25">
      <c r="A130" s="433" t="s">
        <v>95</v>
      </c>
      <c r="B130" s="433"/>
      <c r="C130" s="434" t="s">
        <v>96</v>
      </c>
      <c r="D130" s="434"/>
      <c r="E130" s="434"/>
      <c r="F130" s="435"/>
      <c r="G130" s="435"/>
      <c r="H130" s="435" t="s">
        <v>113</v>
      </c>
      <c r="I130" s="465" t="s">
        <v>261</v>
      </c>
      <c r="J130" s="437"/>
      <c r="K130" s="466"/>
      <c r="L130" s="466"/>
      <c r="M130" s="466"/>
      <c r="N130" s="466"/>
      <c r="O130" s="466"/>
      <c r="P130" s="466"/>
      <c r="Q130" s="466"/>
      <c r="R130" s="466"/>
      <c r="S130" s="466"/>
      <c r="T130" s="466"/>
      <c r="U130" s="466"/>
      <c r="V130" s="466"/>
      <c r="W130" s="466"/>
      <c r="X130" s="466"/>
      <c r="Y130" s="466"/>
      <c r="Z130" s="466"/>
      <c r="AA130" s="466"/>
      <c r="AB130" s="466"/>
      <c r="AC130" s="466"/>
      <c r="AD130" s="466"/>
      <c r="AE130" s="466"/>
      <c r="AF130" s="466"/>
      <c r="AG130" s="466"/>
      <c r="AH130" s="466"/>
      <c r="AI130" s="466"/>
      <c r="AJ130" s="466"/>
      <c r="AK130" s="466"/>
      <c r="AL130" s="466"/>
      <c r="AM130" s="426"/>
      <c r="AN130" s="426"/>
      <c r="AO130" s="426"/>
      <c r="AP130" s="426"/>
      <c r="AQ130" s="426"/>
      <c r="AR130" s="426"/>
      <c r="AS130" s="426"/>
      <c r="AT130" s="426"/>
      <c r="AU130" s="426"/>
      <c r="AV130" s="426"/>
      <c r="AW130" s="426"/>
      <c r="AX130" s="426"/>
      <c r="AY130" s="426"/>
    </row>
    <row r="131" spans="1:51" ht="30" x14ac:dyDescent="0.25">
      <c r="C131" s="424"/>
      <c r="D131" s="424"/>
      <c r="E131" s="424"/>
      <c r="F131" s="424"/>
      <c r="G131" s="424"/>
      <c r="H131" s="424"/>
      <c r="I131" s="438" t="s">
        <v>215</v>
      </c>
      <c r="J131" s="436" t="s">
        <v>46</v>
      </c>
      <c r="K131" s="439" t="s">
        <v>314</v>
      </c>
      <c r="L131" s="439" t="s">
        <v>315</v>
      </c>
      <c r="M131" s="439" t="s">
        <v>317</v>
      </c>
      <c r="N131" s="439" t="s">
        <v>316</v>
      </c>
      <c r="O131" s="439" t="s">
        <v>318</v>
      </c>
      <c r="P131" s="439" t="s">
        <v>319</v>
      </c>
      <c r="Q131" s="439" t="s">
        <v>320</v>
      </c>
      <c r="R131" s="439" t="s">
        <v>321</v>
      </c>
      <c r="S131" s="439" t="s">
        <v>1</v>
      </c>
      <c r="T131" s="439" t="s">
        <v>2</v>
      </c>
      <c r="U131" s="439" t="s">
        <v>7</v>
      </c>
      <c r="V131" s="439" t="s">
        <v>3</v>
      </c>
      <c r="W131" s="439" t="s">
        <v>322</v>
      </c>
      <c r="X131" s="439" t="s">
        <v>323</v>
      </c>
      <c r="Y131" s="439" t="s">
        <v>324</v>
      </c>
      <c r="Z131" s="439" t="s">
        <v>325</v>
      </c>
      <c r="AA131" s="439" t="s">
        <v>325</v>
      </c>
      <c r="AB131" s="439" t="s">
        <v>4</v>
      </c>
      <c r="AC131" s="439" t="s">
        <v>5</v>
      </c>
      <c r="AD131" s="439" t="s">
        <v>6</v>
      </c>
      <c r="AE131" s="439" t="s">
        <v>7</v>
      </c>
      <c r="AF131" s="439" t="s">
        <v>573</v>
      </c>
      <c r="AG131" s="439" t="s">
        <v>8</v>
      </c>
      <c r="AH131" s="439" t="s">
        <v>9</v>
      </c>
      <c r="AI131" s="439" t="s">
        <v>317</v>
      </c>
      <c r="AJ131" s="439" t="s">
        <v>10</v>
      </c>
      <c r="AK131" s="439" t="s">
        <v>420</v>
      </c>
      <c r="AL131" s="439" t="s">
        <v>11</v>
      </c>
      <c r="AM131" s="426"/>
      <c r="AN131" s="426"/>
      <c r="AO131" s="426"/>
      <c r="AP131" s="426"/>
      <c r="AQ131" s="426"/>
      <c r="AR131" s="426"/>
      <c r="AS131" s="426"/>
      <c r="AT131" s="426"/>
      <c r="AU131" s="426"/>
      <c r="AV131" s="426"/>
      <c r="AW131" s="426"/>
      <c r="AX131" s="426"/>
      <c r="AY131" s="426"/>
    </row>
    <row r="132" spans="1:51" ht="15.75" thickBot="1" x14ac:dyDescent="0.3">
      <c r="A132" s="440" t="s">
        <v>27</v>
      </c>
      <c r="B132" s="440" t="s">
        <v>32</v>
      </c>
      <c r="C132" s="440" t="s">
        <v>27</v>
      </c>
      <c r="D132" s="440" t="s">
        <v>32</v>
      </c>
      <c r="E132" s="440" t="s">
        <v>210</v>
      </c>
      <c r="F132" s="467"/>
      <c r="G132" s="467"/>
      <c r="H132" s="467"/>
      <c r="I132" s="440"/>
      <c r="J132" s="468"/>
      <c r="K132" s="468" t="s">
        <v>327</v>
      </c>
      <c r="L132" s="468" t="s">
        <v>328</v>
      </c>
      <c r="M132" s="468" t="s">
        <v>330</v>
      </c>
      <c r="N132" s="468" t="s">
        <v>329</v>
      </c>
      <c r="O132" s="468" t="s">
        <v>331</v>
      </c>
      <c r="P132" s="468" t="s">
        <v>332</v>
      </c>
      <c r="Q132" s="468" t="s">
        <v>333</v>
      </c>
      <c r="R132" s="468" t="s">
        <v>334</v>
      </c>
      <c r="S132" s="468" t="s">
        <v>87</v>
      </c>
      <c r="T132" s="468" t="s">
        <v>88</v>
      </c>
      <c r="U132" s="468" t="s">
        <v>91</v>
      </c>
      <c r="V132" s="468" t="s">
        <v>463</v>
      </c>
      <c r="W132" s="468" t="s">
        <v>335</v>
      </c>
      <c r="X132" s="468" t="s">
        <v>336</v>
      </c>
      <c r="Y132" s="468" t="s">
        <v>337</v>
      </c>
      <c r="Z132" s="468" t="s">
        <v>338</v>
      </c>
      <c r="AA132" s="468" t="s">
        <v>338</v>
      </c>
      <c r="AB132" s="468" t="s">
        <v>464</v>
      </c>
      <c r="AC132" s="468" t="s">
        <v>89</v>
      </c>
      <c r="AD132" s="468" t="s">
        <v>90</v>
      </c>
      <c r="AE132" s="468" t="s">
        <v>91</v>
      </c>
      <c r="AF132" s="468" t="s">
        <v>574</v>
      </c>
      <c r="AG132" s="468" t="s">
        <v>465</v>
      </c>
      <c r="AH132" s="468" t="s">
        <v>92</v>
      </c>
      <c r="AI132" s="468" t="s">
        <v>330</v>
      </c>
      <c r="AJ132" s="468" t="s">
        <v>466</v>
      </c>
      <c r="AK132" s="468" t="s">
        <v>587</v>
      </c>
      <c r="AL132" s="468" t="s">
        <v>339</v>
      </c>
      <c r="AM132" s="426"/>
      <c r="AN132" s="426"/>
      <c r="AO132" s="426"/>
      <c r="AP132" s="426"/>
      <c r="AQ132" s="426"/>
      <c r="AR132" s="426"/>
      <c r="AS132" s="426"/>
      <c r="AT132" s="426"/>
      <c r="AU132" s="426"/>
      <c r="AV132" s="426"/>
      <c r="AW132" s="426"/>
      <c r="AX132" s="426"/>
      <c r="AY132" s="426"/>
    </row>
    <row r="133" spans="1:51" x14ac:dyDescent="0.25">
      <c r="A133" s="424" t="s">
        <v>122</v>
      </c>
      <c r="B133" s="425" t="s">
        <v>504</v>
      </c>
      <c r="C133" s="425" t="s">
        <v>115</v>
      </c>
      <c r="D133" s="425" t="s">
        <v>368</v>
      </c>
      <c r="E133" s="425" t="s">
        <v>233</v>
      </c>
      <c r="F133" s="167"/>
      <c r="G133" s="167"/>
      <c r="H133" s="445">
        <v>2020</v>
      </c>
      <c r="I133" s="175">
        <v>522.76533400000005</v>
      </c>
      <c r="J133" s="469" t="s">
        <v>256</v>
      </c>
      <c r="K133" s="470">
        <f t="shared" ref="K133:T142" si="7">$I133*K$245</f>
        <v>423.95692097114613</v>
      </c>
      <c r="L133" s="470">
        <f t="shared" si="7"/>
        <v>442.75489211883672</v>
      </c>
      <c r="M133" s="470">
        <f t="shared" si="7"/>
        <v>426.13725555839773</v>
      </c>
      <c r="N133" s="470">
        <f t="shared" si="7"/>
        <v>426.16551822016345</v>
      </c>
      <c r="O133" s="470">
        <f t="shared" si="7"/>
        <v>523.00658095756899</v>
      </c>
      <c r="P133" s="470">
        <f t="shared" si="7"/>
        <v>434.37842971942638</v>
      </c>
      <c r="Q133" s="470">
        <f t="shared" si="7"/>
        <v>446.1711791938427</v>
      </c>
      <c r="R133" s="470">
        <f t="shared" si="7"/>
        <v>430.92329363377007</v>
      </c>
      <c r="S133" s="470">
        <f t="shared" si="7"/>
        <v>450.38798815797395</v>
      </c>
      <c r="T133" s="470">
        <f t="shared" si="7"/>
        <v>525.31574844650493</v>
      </c>
      <c r="U133" s="470">
        <f t="shared" ref="U133:AD142" si="8">$I133*U$245</f>
        <v>443.98995672282757</v>
      </c>
      <c r="V133" s="470">
        <f t="shared" si="8"/>
        <v>451.40961626177005</v>
      </c>
      <c r="W133" s="470">
        <f t="shared" si="8"/>
        <v>447.90365650329369</v>
      </c>
      <c r="X133" s="470">
        <f t="shared" si="8"/>
        <v>568.90775982661444</v>
      </c>
      <c r="Y133" s="470">
        <f t="shared" si="8"/>
        <v>486.69686612136394</v>
      </c>
      <c r="Z133" s="470">
        <f t="shared" si="8"/>
        <v>522.76533400000005</v>
      </c>
      <c r="AA133" s="470">
        <f t="shared" si="8"/>
        <v>522.76533400000005</v>
      </c>
      <c r="AB133" s="470">
        <f t="shared" si="8"/>
        <v>443.15684576623056</v>
      </c>
      <c r="AC133" s="470">
        <f t="shared" si="8"/>
        <v>432.50113195324377</v>
      </c>
      <c r="AD133" s="470">
        <f t="shared" si="8"/>
        <v>508.44174872722465</v>
      </c>
      <c r="AE133" s="470">
        <f t="shared" ref="AE133:AL142" si="9">$I133*AE$245</f>
        <v>443.98995672282757</v>
      </c>
      <c r="AF133" s="470">
        <f t="shared" si="9"/>
        <v>478.11530498217303</v>
      </c>
      <c r="AG133" s="470">
        <f t="shared" si="9"/>
        <v>456.24572414340315</v>
      </c>
      <c r="AH133" s="470">
        <f t="shared" si="9"/>
        <v>461.2658661466827</v>
      </c>
      <c r="AI133" s="470">
        <f t="shared" si="9"/>
        <v>426.13725555839773</v>
      </c>
      <c r="AJ133" s="470">
        <f t="shared" si="9"/>
        <v>480.96384274348537</v>
      </c>
      <c r="AK133" s="470">
        <f t="shared" si="9"/>
        <v>510.42948596884571</v>
      </c>
      <c r="AL133" s="470">
        <f t="shared" si="9"/>
        <v>552.76497066826084</v>
      </c>
      <c r="AM133" s="426"/>
      <c r="AN133" s="426"/>
      <c r="AO133" s="426"/>
      <c r="AP133" s="426"/>
      <c r="AQ133" s="426"/>
      <c r="AR133" s="426"/>
      <c r="AS133" s="426"/>
      <c r="AT133" s="426"/>
      <c r="AU133" s="426"/>
      <c r="AV133" s="426"/>
      <c r="AW133" s="426"/>
      <c r="AX133" s="426"/>
      <c r="AY133" s="426"/>
    </row>
    <row r="134" spans="1:51" x14ac:dyDescent="0.25">
      <c r="A134" s="424" t="s">
        <v>122</v>
      </c>
      <c r="B134" s="425" t="s">
        <v>505</v>
      </c>
      <c r="C134" s="425" t="s">
        <v>115</v>
      </c>
      <c r="D134" s="425" t="s">
        <v>368</v>
      </c>
      <c r="E134" s="425" t="s">
        <v>235</v>
      </c>
      <c r="F134" s="167"/>
      <c r="G134" s="167"/>
      <c r="H134" s="445">
        <v>2030</v>
      </c>
      <c r="I134" s="176">
        <v>600.19665242139399</v>
      </c>
      <c r="J134" s="471" t="s">
        <v>256</v>
      </c>
      <c r="K134" s="470">
        <f t="shared" si="7"/>
        <v>486.75286632101614</v>
      </c>
      <c r="L134" s="470">
        <f t="shared" si="7"/>
        <v>508.33516840066756</v>
      </c>
      <c r="M134" s="470">
        <f t="shared" si="7"/>
        <v>489.25614921931748</v>
      </c>
      <c r="N134" s="470">
        <f t="shared" si="7"/>
        <v>489.28859810962649</v>
      </c>
      <c r="O134" s="470">
        <f t="shared" si="7"/>
        <v>600.47363256319454</v>
      </c>
      <c r="P134" s="470">
        <f t="shared" si="7"/>
        <v>498.71799533222577</v>
      </c>
      <c r="Q134" s="470">
        <f t="shared" si="7"/>
        <v>512.25747145477374</v>
      </c>
      <c r="R134" s="470">
        <f t="shared" si="7"/>
        <v>494.75108900275734</v>
      </c>
      <c r="S134" s="470">
        <f t="shared" si="7"/>
        <v>517.09886865455849</v>
      </c>
      <c r="T134" s="470">
        <f t="shared" si="7"/>
        <v>603.1248309242925</v>
      </c>
      <c r="U134" s="470">
        <f t="shared" si="8"/>
        <v>509.7531691605256</v>
      </c>
      <c r="V134" s="470">
        <f t="shared" si="8"/>
        <v>518.27181897860964</v>
      </c>
      <c r="W134" s="470">
        <f t="shared" si="8"/>
        <v>514.24656104029032</v>
      </c>
      <c r="X134" s="470">
        <f t="shared" si="8"/>
        <v>653.17363408892072</v>
      </c>
      <c r="Y134" s="470">
        <f t="shared" si="8"/>
        <v>558.78577019421482</v>
      </c>
      <c r="Z134" s="470">
        <f t="shared" si="8"/>
        <v>600.19665242139399</v>
      </c>
      <c r="AA134" s="470">
        <f t="shared" si="8"/>
        <v>600.19665242139399</v>
      </c>
      <c r="AB134" s="470">
        <f t="shared" si="8"/>
        <v>508.79665889727028</v>
      </c>
      <c r="AC134" s="470">
        <f t="shared" si="8"/>
        <v>496.56263467309498</v>
      </c>
      <c r="AD134" s="470">
        <f t="shared" si="8"/>
        <v>583.75147640788248</v>
      </c>
      <c r="AE134" s="470">
        <f t="shared" si="9"/>
        <v>509.7531691605256</v>
      </c>
      <c r="AF134" s="470">
        <f t="shared" si="9"/>
        <v>548.93311942856189</v>
      </c>
      <c r="AG134" s="470">
        <f t="shared" si="9"/>
        <v>523.82424484261105</v>
      </c>
      <c r="AH134" s="470">
        <f t="shared" si="9"/>
        <v>529.5879637219665</v>
      </c>
      <c r="AI134" s="470">
        <f t="shared" si="9"/>
        <v>489.25614921931748</v>
      </c>
      <c r="AJ134" s="470">
        <f t="shared" si="9"/>
        <v>552.20357888224021</v>
      </c>
      <c r="AK134" s="470">
        <f t="shared" si="9"/>
        <v>586.03363469329452</v>
      </c>
      <c r="AL134" s="470">
        <f t="shared" si="9"/>
        <v>634.63979608659395</v>
      </c>
      <c r="AM134" s="426"/>
      <c r="AN134" s="426"/>
      <c r="AO134" s="426"/>
      <c r="AP134" s="426"/>
      <c r="AQ134" s="426"/>
      <c r="AR134" s="426"/>
      <c r="AS134" s="426"/>
      <c r="AT134" s="426"/>
      <c r="AU134" s="426"/>
      <c r="AV134" s="426"/>
      <c r="AW134" s="426"/>
      <c r="AX134" s="426"/>
      <c r="AY134" s="426"/>
    </row>
    <row r="135" spans="1:51" x14ac:dyDescent="0.25">
      <c r="B135" s="425"/>
      <c r="F135" s="167"/>
      <c r="G135" s="167"/>
      <c r="H135" s="445">
        <v>2050</v>
      </c>
      <c r="I135" s="176">
        <v>562.97805200000005</v>
      </c>
      <c r="J135" s="471" t="s">
        <v>256</v>
      </c>
      <c r="K135" s="470">
        <f t="shared" si="7"/>
        <v>456.56899181508044</v>
      </c>
      <c r="L135" s="470">
        <f t="shared" si="7"/>
        <v>476.81296074336262</v>
      </c>
      <c r="M135" s="470">
        <f t="shared" si="7"/>
        <v>458.91704444750519</v>
      </c>
      <c r="N135" s="470">
        <f t="shared" si="7"/>
        <v>458.94748116017604</v>
      </c>
      <c r="O135" s="470">
        <f t="shared" si="7"/>
        <v>563.23785641584345</v>
      </c>
      <c r="P135" s="470">
        <f t="shared" si="7"/>
        <v>467.7921550824592</v>
      </c>
      <c r="Q135" s="470">
        <f t="shared" si="7"/>
        <v>480.49203913183061</v>
      </c>
      <c r="R135" s="470">
        <f t="shared" si="7"/>
        <v>464.07123929790617</v>
      </c>
      <c r="S135" s="470">
        <f t="shared" si="7"/>
        <v>485.03321801627965</v>
      </c>
      <c r="T135" s="470">
        <f t="shared" si="7"/>
        <v>565.72465217315914</v>
      </c>
      <c r="U135" s="470">
        <f t="shared" si="8"/>
        <v>478.14303031689121</v>
      </c>
      <c r="V135" s="470">
        <f t="shared" si="8"/>
        <v>486.13343289729085</v>
      </c>
      <c r="W135" s="470">
        <f t="shared" si="8"/>
        <v>482.35778392662394</v>
      </c>
      <c r="X135" s="470">
        <f t="shared" si="8"/>
        <v>612.66989519789252</v>
      </c>
      <c r="Y135" s="470">
        <f t="shared" si="8"/>
        <v>524.13508659223805</v>
      </c>
      <c r="Z135" s="470">
        <f t="shared" si="8"/>
        <v>562.97805200000005</v>
      </c>
      <c r="AA135" s="470">
        <f t="shared" si="8"/>
        <v>562.97805200000005</v>
      </c>
      <c r="AB135" s="470">
        <f t="shared" si="8"/>
        <v>477.24583390209443</v>
      </c>
      <c r="AC135" s="470">
        <f t="shared" si="8"/>
        <v>465.77044979580097</v>
      </c>
      <c r="AD135" s="470">
        <f t="shared" si="8"/>
        <v>547.55265247547266</v>
      </c>
      <c r="AE135" s="470">
        <f t="shared" si="9"/>
        <v>478.14303031689121</v>
      </c>
      <c r="AF135" s="470">
        <f t="shared" si="9"/>
        <v>514.89340536541715</v>
      </c>
      <c r="AG135" s="470">
        <f t="shared" si="9"/>
        <v>491.3415490775111</v>
      </c>
      <c r="AH135" s="470">
        <f t="shared" si="9"/>
        <v>496.74785585027365</v>
      </c>
      <c r="AI135" s="470">
        <f t="shared" si="9"/>
        <v>458.91704444750519</v>
      </c>
      <c r="AJ135" s="470">
        <f t="shared" si="9"/>
        <v>517.96106141606117</v>
      </c>
      <c r="AK135" s="470">
        <f t="shared" si="9"/>
        <v>549.69329258183382</v>
      </c>
      <c r="AL135" s="470">
        <f t="shared" si="9"/>
        <v>595.28535302735781</v>
      </c>
      <c r="AM135" s="426"/>
      <c r="AN135" s="426"/>
      <c r="AO135" s="426"/>
      <c r="AP135" s="426"/>
      <c r="AQ135" s="426"/>
      <c r="AR135" s="426"/>
      <c r="AS135" s="426"/>
      <c r="AT135" s="426"/>
      <c r="AU135" s="426"/>
      <c r="AV135" s="426"/>
      <c r="AW135" s="426"/>
      <c r="AX135" s="426"/>
      <c r="AY135" s="426"/>
    </row>
    <row r="136" spans="1:51" x14ac:dyDescent="0.25">
      <c r="A136" s="424" t="s">
        <v>122</v>
      </c>
      <c r="B136" s="425" t="s">
        <v>506</v>
      </c>
      <c r="C136" s="425" t="s">
        <v>115</v>
      </c>
      <c r="D136" s="425" t="s">
        <v>368</v>
      </c>
      <c r="E136" s="425" t="s">
        <v>272</v>
      </c>
      <c r="F136" s="167"/>
      <c r="G136" s="167"/>
      <c r="H136" s="445">
        <v>2030</v>
      </c>
      <c r="I136" s="176">
        <v>777.77281400000015</v>
      </c>
      <c r="J136" s="471" t="s">
        <v>256</v>
      </c>
      <c r="K136" s="470">
        <f t="shared" si="7"/>
        <v>630.76517510341262</v>
      </c>
      <c r="L136" s="470">
        <f t="shared" si="7"/>
        <v>658.73288827436693</v>
      </c>
      <c r="M136" s="470">
        <f t="shared" si="7"/>
        <v>634.00908753810393</v>
      </c>
      <c r="N136" s="470">
        <f t="shared" si="7"/>
        <v>634.05113686414575</v>
      </c>
      <c r="O136" s="470">
        <f t="shared" si="7"/>
        <v>778.13174240028559</v>
      </c>
      <c r="P136" s="470">
        <f t="shared" si="7"/>
        <v>646.27034665573206</v>
      </c>
      <c r="Q136" s="470">
        <f t="shared" si="7"/>
        <v>663.81565684937573</v>
      </c>
      <c r="R136" s="470">
        <f t="shared" si="7"/>
        <v>641.12977833317018</v>
      </c>
      <c r="S136" s="470">
        <f t="shared" si="7"/>
        <v>670.08944579601007</v>
      </c>
      <c r="T136" s="470">
        <f t="shared" si="7"/>
        <v>781.56733305455623</v>
      </c>
      <c r="U136" s="470">
        <f t="shared" si="8"/>
        <v>660.57042341688987</v>
      </c>
      <c r="V136" s="470">
        <f t="shared" si="8"/>
        <v>671.60942907238973</v>
      </c>
      <c r="W136" s="470">
        <f t="shared" si="8"/>
        <v>666.39324504148578</v>
      </c>
      <c r="X136" s="470">
        <f t="shared" si="8"/>
        <v>846.4237402298412</v>
      </c>
      <c r="Y136" s="470">
        <f t="shared" si="8"/>
        <v>724.10997154641962</v>
      </c>
      <c r="Z136" s="470">
        <f t="shared" si="8"/>
        <v>777.77281400000015</v>
      </c>
      <c r="AA136" s="470">
        <f t="shared" si="8"/>
        <v>777.77281400000015</v>
      </c>
      <c r="AB136" s="470">
        <f t="shared" si="8"/>
        <v>659.33091687170895</v>
      </c>
      <c r="AC136" s="470">
        <f t="shared" si="8"/>
        <v>643.47729388165544</v>
      </c>
      <c r="AD136" s="470">
        <f t="shared" si="8"/>
        <v>756.46211396001729</v>
      </c>
      <c r="AE136" s="470">
        <f t="shared" si="9"/>
        <v>660.57042341688987</v>
      </c>
      <c r="AF136" s="470">
        <f t="shared" si="9"/>
        <v>711.34228302225756</v>
      </c>
      <c r="AG136" s="470">
        <f t="shared" si="9"/>
        <v>678.8046139694535</v>
      </c>
      <c r="AH136" s="470">
        <f t="shared" si="9"/>
        <v>686.2736057304304</v>
      </c>
      <c r="AI136" s="470">
        <f t="shared" si="9"/>
        <v>634.00908753810393</v>
      </c>
      <c r="AJ136" s="470">
        <f t="shared" si="9"/>
        <v>715.58035139884419</v>
      </c>
      <c r="AK136" s="470">
        <f t="shared" si="9"/>
        <v>759.41947912438036</v>
      </c>
      <c r="AL136" s="470">
        <f t="shared" si="9"/>
        <v>822.40641977472967</v>
      </c>
      <c r="AM136" s="426"/>
      <c r="AN136" s="426"/>
      <c r="AO136" s="426"/>
      <c r="AP136" s="426"/>
      <c r="AQ136" s="426"/>
      <c r="AR136" s="426"/>
      <c r="AS136" s="426"/>
      <c r="AT136" s="426"/>
      <c r="AU136" s="426"/>
      <c r="AV136" s="426"/>
      <c r="AW136" s="426"/>
      <c r="AX136" s="426"/>
      <c r="AY136" s="426"/>
    </row>
    <row r="137" spans="1:51" x14ac:dyDescent="0.25">
      <c r="B137" s="425"/>
      <c r="F137" s="167"/>
      <c r="G137" s="167"/>
      <c r="H137" s="445">
        <v>2050</v>
      </c>
      <c r="I137" s="176">
        <v>752.27206600000011</v>
      </c>
      <c r="J137" s="471" t="s">
        <v>256</v>
      </c>
      <c r="K137" s="470">
        <f t="shared" si="7"/>
        <v>610.08434969018595</v>
      </c>
      <c r="L137" s="470">
        <f t="shared" si="7"/>
        <v>637.13508865881386</v>
      </c>
      <c r="M137" s="470">
        <f t="shared" si="7"/>
        <v>613.22190434013328</v>
      </c>
      <c r="N137" s="470">
        <f t="shared" si="7"/>
        <v>613.26257499974747</v>
      </c>
      <c r="O137" s="470">
        <f t="shared" si="7"/>
        <v>752.61922625601392</v>
      </c>
      <c r="P137" s="470">
        <f t="shared" si="7"/>
        <v>625.08115496210144</v>
      </c>
      <c r="Q137" s="470">
        <f t="shared" si="7"/>
        <v>642.05120908382241</v>
      </c>
      <c r="R137" s="470">
        <f t="shared" si="7"/>
        <v>620.10912986323012</v>
      </c>
      <c r="S137" s="470">
        <f t="shared" si="7"/>
        <v>648.11930003220641</v>
      </c>
      <c r="T137" s="470">
        <f t="shared" si="7"/>
        <v>755.94217459375102</v>
      </c>
      <c r="U137" s="470">
        <f t="shared" si="8"/>
        <v>638.91237674748356</v>
      </c>
      <c r="V137" s="470">
        <f t="shared" si="8"/>
        <v>649.58944779132764</v>
      </c>
      <c r="W137" s="470">
        <f t="shared" si="8"/>
        <v>644.54428618766656</v>
      </c>
      <c r="X137" s="470">
        <f t="shared" si="8"/>
        <v>818.67214218951847</v>
      </c>
      <c r="Y137" s="470">
        <f t="shared" si="8"/>
        <v>700.36866100391399</v>
      </c>
      <c r="Z137" s="470">
        <f t="shared" si="8"/>
        <v>752.27206600000011</v>
      </c>
      <c r="AA137" s="470">
        <f t="shared" si="8"/>
        <v>752.27206600000011</v>
      </c>
      <c r="AB137" s="470">
        <f t="shared" si="8"/>
        <v>637.71350976116105</v>
      </c>
      <c r="AC137" s="470">
        <f t="shared" si="8"/>
        <v>622.37967768881424</v>
      </c>
      <c r="AD137" s="470">
        <f t="shared" si="8"/>
        <v>731.66007743673799</v>
      </c>
      <c r="AE137" s="470">
        <f t="shared" si="9"/>
        <v>638.91237674748356</v>
      </c>
      <c r="AF137" s="470">
        <f t="shared" si="9"/>
        <v>688.01958521824906</v>
      </c>
      <c r="AG137" s="470">
        <f t="shared" si="9"/>
        <v>656.54872498684847</v>
      </c>
      <c r="AH137" s="470">
        <f t="shared" si="9"/>
        <v>663.77283177205561</v>
      </c>
      <c r="AI137" s="470">
        <f t="shared" si="9"/>
        <v>613.22190434013328</v>
      </c>
      <c r="AJ137" s="470">
        <f t="shared" si="9"/>
        <v>692.11870053330824</v>
      </c>
      <c r="AK137" s="470">
        <f t="shared" si="9"/>
        <v>734.52047980882685</v>
      </c>
      <c r="AL137" s="470">
        <f t="shared" si="9"/>
        <v>795.44227486408272</v>
      </c>
      <c r="AM137" s="426"/>
      <c r="AN137" s="426"/>
      <c r="AO137" s="426"/>
      <c r="AP137" s="426"/>
      <c r="AQ137" s="426"/>
      <c r="AR137" s="426"/>
      <c r="AS137" s="426"/>
      <c r="AT137" s="426"/>
      <c r="AU137" s="426"/>
      <c r="AV137" s="426"/>
      <c r="AW137" s="426"/>
      <c r="AX137" s="426"/>
      <c r="AY137" s="426"/>
    </row>
    <row r="138" spans="1:51" x14ac:dyDescent="0.25">
      <c r="A138" s="424" t="s">
        <v>122</v>
      </c>
      <c r="B138" s="425" t="s">
        <v>507</v>
      </c>
      <c r="C138" s="425" t="s">
        <v>19</v>
      </c>
      <c r="D138" s="425" t="s">
        <v>105</v>
      </c>
      <c r="E138" s="425" t="s">
        <v>237</v>
      </c>
      <c r="F138" s="167"/>
      <c r="G138" s="167"/>
      <c r="H138" s="445">
        <v>2020</v>
      </c>
      <c r="I138" s="176">
        <f>999.6293216</f>
        <v>999.62932160000003</v>
      </c>
      <c r="J138" s="471" t="s">
        <v>256</v>
      </c>
      <c r="K138" s="470">
        <f t="shared" si="7"/>
        <v>810.68835619848426</v>
      </c>
      <c r="L138" s="470">
        <f t="shared" si="7"/>
        <v>846.63374492967796</v>
      </c>
      <c r="M138" s="470">
        <f t="shared" si="7"/>
        <v>814.85758136044819</v>
      </c>
      <c r="N138" s="470">
        <f t="shared" si="7"/>
        <v>814.91162508441005</v>
      </c>
      <c r="O138" s="470">
        <f t="shared" si="7"/>
        <v>1000.0906328554489</v>
      </c>
      <c r="P138" s="470">
        <f t="shared" si="7"/>
        <v>830.61631439031771</v>
      </c>
      <c r="Q138" s="470">
        <f t="shared" si="7"/>
        <v>853.16635240968935</v>
      </c>
      <c r="R138" s="470">
        <f t="shared" si="7"/>
        <v>824.009420021648</v>
      </c>
      <c r="S138" s="470">
        <f t="shared" si="7"/>
        <v>861.22971394110129</v>
      </c>
      <c r="T138" s="470">
        <f t="shared" si="7"/>
        <v>1004.5062116635605</v>
      </c>
      <c r="U138" s="470">
        <f t="shared" si="8"/>
        <v>848.9954294407238</v>
      </c>
      <c r="V138" s="470">
        <f t="shared" si="8"/>
        <v>863.18326621762856</v>
      </c>
      <c r="W138" s="470">
        <f t="shared" si="8"/>
        <v>856.47918706971268</v>
      </c>
      <c r="X138" s="470">
        <f t="shared" si="8"/>
        <v>1087.8626431806481</v>
      </c>
      <c r="Y138" s="470">
        <f t="shared" si="8"/>
        <v>930.65937326621781</v>
      </c>
      <c r="Z138" s="470">
        <f t="shared" si="8"/>
        <v>999.62932160000003</v>
      </c>
      <c r="AA138" s="470">
        <f t="shared" si="8"/>
        <v>999.62932160000003</v>
      </c>
      <c r="AB138" s="470">
        <f t="shared" si="8"/>
        <v>847.4023587334749</v>
      </c>
      <c r="AC138" s="470">
        <f t="shared" si="8"/>
        <v>827.02655475937331</v>
      </c>
      <c r="AD138" s="470">
        <f t="shared" si="8"/>
        <v>972.23983171254656</v>
      </c>
      <c r="AE138" s="470">
        <f t="shared" si="9"/>
        <v>848.9954294407238</v>
      </c>
      <c r="AF138" s="470">
        <f t="shared" si="9"/>
        <v>914.24975391713087</v>
      </c>
      <c r="AG138" s="470">
        <f t="shared" si="9"/>
        <v>872.43084811811718</v>
      </c>
      <c r="AH138" s="470">
        <f t="shared" si="9"/>
        <v>882.03033916829077</v>
      </c>
      <c r="AI138" s="470">
        <f t="shared" si="9"/>
        <v>814.85758136044819</v>
      </c>
      <c r="AJ138" s="470">
        <f t="shared" si="9"/>
        <v>919.69671392900614</v>
      </c>
      <c r="AK138" s="470">
        <f t="shared" si="9"/>
        <v>976.04077316969517</v>
      </c>
      <c r="AL138" s="470">
        <f t="shared" si="9"/>
        <v>1056.9944804973572</v>
      </c>
      <c r="AM138" s="426"/>
      <c r="AN138" s="426"/>
      <c r="AO138" s="426"/>
      <c r="AP138" s="426"/>
      <c r="AQ138" s="426"/>
      <c r="AR138" s="426"/>
      <c r="AS138" s="426"/>
      <c r="AT138" s="426"/>
      <c r="AU138" s="426"/>
      <c r="AV138" s="426"/>
      <c r="AW138" s="426"/>
      <c r="AX138" s="426"/>
      <c r="AY138" s="426"/>
    </row>
    <row r="139" spans="1:51" x14ac:dyDescent="0.25">
      <c r="A139" s="424" t="s">
        <v>122</v>
      </c>
      <c r="B139" s="425" t="s">
        <v>508</v>
      </c>
      <c r="C139" s="425" t="s">
        <v>19</v>
      </c>
      <c r="D139" s="425" t="s">
        <v>105</v>
      </c>
      <c r="E139" s="425" t="s">
        <v>238</v>
      </c>
      <c r="F139" s="167"/>
      <c r="G139" s="167"/>
      <c r="H139" s="445">
        <v>2030</v>
      </c>
      <c r="I139" s="176">
        <f>1064.656229</f>
        <v>1064.6562289999999</v>
      </c>
      <c r="J139" s="471" t="s">
        <v>256</v>
      </c>
      <c r="K139" s="470">
        <f t="shared" si="7"/>
        <v>863.42446100221207</v>
      </c>
      <c r="L139" s="470">
        <f t="shared" si="7"/>
        <v>901.70813394933805</v>
      </c>
      <c r="M139" s="470">
        <f t="shared" si="7"/>
        <v>867.86489851527324</v>
      </c>
      <c r="N139" s="470">
        <f t="shared" si="7"/>
        <v>867.92245783862541</v>
      </c>
      <c r="O139" s="470">
        <f t="shared" si="7"/>
        <v>1065.1475490233415</v>
      </c>
      <c r="P139" s="470">
        <f t="shared" si="7"/>
        <v>884.64875320907549</v>
      </c>
      <c r="Q139" s="470">
        <f t="shared" si="7"/>
        <v>908.66569421185022</v>
      </c>
      <c r="R139" s="470">
        <f t="shared" si="7"/>
        <v>877.61207361999493</v>
      </c>
      <c r="S139" s="470">
        <f t="shared" si="7"/>
        <v>917.25358563880047</v>
      </c>
      <c r="T139" s="470">
        <f t="shared" si="7"/>
        <v>1069.8503657386136</v>
      </c>
      <c r="U139" s="470">
        <f t="shared" si="8"/>
        <v>904.22344844770964</v>
      </c>
      <c r="V139" s="470">
        <f t="shared" si="8"/>
        <v>919.33421848433647</v>
      </c>
      <c r="W139" s="470">
        <f t="shared" si="8"/>
        <v>912.1940321469516</v>
      </c>
      <c r="X139" s="470">
        <f t="shared" si="8"/>
        <v>1158.6292181834708</v>
      </c>
      <c r="Y139" s="470">
        <f t="shared" si="8"/>
        <v>991.19971514960685</v>
      </c>
      <c r="Z139" s="470">
        <f t="shared" si="8"/>
        <v>1064.6562289999999</v>
      </c>
      <c r="AA139" s="470">
        <f t="shared" si="8"/>
        <v>1064.6562289999999</v>
      </c>
      <c r="AB139" s="470">
        <f t="shared" si="8"/>
        <v>902.52674686537182</v>
      </c>
      <c r="AC139" s="470">
        <f t="shared" si="8"/>
        <v>880.82547605111824</v>
      </c>
      <c r="AD139" s="470">
        <f t="shared" si="8"/>
        <v>1035.4850248469086</v>
      </c>
      <c r="AE139" s="470">
        <f t="shared" si="9"/>
        <v>904.22344844770964</v>
      </c>
      <c r="AF139" s="470">
        <f t="shared" si="9"/>
        <v>973.72263331735223</v>
      </c>
      <c r="AG139" s="470">
        <f t="shared" si="9"/>
        <v>929.18336502375996</v>
      </c>
      <c r="AH139" s="470">
        <f t="shared" si="9"/>
        <v>939.40731276214626</v>
      </c>
      <c r="AI139" s="470">
        <f t="shared" si="9"/>
        <v>867.86489851527324</v>
      </c>
      <c r="AJ139" s="470">
        <f t="shared" si="9"/>
        <v>979.5239236361225</v>
      </c>
      <c r="AK139" s="470">
        <f t="shared" si="9"/>
        <v>1039.5332214243565</v>
      </c>
      <c r="AL139" s="470">
        <f t="shared" si="9"/>
        <v>1125.7530500195066</v>
      </c>
      <c r="AM139" s="426"/>
      <c r="AN139" s="426"/>
      <c r="AO139" s="426"/>
      <c r="AP139" s="426"/>
      <c r="AQ139" s="426"/>
      <c r="AR139" s="426"/>
      <c r="AS139" s="426"/>
      <c r="AT139" s="426"/>
      <c r="AU139" s="426"/>
      <c r="AV139" s="426"/>
      <c r="AW139" s="426"/>
      <c r="AX139" s="426"/>
      <c r="AY139" s="426"/>
    </row>
    <row r="140" spans="1:51" x14ac:dyDescent="0.25">
      <c r="B140" s="425"/>
      <c r="F140" s="167"/>
      <c r="G140" s="167"/>
      <c r="H140" s="445">
        <v>2050</v>
      </c>
      <c r="I140" s="176">
        <f>858.1001702</f>
        <v>858.10017019999998</v>
      </c>
      <c r="J140" s="471" t="s">
        <v>256</v>
      </c>
      <c r="K140" s="470">
        <f t="shared" si="7"/>
        <v>695.90977515507632</v>
      </c>
      <c r="L140" s="470">
        <f t="shared" si="7"/>
        <v>726.76595706335877</v>
      </c>
      <c r="M140" s="470">
        <f t="shared" si="7"/>
        <v>699.48871461171132</v>
      </c>
      <c r="N140" s="470">
        <f t="shared" si="7"/>
        <v>699.53510673699998</v>
      </c>
      <c r="O140" s="470">
        <f t="shared" si="7"/>
        <v>858.49616825474118</v>
      </c>
      <c r="P140" s="470">
        <f t="shared" si="7"/>
        <v>713.01630049066807</v>
      </c>
      <c r="Q140" s="470">
        <f t="shared" si="7"/>
        <v>732.37366731086854</v>
      </c>
      <c r="R140" s="470">
        <f t="shared" si="7"/>
        <v>707.34482101348101</v>
      </c>
      <c r="S140" s="470">
        <f t="shared" si="7"/>
        <v>739.29540495199126</v>
      </c>
      <c r="T140" s="470">
        <f t="shared" si="7"/>
        <v>862.28658220609213</v>
      </c>
      <c r="U140" s="470">
        <f t="shared" si="8"/>
        <v>728.79327042551927</v>
      </c>
      <c r="V140" s="470">
        <f t="shared" si="8"/>
        <v>740.97237010773472</v>
      </c>
      <c r="W140" s="470">
        <f t="shared" si="8"/>
        <v>735.21746543101608</v>
      </c>
      <c r="X140" s="470">
        <f t="shared" si="8"/>
        <v>933.84127405685729</v>
      </c>
      <c r="Y140" s="470">
        <f t="shared" si="8"/>
        <v>798.89509975531189</v>
      </c>
      <c r="Z140" s="470">
        <f t="shared" si="8"/>
        <v>858.10017019999998</v>
      </c>
      <c r="AA140" s="470">
        <f t="shared" si="8"/>
        <v>858.10017019999998</v>
      </c>
      <c r="AB140" s="470">
        <f t="shared" si="8"/>
        <v>727.4257492699345</v>
      </c>
      <c r="AC140" s="470">
        <f t="shared" si="8"/>
        <v>709.93478488910489</v>
      </c>
      <c r="AD140" s="470">
        <f t="shared" si="8"/>
        <v>834.58852900834677</v>
      </c>
      <c r="AE140" s="470">
        <f t="shared" si="9"/>
        <v>728.79327042551927</v>
      </c>
      <c r="AF140" s="470">
        <f t="shared" si="9"/>
        <v>784.80878110488391</v>
      </c>
      <c r="AG140" s="470">
        <f t="shared" si="9"/>
        <v>748.9106642646592</v>
      </c>
      <c r="AH140" s="470">
        <f t="shared" si="9"/>
        <v>757.15104369931078</v>
      </c>
      <c r="AI140" s="470">
        <f t="shared" si="9"/>
        <v>699.48871461171132</v>
      </c>
      <c r="AJ140" s="470">
        <f t="shared" si="9"/>
        <v>789.48455162528194</v>
      </c>
      <c r="AK140" s="470">
        <f t="shared" si="9"/>
        <v>837.85132696837354</v>
      </c>
      <c r="AL140" s="470">
        <f t="shared" si="9"/>
        <v>907.34347624326711</v>
      </c>
      <c r="AM140" s="426"/>
      <c r="AN140" s="426"/>
      <c r="AO140" s="426"/>
      <c r="AP140" s="426"/>
      <c r="AQ140" s="426"/>
      <c r="AR140" s="426"/>
      <c r="AS140" s="426"/>
      <c r="AT140" s="426"/>
      <c r="AU140" s="426"/>
      <c r="AV140" s="426"/>
      <c r="AW140" s="426"/>
      <c r="AX140" s="426"/>
      <c r="AY140" s="426"/>
    </row>
    <row r="141" spans="1:51" x14ac:dyDescent="0.25">
      <c r="A141" s="424" t="s">
        <v>122</v>
      </c>
      <c r="B141" s="425" t="s">
        <v>509</v>
      </c>
      <c r="C141" s="425" t="s">
        <v>19</v>
      </c>
      <c r="D141" s="425" t="s">
        <v>105</v>
      </c>
      <c r="E141" s="425" t="s">
        <v>239</v>
      </c>
      <c r="F141" s="167"/>
      <c r="G141" s="167"/>
      <c r="H141" s="445">
        <v>2030</v>
      </c>
      <c r="I141" s="176">
        <f>1377.040392</f>
        <v>1377.0403920000001</v>
      </c>
      <c r="J141" s="471" t="s">
        <v>256</v>
      </c>
      <c r="K141" s="470">
        <f t="shared" si="7"/>
        <v>1116.7645723142386</v>
      </c>
      <c r="L141" s="470">
        <f t="shared" si="7"/>
        <v>1166.2811792398625</v>
      </c>
      <c r="M141" s="470">
        <f t="shared" si="7"/>
        <v>1122.5078926904134</v>
      </c>
      <c r="N141" s="470">
        <f t="shared" si="7"/>
        <v>1122.5823406775037</v>
      </c>
      <c r="O141" s="470">
        <f t="shared" si="7"/>
        <v>1377.6758717906694</v>
      </c>
      <c r="P141" s="470">
        <f t="shared" si="7"/>
        <v>1144.21635145605</v>
      </c>
      <c r="Q141" s="470">
        <f t="shared" si="7"/>
        <v>1175.2801793398783</v>
      </c>
      <c r="R141" s="470">
        <f t="shared" si="7"/>
        <v>1135.1150173767601</v>
      </c>
      <c r="S141" s="470">
        <f t="shared" si="7"/>
        <v>1186.3878712453948</v>
      </c>
      <c r="T141" s="470">
        <f t="shared" si="7"/>
        <v>1383.7585568834763</v>
      </c>
      <c r="U141" s="470">
        <f t="shared" si="8"/>
        <v>1169.5345201479361</v>
      </c>
      <c r="V141" s="470">
        <f t="shared" si="8"/>
        <v>1189.0789891773454</v>
      </c>
      <c r="W141" s="470">
        <f t="shared" si="8"/>
        <v>1179.8437781062371</v>
      </c>
      <c r="X141" s="470">
        <f t="shared" si="8"/>
        <v>1498.5862941774235</v>
      </c>
      <c r="Y141" s="470">
        <f t="shared" si="8"/>
        <v>1282.0307692953002</v>
      </c>
      <c r="Z141" s="470">
        <f t="shared" si="8"/>
        <v>1377.0403920000001</v>
      </c>
      <c r="AA141" s="470">
        <f t="shared" si="8"/>
        <v>1377.0403920000001</v>
      </c>
      <c r="AB141" s="470">
        <f t="shared" si="8"/>
        <v>1167.3399839695828</v>
      </c>
      <c r="AC141" s="470">
        <f t="shared" si="8"/>
        <v>1139.2712744134226</v>
      </c>
      <c r="AD141" s="470">
        <f t="shared" si="8"/>
        <v>1339.3099722570796</v>
      </c>
      <c r="AE141" s="470">
        <f t="shared" si="9"/>
        <v>1169.5345201479361</v>
      </c>
      <c r="AF141" s="470">
        <f t="shared" si="9"/>
        <v>1259.4256814164557</v>
      </c>
      <c r="AG141" s="470">
        <f t="shared" si="9"/>
        <v>1201.8180050606718</v>
      </c>
      <c r="AH141" s="470">
        <f t="shared" si="9"/>
        <v>1215.0417937522373</v>
      </c>
      <c r="AI141" s="470">
        <f t="shared" si="9"/>
        <v>1122.5078926904134</v>
      </c>
      <c r="AJ141" s="470">
        <f t="shared" si="9"/>
        <v>1266.9291467389371</v>
      </c>
      <c r="AK141" s="470">
        <f t="shared" si="9"/>
        <v>1344.5459630398864</v>
      </c>
      <c r="AL141" s="470">
        <f t="shared" si="9"/>
        <v>1456.063825174931</v>
      </c>
      <c r="AM141" s="426"/>
      <c r="AN141" s="426"/>
      <c r="AO141" s="426"/>
      <c r="AP141" s="426"/>
      <c r="AQ141" s="426"/>
      <c r="AR141" s="426"/>
      <c r="AS141" s="426"/>
      <c r="AT141" s="426"/>
      <c r="AU141" s="426"/>
      <c r="AV141" s="426"/>
      <c r="AW141" s="426"/>
      <c r="AX141" s="426"/>
      <c r="AY141" s="426"/>
    </row>
    <row r="142" spans="1:51" x14ac:dyDescent="0.25">
      <c r="B142" s="425"/>
      <c r="F142" s="167"/>
      <c r="G142" s="167"/>
      <c r="H142" s="445">
        <v>2050</v>
      </c>
      <c r="I142" s="176">
        <f>1313.288522</f>
        <v>1313.2885220000001</v>
      </c>
      <c r="J142" s="471" t="s">
        <v>256</v>
      </c>
      <c r="K142" s="470">
        <f t="shared" si="7"/>
        <v>1065.0625087811718</v>
      </c>
      <c r="L142" s="470">
        <f t="shared" si="7"/>
        <v>1112.2866802009801</v>
      </c>
      <c r="M142" s="470">
        <f t="shared" si="7"/>
        <v>1070.5399346954869</v>
      </c>
      <c r="N142" s="470">
        <f t="shared" si="7"/>
        <v>1070.610936016508</v>
      </c>
      <c r="O142" s="470">
        <f t="shared" si="7"/>
        <v>1313.8945814299902</v>
      </c>
      <c r="P142" s="470">
        <f t="shared" si="7"/>
        <v>1091.2433722219735</v>
      </c>
      <c r="Q142" s="470">
        <f t="shared" si="7"/>
        <v>1120.8690599259951</v>
      </c>
      <c r="R142" s="470">
        <f t="shared" si="7"/>
        <v>1082.5633962019101</v>
      </c>
      <c r="S142" s="470">
        <f t="shared" si="7"/>
        <v>1131.4625068358857</v>
      </c>
      <c r="T142" s="470">
        <f t="shared" si="7"/>
        <v>1319.6956607314635</v>
      </c>
      <c r="U142" s="470">
        <f t="shared" si="8"/>
        <v>1115.3894034744203</v>
      </c>
      <c r="V142" s="470">
        <f t="shared" si="8"/>
        <v>1134.0290359746905</v>
      </c>
      <c r="W142" s="470">
        <f t="shared" si="8"/>
        <v>1125.2213809716889</v>
      </c>
      <c r="X142" s="470">
        <f t="shared" si="8"/>
        <v>1429.2072990766169</v>
      </c>
      <c r="Y142" s="470">
        <f t="shared" si="8"/>
        <v>1222.677492939036</v>
      </c>
      <c r="Z142" s="470">
        <f t="shared" si="8"/>
        <v>1313.2885220000001</v>
      </c>
      <c r="AA142" s="470">
        <f t="shared" si="8"/>
        <v>1313.2885220000001</v>
      </c>
      <c r="AB142" s="470">
        <f t="shared" si="8"/>
        <v>1113.2964661932133</v>
      </c>
      <c r="AC142" s="470">
        <f t="shared" si="8"/>
        <v>1086.5272339313196</v>
      </c>
      <c r="AD142" s="470">
        <f t="shared" si="8"/>
        <v>1277.3048809488814</v>
      </c>
      <c r="AE142" s="470">
        <f t="shared" si="9"/>
        <v>1115.3894034744203</v>
      </c>
      <c r="AF142" s="470">
        <f t="shared" si="9"/>
        <v>1201.1189369064346</v>
      </c>
      <c r="AG142" s="470">
        <f t="shared" si="9"/>
        <v>1146.178282604159</v>
      </c>
      <c r="AH142" s="470">
        <f t="shared" si="9"/>
        <v>1158.7898588563003</v>
      </c>
      <c r="AI142" s="470">
        <f t="shared" si="9"/>
        <v>1070.5399346954869</v>
      </c>
      <c r="AJ142" s="470">
        <f t="shared" si="9"/>
        <v>1208.2750195750973</v>
      </c>
      <c r="AK142" s="470">
        <f t="shared" si="9"/>
        <v>1282.2984647510027</v>
      </c>
      <c r="AL142" s="470">
        <f t="shared" si="9"/>
        <v>1388.6534628983138</v>
      </c>
      <c r="AM142" s="426"/>
      <c r="AN142" s="426"/>
      <c r="AO142" s="426"/>
      <c r="AP142" s="426"/>
      <c r="AQ142" s="426"/>
      <c r="AR142" s="426"/>
      <c r="AS142" s="426"/>
      <c r="AT142" s="426"/>
      <c r="AU142" s="426"/>
      <c r="AV142" s="426"/>
      <c r="AW142" s="426"/>
      <c r="AX142" s="426"/>
      <c r="AY142" s="426"/>
    </row>
    <row r="143" spans="1:51" s="472" customFormat="1" x14ac:dyDescent="0.25">
      <c r="A143" s="424" t="s">
        <v>122</v>
      </c>
      <c r="B143" s="425" t="s">
        <v>510</v>
      </c>
      <c r="C143" s="425" t="s">
        <v>19</v>
      </c>
      <c r="D143" s="425" t="s">
        <v>105</v>
      </c>
      <c r="E143" s="425" t="s">
        <v>240</v>
      </c>
      <c r="F143" s="167"/>
      <c r="G143" s="167"/>
      <c r="H143" s="445">
        <v>2020</v>
      </c>
      <c r="I143" s="176">
        <f>1320.9387464</f>
        <v>1320.9387463999999</v>
      </c>
      <c r="J143" s="471" t="s">
        <v>256</v>
      </c>
      <c r="K143" s="470">
        <f t="shared" ref="K143:T152" si="10">$I143*K$245</f>
        <v>1071.2667564051399</v>
      </c>
      <c r="L143" s="470">
        <f t="shared" si="10"/>
        <v>1118.7660200856458</v>
      </c>
      <c r="M143" s="470">
        <f t="shared" si="10"/>
        <v>1076.776089654878</v>
      </c>
      <c r="N143" s="470">
        <f t="shared" si="10"/>
        <v>1076.8475045758275</v>
      </c>
      <c r="O143" s="470">
        <f t="shared" si="10"/>
        <v>1321.5483362732716</v>
      </c>
      <c r="P143" s="470">
        <f t="shared" si="10"/>
        <v>1097.6001297300625</v>
      </c>
      <c r="Q143" s="470">
        <f t="shared" si="10"/>
        <v>1127.3983942556608</v>
      </c>
      <c r="R143" s="470">
        <f t="shared" si="10"/>
        <v>1088.8695907428919</v>
      </c>
      <c r="S143" s="470">
        <f t="shared" si="10"/>
        <v>1138.0535505650266</v>
      </c>
      <c r="T143" s="470">
        <f t="shared" si="10"/>
        <v>1327.3832082697049</v>
      </c>
      <c r="U143" s="470">
        <f t="shared" ref="U143:AD152" si="11">$I143*U$245</f>
        <v>1121.8868174752422</v>
      </c>
      <c r="V143" s="470">
        <f t="shared" si="11"/>
        <v>1140.6350303590091</v>
      </c>
      <c r="W143" s="470">
        <f t="shared" si="11"/>
        <v>1131.7760686278345</v>
      </c>
      <c r="X143" s="470">
        <f t="shared" si="11"/>
        <v>1437.5327784887133</v>
      </c>
      <c r="Y143" s="470">
        <f t="shared" si="11"/>
        <v>1229.7998861017877</v>
      </c>
      <c r="Z143" s="470">
        <f t="shared" si="11"/>
        <v>1320.9387463999999</v>
      </c>
      <c r="AA143" s="470">
        <f t="shared" si="11"/>
        <v>1320.9387463999999</v>
      </c>
      <c r="AB143" s="470">
        <f t="shared" si="11"/>
        <v>1119.7816883263774</v>
      </c>
      <c r="AC143" s="470">
        <f t="shared" si="11"/>
        <v>1092.8565187891718</v>
      </c>
      <c r="AD143" s="470">
        <f t="shared" si="11"/>
        <v>1284.745491905865</v>
      </c>
      <c r="AE143" s="470">
        <f t="shared" ref="AE143:AL152" si="12">$I143*AE$245</f>
        <v>1121.8868174752422</v>
      </c>
      <c r="AF143" s="470">
        <f t="shared" si="12"/>
        <v>1208.1157462476369</v>
      </c>
      <c r="AG143" s="470">
        <f t="shared" si="12"/>
        <v>1152.8550492989405</v>
      </c>
      <c r="AH143" s="470">
        <f t="shared" si="12"/>
        <v>1165.5400910438127</v>
      </c>
      <c r="AI143" s="470">
        <f t="shared" si="12"/>
        <v>1076.776089654878</v>
      </c>
      <c r="AJ143" s="470">
        <f t="shared" si="12"/>
        <v>1215.3135148347581</v>
      </c>
      <c r="AK143" s="470">
        <f t="shared" si="12"/>
        <v>1289.7681645456685</v>
      </c>
      <c r="AL143" s="470">
        <f t="shared" si="12"/>
        <v>1396.7427063715077</v>
      </c>
      <c r="AM143" s="426"/>
      <c r="AN143" s="426"/>
      <c r="AO143" s="426"/>
      <c r="AP143" s="426"/>
      <c r="AQ143" s="426"/>
      <c r="AR143" s="426"/>
      <c r="AS143" s="426"/>
      <c r="AT143" s="426"/>
      <c r="AU143" s="426"/>
      <c r="AV143" s="426"/>
      <c r="AW143" s="426"/>
      <c r="AX143" s="426"/>
      <c r="AY143" s="426"/>
    </row>
    <row r="144" spans="1:51" x14ac:dyDescent="0.25">
      <c r="A144" s="424" t="s">
        <v>122</v>
      </c>
      <c r="B144" s="425" t="s">
        <v>511</v>
      </c>
      <c r="C144" s="425" t="s">
        <v>19</v>
      </c>
      <c r="D144" s="425" t="s">
        <v>105</v>
      </c>
      <c r="E144" s="425" t="s">
        <v>241</v>
      </c>
      <c r="F144" s="167"/>
      <c r="G144" s="167"/>
      <c r="H144" s="445">
        <v>2030</v>
      </c>
      <c r="I144" s="176">
        <f>1407.3590052005</f>
        <v>1407.3590052005</v>
      </c>
      <c r="J144" s="471" t="s">
        <v>256</v>
      </c>
      <c r="K144" s="470">
        <f t="shared" si="10"/>
        <v>1141.3526332750655</v>
      </c>
      <c r="L144" s="470">
        <f t="shared" si="10"/>
        <v>1191.9594586584058</v>
      </c>
      <c r="M144" s="470">
        <f t="shared" si="10"/>
        <v>1147.222405649296</v>
      </c>
      <c r="N144" s="470">
        <f t="shared" si="10"/>
        <v>1147.2984927747423</v>
      </c>
      <c r="O144" s="470">
        <f t="shared" si="10"/>
        <v>1408.0084764950366</v>
      </c>
      <c r="P144" s="470">
        <f t="shared" si="10"/>
        <v>1169.4088245156806</v>
      </c>
      <c r="Q144" s="470">
        <f t="shared" si="10"/>
        <v>1201.156591801438</v>
      </c>
      <c r="R144" s="470">
        <f t="shared" si="10"/>
        <v>1160.1071042827516</v>
      </c>
      <c r="S144" s="470">
        <f t="shared" si="10"/>
        <v>1212.5088442996503</v>
      </c>
      <c r="T144" s="470">
        <f t="shared" si="10"/>
        <v>1414.2250854564682</v>
      </c>
      <c r="U144" s="470">
        <f t="shared" si="11"/>
        <v>1195.2844291171984</v>
      </c>
      <c r="V144" s="470">
        <f t="shared" si="11"/>
        <v>1215.2592131904908</v>
      </c>
      <c r="W144" s="470">
        <f t="shared" si="11"/>
        <v>1205.8206683654005</v>
      </c>
      <c r="X144" s="470">
        <f t="shared" si="11"/>
        <v>1531.5810113002426</v>
      </c>
      <c r="Y144" s="470">
        <f t="shared" si="11"/>
        <v>1310.2575339067214</v>
      </c>
      <c r="Z144" s="470">
        <f t="shared" si="11"/>
        <v>1407.3590052005</v>
      </c>
      <c r="AA144" s="470">
        <f t="shared" si="11"/>
        <v>1407.3590052005</v>
      </c>
      <c r="AB144" s="470">
        <f t="shared" si="11"/>
        <v>1193.0415753339787</v>
      </c>
      <c r="AC144" s="470">
        <f t="shared" si="11"/>
        <v>1164.3548705810076</v>
      </c>
      <c r="AD144" s="470">
        <f t="shared" si="11"/>
        <v>1368.7978661782295</v>
      </c>
      <c r="AE144" s="470">
        <f t="shared" si="12"/>
        <v>1195.2844291171984</v>
      </c>
      <c r="AF144" s="470">
        <f t="shared" si="12"/>
        <v>1287.1547446389102</v>
      </c>
      <c r="AG144" s="470">
        <f t="shared" si="12"/>
        <v>1228.2787068995694</v>
      </c>
      <c r="AH144" s="470">
        <f t="shared" si="12"/>
        <v>1241.7936467706602</v>
      </c>
      <c r="AI144" s="470">
        <f t="shared" si="12"/>
        <v>1147.222405649296</v>
      </c>
      <c r="AJ144" s="470">
        <f t="shared" si="12"/>
        <v>1294.8234154732249</v>
      </c>
      <c r="AK144" s="470">
        <f t="shared" si="12"/>
        <v>1374.1491389674229</v>
      </c>
      <c r="AL144" s="470">
        <f t="shared" si="12"/>
        <v>1488.122315374047</v>
      </c>
      <c r="AM144" s="426"/>
      <c r="AN144" s="426"/>
      <c r="AO144" s="426"/>
      <c r="AP144" s="426"/>
      <c r="AQ144" s="426"/>
      <c r="AR144" s="426"/>
      <c r="AS144" s="426"/>
      <c r="AT144" s="426"/>
      <c r="AU144" s="426"/>
      <c r="AV144" s="426"/>
      <c r="AW144" s="426"/>
      <c r="AX144" s="426"/>
      <c r="AY144" s="426"/>
    </row>
    <row r="145" spans="1:51" x14ac:dyDescent="0.25">
      <c r="B145" s="425"/>
      <c r="F145" s="167"/>
      <c r="G145" s="167"/>
      <c r="H145" s="445">
        <v>2050</v>
      </c>
      <c r="I145" s="176">
        <f>1223.66410309416</f>
        <v>1223.6641030941601</v>
      </c>
      <c r="J145" s="471" t="s">
        <v>256</v>
      </c>
      <c r="K145" s="470">
        <f t="shared" si="10"/>
        <v>992.37809340035381</v>
      </c>
      <c r="L145" s="470">
        <f t="shared" si="10"/>
        <v>1036.3794856281497</v>
      </c>
      <c r="M145" s="470">
        <f t="shared" si="10"/>
        <v>997.48171637156327</v>
      </c>
      <c r="N145" s="470">
        <f t="shared" si="10"/>
        <v>997.54787225913151</v>
      </c>
      <c r="O145" s="470">
        <f t="shared" si="10"/>
        <v>1224.228802439656</v>
      </c>
      <c r="P145" s="470">
        <f t="shared" si="10"/>
        <v>1016.7722628793734</v>
      </c>
      <c r="Q145" s="470">
        <f t="shared" si="10"/>
        <v>1044.3761670981366</v>
      </c>
      <c r="R145" s="470">
        <f t="shared" si="10"/>
        <v>1008.6846455024283</v>
      </c>
      <c r="S145" s="470">
        <f t="shared" si="10"/>
        <v>1054.2466719373369</v>
      </c>
      <c r="T145" s="470">
        <f t="shared" si="10"/>
        <v>1229.633991308287</v>
      </c>
      <c r="U145" s="470">
        <f t="shared" si="11"/>
        <v>1039.2704658110586</v>
      </c>
      <c r="V145" s="470">
        <f t="shared" si="11"/>
        <v>1056.638050163896</v>
      </c>
      <c r="W145" s="470">
        <f t="shared" si="11"/>
        <v>1048.431467163233</v>
      </c>
      <c r="X145" s="470">
        <f t="shared" si="11"/>
        <v>1331.6720876360596</v>
      </c>
      <c r="Y145" s="470">
        <f t="shared" si="11"/>
        <v>1139.236757732557</v>
      </c>
      <c r="Z145" s="470">
        <f t="shared" si="11"/>
        <v>1223.6641030941601</v>
      </c>
      <c r="AA145" s="470">
        <f t="shared" si="11"/>
        <v>1223.6641030941601</v>
      </c>
      <c r="AB145" s="470">
        <f t="shared" si="11"/>
        <v>1037.320359510624</v>
      </c>
      <c r="AC145" s="470">
        <f t="shared" si="11"/>
        <v>1012.377974012284</v>
      </c>
      <c r="AD145" s="470">
        <f t="shared" si="11"/>
        <v>1190.1361394248947</v>
      </c>
      <c r="AE145" s="470">
        <f t="shared" si="12"/>
        <v>1039.2704658110586</v>
      </c>
      <c r="AF145" s="470">
        <f t="shared" si="12"/>
        <v>1119.1494496584226</v>
      </c>
      <c r="AG145" s="470">
        <f t="shared" si="12"/>
        <v>1067.9581803036751</v>
      </c>
      <c r="AH145" s="470">
        <f t="shared" si="12"/>
        <v>1079.7090887176755</v>
      </c>
      <c r="AI145" s="470">
        <f t="shared" si="12"/>
        <v>997.48171637156327</v>
      </c>
      <c r="AJ145" s="470">
        <f t="shared" si="12"/>
        <v>1125.8171706761023</v>
      </c>
      <c r="AK145" s="470">
        <f t="shared" si="12"/>
        <v>1194.7889397365448</v>
      </c>
      <c r="AL145" s="470">
        <f t="shared" si="12"/>
        <v>1293.8858184782525</v>
      </c>
      <c r="AM145" s="426"/>
      <c r="AN145" s="426"/>
      <c r="AO145" s="426"/>
      <c r="AP145" s="426"/>
      <c r="AQ145" s="426"/>
      <c r="AR145" s="426"/>
      <c r="AS145" s="426"/>
      <c r="AT145" s="426"/>
      <c r="AU145" s="426"/>
      <c r="AV145" s="426"/>
      <c r="AW145" s="426"/>
      <c r="AX145" s="426"/>
      <c r="AY145" s="426"/>
    </row>
    <row r="146" spans="1:51" x14ac:dyDescent="0.25">
      <c r="A146" s="424" t="s">
        <v>122</v>
      </c>
      <c r="B146" s="425" t="s">
        <v>512</v>
      </c>
      <c r="C146" s="425" t="s">
        <v>19</v>
      </c>
      <c r="D146" s="425" t="s">
        <v>105</v>
      </c>
      <c r="E146" s="425" t="s">
        <v>271</v>
      </c>
      <c r="F146" s="167"/>
      <c r="G146" s="167"/>
      <c r="H146" s="445">
        <v>2020</v>
      </c>
      <c r="I146" s="176">
        <f>1820.29667738508</f>
        <v>1820.2966773850801</v>
      </c>
      <c r="J146" s="471" t="s">
        <v>256</v>
      </c>
      <c r="K146" s="470">
        <f t="shared" si="10"/>
        <v>1476.2405316611644</v>
      </c>
      <c r="L146" s="470">
        <f t="shared" si="10"/>
        <v>1541.6960662887184</v>
      </c>
      <c r="M146" s="470">
        <f t="shared" si="10"/>
        <v>1483.832572576337</v>
      </c>
      <c r="N146" s="470">
        <f t="shared" si="10"/>
        <v>1483.9309846667345</v>
      </c>
      <c r="O146" s="470">
        <f t="shared" si="10"/>
        <v>1821.136712113343</v>
      </c>
      <c r="P146" s="470">
        <f t="shared" si="10"/>
        <v>1512.5287790142954</v>
      </c>
      <c r="Q146" s="470">
        <f t="shared" si="10"/>
        <v>1553.5917594557541</v>
      </c>
      <c r="R146" s="470">
        <f t="shared" si="10"/>
        <v>1500.4978115273932</v>
      </c>
      <c r="S146" s="470">
        <f t="shared" si="10"/>
        <v>1568.2749123875737</v>
      </c>
      <c r="T146" s="470">
        <f t="shared" si="10"/>
        <v>1829.1773560395061</v>
      </c>
      <c r="U146" s="470">
        <f t="shared" si="11"/>
        <v>1545.996626882127</v>
      </c>
      <c r="V146" s="470">
        <f t="shared" si="11"/>
        <v>1571.8322757433912</v>
      </c>
      <c r="W146" s="470">
        <f t="shared" si="11"/>
        <v>1559.6243375265078</v>
      </c>
      <c r="X146" s="470">
        <f t="shared" si="11"/>
        <v>1980.9670565320528</v>
      </c>
      <c r="Y146" s="470">
        <f t="shared" si="11"/>
        <v>1694.7043552326479</v>
      </c>
      <c r="Z146" s="470">
        <f t="shared" si="11"/>
        <v>1820.2966773850801</v>
      </c>
      <c r="AA146" s="470">
        <f t="shared" si="11"/>
        <v>1820.2966773850801</v>
      </c>
      <c r="AB146" s="470">
        <f t="shared" si="11"/>
        <v>1543.0956902523337</v>
      </c>
      <c r="AC146" s="470">
        <f t="shared" si="11"/>
        <v>1505.9919284161556</v>
      </c>
      <c r="AD146" s="470">
        <f t="shared" si="11"/>
        <v>1770.4211921826222</v>
      </c>
      <c r="AE146" s="470">
        <f t="shared" si="12"/>
        <v>1545.996626882127</v>
      </c>
      <c r="AF146" s="470">
        <f t="shared" si="12"/>
        <v>1664.8229032455388</v>
      </c>
      <c r="AG146" s="470">
        <f t="shared" si="12"/>
        <v>1588.6718604210021</v>
      </c>
      <c r="AH146" s="470">
        <f t="shared" si="12"/>
        <v>1606.1522616913951</v>
      </c>
      <c r="AI146" s="470">
        <f t="shared" si="12"/>
        <v>1483.832572576337</v>
      </c>
      <c r="AJ146" s="470">
        <f t="shared" si="12"/>
        <v>1674.7416631270476</v>
      </c>
      <c r="AK146" s="470">
        <f t="shared" si="12"/>
        <v>1777.3425989039742</v>
      </c>
      <c r="AL146" s="470">
        <f t="shared" si="12"/>
        <v>1924.7570067113447</v>
      </c>
      <c r="AM146" s="426"/>
      <c r="AN146" s="426"/>
      <c r="AO146" s="426"/>
      <c r="AP146" s="426"/>
      <c r="AQ146" s="426"/>
      <c r="AR146" s="426"/>
      <c r="AS146" s="426"/>
      <c r="AT146" s="426"/>
      <c r="AU146" s="426"/>
      <c r="AV146" s="426"/>
      <c r="AW146" s="426"/>
      <c r="AX146" s="426"/>
      <c r="AY146" s="426"/>
    </row>
    <row r="147" spans="1:51" x14ac:dyDescent="0.25">
      <c r="B147" s="425"/>
      <c r="F147" s="167"/>
      <c r="G147" s="167"/>
      <c r="H147" s="445">
        <v>2020</v>
      </c>
      <c r="I147" s="176">
        <f>1640.95952817014</f>
        <v>1640.9595281701399</v>
      </c>
      <c r="J147" s="471" t="s">
        <v>256</v>
      </c>
      <c r="K147" s="470">
        <f t="shared" si="10"/>
        <v>1330.8000813253566</v>
      </c>
      <c r="L147" s="470">
        <f t="shared" si="10"/>
        <v>1389.8068820040533</v>
      </c>
      <c r="M147" s="470">
        <f t="shared" si="10"/>
        <v>1337.6441480276628</v>
      </c>
      <c r="N147" s="470">
        <f t="shared" si="10"/>
        <v>1337.7328644767072</v>
      </c>
      <c r="O147" s="470">
        <f t="shared" si="10"/>
        <v>1641.7168019752633</v>
      </c>
      <c r="P147" s="470">
        <f t="shared" si="10"/>
        <v>1363.5131802363853</v>
      </c>
      <c r="Q147" s="470">
        <f t="shared" si="10"/>
        <v>1400.5306015433744</v>
      </c>
      <c r="R147" s="470">
        <f t="shared" si="10"/>
        <v>1352.6675137161906</v>
      </c>
      <c r="S147" s="470">
        <f t="shared" si="10"/>
        <v>1413.767157982988</v>
      </c>
      <c r="T147" s="470">
        <f t="shared" si="10"/>
        <v>1648.9652749451832</v>
      </c>
      <c r="U147" s="470">
        <f t="shared" si="11"/>
        <v>1393.6837477753868</v>
      </c>
      <c r="V147" s="470">
        <f t="shared" si="11"/>
        <v>1416.9740469293972</v>
      </c>
      <c r="W147" s="470">
        <f t="shared" si="11"/>
        <v>1405.9688449833691</v>
      </c>
      <c r="X147" s="470">
        <f t="shared" si="11"/>
        <v>1785.8005273498347</v>
      </c>
      <c r="Y147" s="470">
        <f t="shared" si="11"/>
        <v>1527.740666507927</v>
      </c>
      <c r="Z147" s="470">
        <f t="shared" si="11"/>
        <v>1640.9595281701399</v>
      </c>
      <c r="AA147" s="470">
        <f t="shared" si="11"/>
        <v>1640.9595281701399</v>
      </c>
      <c r="AB147" s="470">
        <f t="shared" si="11"/>
        <v>1391.0686138456172</v>
      </c>
      <c r="AC147" s="470">
        <f t="shared" si="11"/>
        <v>1357.6203456196395</v>
      </c>
      <c r="AD147" s="470">
        <f t="shared" si="11"/>
        <v>1595.9978174326061</v>
      </c>
      <c r="AE147" s="470">
        <f t="shared" si="12"/>
        <v>1393.6837477753868</v>
      </c>
      <c r="AF147" s="470">
        <f t="shared" si="12"/>
        <v>1500.8031601316341</v>
      </c>
      <c r="AG147" s="470">
        <f t="shared" si="12"/>
        <v>1432.1545816578623</v>
      </c>
      <c r="AH147" s="470">
        <f t="shared" si="12"/>
        <v>1447.9127991930911</v>
      </c>
      <c r="AI147" s="470">
        <f t="shared" si="12"/>
        <v>1337.6441480276628</v>
      </c>
      <c r="AJ147" s="470">
        <f t="shared" si="12"/>
        <v>1509.7447155041216</v>
      </c>
      <c r="AK147" s="470">
        <f t="shared" si="12"/>
        <v>1602.2373213820717</v>
      </c>
      <c r="AL147" s="470">
        <f t="shared" si="12"/>
        <v>1735.1283385917295</v>
      </c>
      <c r="AM147" s="426"/>
      <c r="AN147" s="426"/>
      <c r="AO147" s="426"/>
      <c r="AP147" s="426"/>
      <c r="AQ147" s="426"/>
      <c r="AR147" s="426"/>
      <c r="AS147" s="426"/>
      <c r="AT147" s="426"/>
      <c r="AU147" s="426"/>
      <c r="AV147" s="426"/>
      <c r="AW147" s="426"/>
      <c r="AX147" s="426"/>
      <c r="AY147" s="426"/>
    </row>
    <row r="148" spans="1:51" x14ac:dyDescent="0.25">
      <c r="A148" s="424" t="s">
        <v>122</v>
      </c>
      <c r="B148" s="425" t="s">
        <v>513</v>
      </c>
      <c r="C148" s="425" t="s">
        <v>19</v>
      </c>
      <c r="D148" s="425" t="s">
        <v>105</v>
      </c>
      <c r="E148" s="425" t="s">
        <v>242</v>
      </c>
      <c r="F148" s="167"/>
      <c r="G148" s="167"/>
      <c r="H148" s="445">
        <v>2020</v>
      </c>
      <c r="I148" s="176">
        <v>76.502244000000019</v>
      </c>
      <c r="J148" s="471" t="s">
        <v>256</v>
      </c>
      <c r="K148" s="470">
        <f t="shared" si="10"/>
        <v>62.042476239679928</v>
      </c>
      <c r="L148" s="470">
        <f t="shared" si="10"/>
        <v>64.793398846659045</v>
      </c>
      <c r="M148" s="470">
        <f t="shared" si="10"/>
        <v>62.361549593911867</v>
      </c>
      <c r="N148" s="470">
        <f t="shared" si="10"/>
        <v>62.365685593194662</v>
      </c>
      <c r="O148" s="470">
        <f t="shared" si="10"/>
        <v>76.537548432814987</v>
      </c>
      <c r="P148" s="470">
        <f t="shared" si="10"/>
        <v>63.567575080891672</v>
      </c>
      <c r="Q148" s="470">
        <f t="shared" si="10"/>
        <v>65.293343296659913</v>
      </c>
      <c r="R148" s="470">
        <f t="shared" si="10"/>
        <v>63.061945409820019</v>
      </c>
      <c r="S148" s="470">
        <f t="shared" si="10"/>
        <v>65.91043729141083</v>
      </c>
      <c r="T148" s="470">
        <f t="shared" si="10"/>
        <v>76.87547538241536</v>
      </c>
      <c r="U148" s="470">
        <f t="shared" si="11"/>
        <v>64.974140008218683</v>
      </c>
      <c r="V148" s="470">
        <f t="shared" si="11"/>
        <v>66.059943843185877</v>
      </c>
      <c r="W148" s="470">
        <f t="shared" si="11"/>
        <v>65.546876561457623</v>
      </c>
      <c r="X148" s="470">
        <f t="shared" si="11"/>
        <v>83.254794120967986</v>
      </c>
      <c r="Y148" s="470">
        <f t="shared" si="11"/>
        <v>71.223931627516677</v>
      </c>
      <c r="Z148" s="470">
        <f t="shared" si="11"/>
        <v>76.502244000000019</v>
      </c>
      <c r="AA148" s="470">
        <f t="shared" si="11"/>
        <v>76.502244000000019</v>
      </c>
      <c r="AB148" s="470">
        <f t="shared" si="11"/>
        <v>64.852221331643506</v>
      </c>
      <c r="AC148" s="470">
        <f t="shared" si="11"/>
        <v>63.292848578523483</v>
      </c>
      <c r="AD148" s="470">
        <f t="shared" si="11"/>
        <v>74.406109569837767</v>
      </c>
      <c r="AE148" s="470">
        <f t="shared" si="12"/>
        <v>64.974140008218683</v>
      </c>
      <c r="AF148" s="470">
        <f t="shared" si="12"/>
        <v>69.96809341202534</v>
      </c>
      <c r="AG148" s="470">
        <f t="shared" si="12"/>
        <v>66.767666947815101</v>
      </c>
      <c r="AH148" s="470">
        <f t="shared" si="12"/>
        <v>67.502321875124309</v>
      </c>
      <c r="AI148" s="470">
        <f t="shared" si="12"/>
        <v>62.361549593911867</v>
      </c>
      <c r="AJ148" s="470">
        <f t="shared" si="12"/>
        <v>70.384952596607633</v>
      </c>
      <c r="AK148" s="470">
        <f t="shared" si="12"/>
        <v>74.69699794666036</v>
      </c>
      <c r="AL148" s="470">
        <f t="shared" si="12"/>
        <v>80.892434731940625</v>
      </c>
      <c r="AM148" s="426"/>
      <c r="AN148" s="426"/>
      <c r="AO148" s="426"/>
      <c r="AP148" s="426"/>
      <c r="AQ148" s="426"/>
      <c r="AR148" s="426"/>
      <c r="AS148" s="426"/>
      <c r="AT148" s="426"/>
      <c r="AU148" s="426"/>
      <c r="AV148" s="426"/>
      <c r="AW148" s="426"/>
      <c r="AX148" s="426"/>
      <c r="AY148" s="426"/>
    </row>
    <row r="149" spans="1:51" x14ac:dyDescent="0.25">
      <c r="B149" s="425"/>
      <c r="F149" s="167"/>
      <c r="G149" s="167"/>
      <c r="H149" s="445">
        <v>2030</v>
      </c>
      <c r="I149" s="176">
        <v>96.402317603553072</v>
      </c>
      <c r="J149" s="471" t="s">
        <v>256</v>
      </c>
      <c r="K149" s="470">
        <f t="shared" si="10"/>
        <v>78.18121647998349</v>
      </c>
      <c r="L149" s="470">
        <f t="shared" si="10"/>
        <v>81.64772021889074</v>
      </c>
      <c r="M149" s="470">
        <f t="shared" si="10"/>
        <v>78.583288487616343</v>
      </c>
      <c r="N149" s="470">
        <f t="shared" si="10"/>
        <v>78.588500359786636</v>
      </c>
      <c r="O149" s="470">
        <f t="shared" si="10"/>
        <v>96.446805568442585</v>
      </c>
      <c r="P149" s="470">
        <f t="shared" si="10"/>
        <v>80.103030209621352</v>
      </c>
      <c r="Q149" s="470">
        <f t="shared" si="10"/>
        <v>82.277712244394166</v>
      </c>
      <c r="R149" s="470">
        <f t="shared" si="10"/>
        <v>79.465874100312575</v>
      </c>
      <c r="S149" s="470">
        <f t="shared" si="10"/>
        <v>83.055327228775852</v>
      </c>
      <c r="T149" s="470">
        <f t="shared" si="10"/>
        <v>96.872635445043016</v>
      </c>
      <c r="U149" s="470">
        <f t="shared" si="11"/>
        <v>81.875476503539161</v>
      </c>
      <c r="V149" s="470">
        <f t="shared" si="11"/>
        <v>83.243724030417766</v>
      </c>
      <c r="W149" s="470">
        <f t="shared" si="11"/>
        <v>82.597195609040241</v>
      </c>
      <c r="X149" s="470">
        <f t="shared" si="11"/>
        <v>104.9113684151275</v>
      </c>
      <c r="Y149" s="470">
        <f t="shared" si="11"/>
        <v>89.75098923542177</v>
      </c>
      <c r="Z149" s="470">
        <f t="shared" si="11"/>
        <v>96.402317603553072</v>
      </c>
      <c r="AA149" s="470">
        <f t="shared" si="11"/>
        <v>96.402317603553072</v>
      </c>
      <c r="AB149" s="470">
        <f t="shared" si="11"/>
        <v>81.721843846946697</v>
      </c>
      <c r="AC149" s="470">
        <f t="shared" si="11"/>
        <v>79.756840736598676</v>
      </c>
      <c r="AD149" s="470">
        <f t="shared" si="11"/>
        <v>93.760928194423528</v>
      </c>
      <c r="AE149" s="470">
        <f t="shared" si="12"/>
        <v>81.875476503539161</v>
      </c>
      <c r="AF149" s="470">
        <f t="shared" si="12"/>
        <v>88.168477296184065</v>
      </c>
      <c r="AG149" s="470">
        <f t="shared" si="12"/>
        <v>84.135542935858496</v>
      </c>
      <c r="AH149" s="470">
        <f t="shared" si="12"/>
        <v>85.061299278789775</v>
      </c>
      <c r="AI149" s="470">
        <f t="shared" si="12"/>
        <v>78.583288487616343</v>
      </c>
      <c r="AJ149" s="470">
        <f t="shared" si="12"/>
        <v>88.693771580467555</v>
      </c>
      <c r="AK149" s="470">
        <f t="shared" si="12"/>
        <v>94.127483634151986</v>
      </c>
      <c r="AL149" s="470">
        <f t="shared" si="12"/>
        <v>101.93450253241232</v>
      </c>
      <c r="AM149" s="426"/>
      <c r="AN149" s="426"/>
      <c r="AO149" s="426"/>
      <c r="AP149" s="426"/>
      <c r="AQ149" s="426"/>
      <c r="AR149" s="426"/>
      <c r="AS149" s="426"/>
      <c r="AT149" s="426"/>
      <c r="AU149" s="426"/>
      <c r="AV149" s="426"/>
      <c r="AW149" s="426"/>
      <c r="AX149" s="426"/>
      <c r="AY149" s="426"/>
    </row>
    <row r="150" spans="1:51" x14ac:dyDescent="0.25">
      <c r="B150" s="425"/>
      <c r="F150" s="167"/>
      <c r="G150" s="167"/>
      <c r="H150" s="445">
        <v>2050</v>
      </c>
      <c r="I150" s="176">
        <v>87.97758060000001</v>
      </c>
      <c r="J150" s="471" t="s">
        <v>256</v>
      </c>
      <c r="K150" s="470">
        <f t="shared" si="10"/>
        <v>71.348847675631916</v>
      </c>
      <c r="L150" s="470">
        <f t="shared" si="10"/>
        <v>74.512408673657887</v>
      </c>
      <c r="M150" s="470">
        <f t="shared" si="10"/>
        <v>71.715782032998646</v>
      </c>
      <c r="N150" s="470">
        <f t="shared" si="10"/>
        <v>71.720538432173853</v>
      </c>
      <c r="O150" s="470">
        <f t="shared" si="10"/>
        <v>88.018180697737222</v>
      </c>
      <c r="P150" s="470">
        <f t="shared" si="10"/>
        <v>73.102711343025419</v>
      </c>
      <c r="Q150" s="470">
        <f t="shared" si="10"/>
        <v>75.087344791158898</v>
      </c>
      <c r="R150" s="470">
        <f t="shared" si="10"/>
        <v>72.521237221293006</v>
      </c>
      <c r="S150" s="470">
        <f t="shared" si="10"/>
        <v>75.797002885122453</v>
      </c>
      <c r="T150" s="470">
        <f t="shared" si="10"/>
        <v>88.406796689777664</v>
      </c>
      <c r="U150" s="470">
        <f t="shared" si="11"/>
        <v>74.720261009451463</v>
      </c>
      <c r="V150" s="470">
        <f t="shared" si="11"/>
        <v>75.968935419663751</v>
      </c>
      <c r="W150" s="470">
        <f t="shared" si="11"/>
        <v>75.378908045676255</v>
      </c>
      <c r="X150" s="470">
        <f t="shared" si="11"/>
        <v>95.743013239113168</v>
      </c>
      <c r="Y150" s="470">
        <f t="shared" si="11"/>
        <v>81.907521371644179</v>
      </c>
      <c r="Z150" s="470">
        <f t="shared" si="11"/>
        <v>87.97758060000001</v>
      </c>
      <c r="AA150" s="470">
        <f t="shared" si="11"/>
        <v>87.97758060000001</v>
      </c>
      <c r="AB150" s="470">
        <f t="shared" si="11"/>
        <v>74.580054531390019</v>
      </c>
      <c r="AC150" s="470">
        <f t="shared" si="11"/>
        <v>72.786775865302005</v>
      </c>
      <c r="AD150" s="470">
        <f t="shared" si="11"/>
        <v>85.567026005313423</v>
      </c>
      <c r="AE150" s="470">
        <f t="shared" si="12"/>
        <v>74.720261009451463</v>
      </c>
      <c r="AF150" s="470">
        <f t="shared" si="12"/>
        <v>80.463307423829121</v>
      </c>
      <c r="AG150" s="470">
        <f t="shared" si="12"/>
        <v>76.782816989987367</v>
      </c>
      <c r="AH150" s="470">
        <f t="shared" si="12"/>
        <v>77.627670156392938</v>
      </c>
      <c r="AI150" s="470">
        <f t="shared" si="12"/>
        <v>71.715782032998646</v>
      </c>
      <c r="AJ150" s="470">
        <f t="shared" si="12"/>
        <v>80.942695486098756</v>
      </c>
      <c r="AK150" s="470">
        <f t="shared" si="12"/>
        <v>85.901547638659409</v>
      </c>
      <c r="AL150" s="470">
        <f t="shared" si="12"/>
        <v>93.026299941731708</v>
      </c>
      <c r="AM150" s="426"/>
      <c r="AN150" s="426"/>
      <c r="AO150" s="426"/>
      <c r="AP150" s="426"/>
      <c r="AQ150" s="426"/>
      <c r="AR150" s="426"/>
      <c r="AS150" s="426"/>
      <c r="AT150" s="426"/>
      <c r="AU150" s="426"/>
      <c r="AV150" s="426"/>
      <c r="AW150" s="426"/>
      <c r="AX150" s="426"/>
      <c r="AY150" s="426"/>
    </row>
    <row r="151" spans="1:51" x14ac:dyDescent="0.25">
      <c r="A151" s="424" t="s">
        <v>122</v>
      </c>
      <c r="B151" s="425" t="s">
        <v>514</v>
      </c>
      <c r="C151" s="425" t="s">
        <v>515</v>
      </c>
      <c r="D151" s="425" t="s">
        <v>516</v>
      </c>
      <c r="E151" s="425" t="s">
        <v>265</v>
      </c>
      <c r="F151" s="167"/>
      <c r="G151" s="167"/>
      <c r="H151" s="445">
        <v>2020</v>
      </c>
      <c r="I151" s="176">
        <v>200.18087180000003</v>
      </c>
      <c r="J151" s="471" t="s">
        <v>256</v>
      </c>
      <c r="K151" s="470">
        <f t="shared" si="10"/>
        <v>162.34447949382914</v>
      </c>
      <c r="L151" s="470">
        <f t="shared" si="10"/>
        <v>169.54272698209115</v>
      </c>
      <c r="M151" s="470">
        <f t="shared" si="10"/>
        <v>163.17938810406937</v>
      </c>
      <c r="N151" s="470">
        <f t="shared" si="10"/>
        <v>163.19021063552603</v>
      </c>
      <c r="O151" s="470">
        <f t="shared" si="10"/>
        <v>200.27325173253251</v>
      </c>
      <c r="P151" s="470">
        <f t="shared" si="10"/>
        <v>166.33515479499988</v>
      </c>
      <c r="Q151" s="470">
        <f t="shared" si="10"/>
        <v>170.85091495959344</v>
      </c>
      <c r="R151" s="470">
        <f t="shared" si="10"/>
        <v>165.01209048902902</v>
      </c>
      <c r="S151" s="470">
        <f t="shared" si="10"/>
        <v>172.46564424585833</v>
      </c>
      <c r="T151" s="470">
        <f t="shared" si="10"/>
        <v>201.15749391732018</v>
      </c>
      <c r="U151" s="470">
        <f t="shared" si="11"/>
        <v>170.01566635483886</v>
      </c>
      <c r="V151" s="470">
        <f t="shared" si="11"/>
        <v>172.85685305633635</v>
      </c>
      <c r="W151" s="470">
        <f t="shared" si="11"/>
        <v>171.51432700248077</v>
      </c>
      <c r="X151" s="470">
        <f t="shared" si="11"/>
        <v>217.85004461653287</v>
      </c>
      <c r="Y151" s="470">
        <f t="shared" si="11"/>
        <v>186.36928775866863</v>
      </c>
      <c r="Z151" s="470">
        <f t="shared" si="11"/>
        <v>200.18087180000003</v>
      </c>
      <c r="AA151" s="470">
        <f t="shared" si="11"/>
        <v>200.18087180000003</v>
      </c>
      <c r="AB151" s="470">
        <f t="shared" si="11"/>
        <v>169.69664581780049</v>
      </c>
      <c r="AC151" s="470">
        <f t="shared" si="11"/>
        <v>165.61628711380311</v>
      </c>
      <c r="AD151" s="470">
        <f t="shared" si="11"/>
        <v>194.69598670774215</v>
      </c>
      <c r="AE151" s="470">
        <f t="shared" si="12"/>
        <v>170.01566635483886</v>
      </c>
      <c r="AF151" s="470">
        <f t="shared" si="12"/>
        <v>183.08317776146629</v>
      </c>
      <c r="AG151" s="470">
        <f t="shared" si="12"/>
        <v>174.70872851344953</v>
      </c>
      <c r="AH151" s="470">
        <f t="shared" si="12"/>
        <v>176.63107557324193</v>
      </c>
      <c r="AI151" s="470">
        <f t="shared" si="12"/>
        <v>163.17938810406937</v>
      </c>
      <c r="AJ151" s="470">
        <f t="shared" si="12"/>
        <v>184.17395929445661</v>
      </c>
      <c r="AK151" s="470">
        <f t="shared" si="12"/>
        <v>195.45714462709461</v>
      </c>
      <c r="AL151" s="470">
        <f t="shared" si="12"/>
        <v>211.66853754857794</v>
      </c>
      <c r="AM151" s="426"/>
      <c r="AN151" s="426"/>
      <c r="AO151" s="426"/>
      <c r="AP151" s="426"/>
      <c r="AQ151" s="426"/>
      <c r="AR151" s="426"/>
      <c r="AS151" s="426"/>
      <c r="AT151" s="426"/>
      <c r="AU151" s="426"/>
      <c r="AV151" s="426"/>
      <c r="AW151" s="426"/>
      <c r="AX151" s="426"/>
      <c r="AY151" s="426"/>
    </row>
    <row r="152" spans="1:51" x14ac:dyDescent="0.25">
      <c r="A152" s="424" t="s">
        <v>122</v>
      </c>
      <c r="B152" s="425" t="s">
        <v>517</v>
      </c>
      <c r="C152" s="425" t="s">
        <v>515</v>
      </c>
      <c r="D152" s="425" t="s">
        <v>516</v>
      </c>
      <c r="E152" s="425" t="s">
        <v>274</v>
      </c>
      <c r="F152" s="167"/>
      <c r="G152" s="167"/>
      <c r="H152" s="445">
        <v>2020</v>
      </c>
      <c r="I152" s="176">
        <v>225.68161980000005</v>
      </c>
      <c r="J152" s="471" t="s">
        <v>256</v>
      </c>
      <c r="K152" s="470">
        <f t="shared" si="10"/>
        <v>183.02530490705578</v>
      </c>
      <c r="L152" s="470">
        <f t="shared" si="10"/>
        <v>191.14052659764417</v>
      </c>
      <c r="M152" s="470">
        <f t="shared" si="10"/>
        <v>183.96657130203999</v>
      </c>
      <c r="N152" s="470">
        <f t="shared" si="10"/>
        <v>183.97877249992425</v>
      </c>
      <c r="O152" s="470">
        <f t="shared" si="10"/>
        <v>225.78576787680419</v>
      </c>
      <c r="P152" s="470">
        <f t="shared" si="10"/>
        <v>187.52434648863044</v>
      </c>
      <c r="Q152" s="470">
        <f t="shared" si="10"/>
        <v>192.61536272514675</v>
      </c>
      <c r="R152" s="470">
        <f t="shared" si="10"/>
        <v>186.03273895896905</v>
      </c>
      <c r="S152" s="470">
        <f t="shared" si="10"/>
        <v>194.43579000966196</v>
      </c>
      <c r="T152" s="470">
        <f t="shared" si="10"/>
        <v>226.78265237812533</v>
      </c>
      <c r="U152" s="470">
        <f t="shared" si="11"/>
        <v>191.6737130242451</v>
      </c>
      <c r="V152" s="470">
        <f t="shared" si="11"/>
        <v>194.87683433739832</v>
      </c>
      <c r="W152" s="470">
        <f t="shared" si="11"/>
        <v>193.36328585629997</v>
      </c>
      <c r="X152" s="470">
        <f t="shared" si="11"/>
        <v>245.60164265685555</v>
      </c>
      <c r="Y152" s="470">
        <f t="shared" si="11"/>
        <v>210.11059830117421</v>
      </c>
      <c r="Z152" s="470">
        <f t="shared" si="11"/>
        <v>225.68161980000005</v>
      </c>
      <c r="AA152" s="470">
        <f t="shared" si="11"/>
        <v>225.68161980000005</v>
      </c>
      <c r="AB152" s="470">
        <f t="shared" si="11"/>
        <v>191.31405292834833</v>
      </c>
      <c r="AC152" s="470">
        <f t="shared" si="11"/>
        <v>186.71390330664428</v>
      </c>
      <c r="AD152" s="470">
        <f t="shared" si="11"/>
        <v>219.49802323102142</v>
      </c>
      <c r="AE152" s="470">
        <f t="shared" si="12"/>
        <v>191.6737130242451</v>
      </c>
      <c r="AF152" s="470">
        <f t="shared" si="12"/>
        <v>206.40587556547473</v>
      </c>
      <c r="AG152" s="470">
        <f t="shared" si="12"/>
        <v>196.96461749605456</v>
      </c>
      <c r="AH152" s="470">
        <f t="shared" si="12"/>
        <v>199.13184953161669</v>
      </c>
      <c r="AI152" s="470">
        <f t="shared" si="12"/>
        <v>183.96657130203999</v>
      </c>
      <c r="AJ152" s="470">
        <f t="shared" si="12"/>
        <v>207.6356101599925</v>
      </c>
      <c r="AK152" s="470">
        <f t="shared" si="12"/>
        <v>220.35614394264806</v>
      </c>
      <c r="AL152" s="470">
        <f t="shared" si="12"/>
        <v>238.63268245922484</v>
      </c>
      <c r="AM152" s="426"/>
      <c r="AN152" s="426"/>
      <c r="AO152" s="426"/>
      <c r="AP152" s="426"/>
      <c r="AQ152" s="426"/>
      <c r="AR152" s="426"/>
      <c r="AS152" s="426"/>
      <c r="AT152" s="426"/>
      <c r="AU152" s="426"/>
      <c r="AV152" s="426"/>
      <c r="AW152" s="426"/>
      <c r="AX152" s="426"/>
      <c r="AY152" s="426"/>
    </row>
    <row r="153" spans="1:51" x14ac:dyDescent="0.25">
      <c r="A153" s="424" t="s">
        <v>122</v>
      </c>
      <c r="B153" s="425" t="s">
        <v>518</v>
      </c>
      <c r="C153" s="425" t="s">
        <v>515</v>
      </c>
      <c r="D153" s="425" t="s">
        <v>516</v>
      </c>
      <c r="E153" s="425" t="s">
        <v>266</v>
      </c>
      <c r="F153" s="167"/>
      <c r="G153" s="167"/>
      <c r="H153" s="445">
        <v>2030</v>
      </c>
      <c r="I153" s="176">
        <v>229.83140104916797</v>
      </c>
      <c r="J153" s="471" t="s">
        <v>256</v>
      </c>
      <c r="K153" s="470">
        <f t="shared" ref="K153:T162" si="13">$I153*K$245</f>
        <v>186.39073173755986</v>
      </c>
      <c r="L153" s="470">
        <f t="shared" si="13"/>
        <v>194.65517424123124</v>
      </c>
      <c r="M153" s="470">
        <f t="shared" si="13"/>
        <v>187.34930592056793</v>
      </c>
      <c r="N153" s="470">
        <f t="shared" si="13"/>
        <v>187.36173147124725</v>
      </c>
      <c r="O153" s="470">
        <f t="shared" si="13"/>
        <v>229.93746417663792</v>
      </c>
      <c r="P153" s="470">
        <f t="shared" si="13"/>
        <v>190.97250065160841</v>
      </c>
      <c r="Q153" s="470">
        <f t="shared" si="13"/>
        <v>196.15712931316949</v>
      </c>
      <c r="R153" s="470">
        <f t="shared" si="13"/>
        <v>189.45346578886074</v>
      </c>
      <c r="S153" s="470">
        <f t="shared" si="13"/>
        <v>198.01103019211143</v>
      </c>
      <c r="T153" s="470">
        <f t="shared" si="13"/>
        <v>230.95267915881448</v>
      </c>
      <c r="U153" s="470">
        <f t="shared" ref="U153:AD162" si="14">$I153*U$245</f>
        <v>195.19816477610374</v>
      </c>
      <c r="V153" s="470">
        <f t="shared" si="14"/>
        <v>198.46018434058956</v>
      </c>
      <c r="W153" s="470">
        <f t="shared" si="14"/>
        <v>196.91880508128193</v>
      </c>
      <c r="X153" s="470">
        <f t="shared" si="14"/>
        <v>250.11770866331844</v>
      </c>
      <c r="Y153" s="470">
        <f t="shared" si="14"/>
        <v>213.97406322071154</v>
      </c>
      <c r="Z153" s="470">
        <f t="shared" si="14"/>
        <v>229.83140104916797</v>
      </c>
      <c r="AA153" s="470">
        <f t="shared" si="14"/>
        <v>229.83140104916797</v>
      </c>
      <c r="AB153" s="470">
        <f t="shared" si="14"/>
        <v>194.83189133383277</v>
      </c>
      <c r="AC153" s="470">
        <f t="shared" si="14"/>
        <v>190.14715522847786</v>
      </c>
      <c r="AD153" s="470">
        <f t="shared" si="14"/>
        <v>223.53410194155501</v>
      </c>
      <c r="AE153" s="470">
        <f t="shared" ref="AE153:AL162" si="15">$I153*AE$245</f>
        <v>195.19816477610374</v>
      </c>
      <c r="AF153" s="470">
        <f t="shared" si="15"/>
        <v>210.20121890313226</v>
      </c>
      <c r="AG153" s="470">
        <f t="shared" si="15"/>
        <v>200.58635717143886</v>
      </c>
      <c r="AH153" s="470">
        <f t="shared" si="15"/>
        <v>202.7934397667043</v>
      </c>
      <c r="AI153" s="470">
        <f t="shared" si="15"/>
        <v>187.34930592056793</v>
      </c>
      <c r="AJ153" s="470">
        <f t="shared" si="15"/>
        <v>211.45356557197982</v>
      </c>
      <c r="AK153" s="470">
        <f t="shared" si="15"/>
        <v>224.4080015776762</v>
      </c>
      <c r="AL153" s="470">
        <f t="shared" si="15"/>
        <v>243.02060484291528</v>
      </c>
      <c r="AM153" s="426"/>
      <c r="AN153" s="426"/>
      <c r="AO153" s="426"/>
      <c r="AP153" s="426"/>
      <c r="AQ153" s="426"/>
      <c r="AR153" s="426"/>
      <c r="AS153" s="426"/>
      <c r="AT153" s="426"/>
      <c r="AU153" s="426"/>
      <c r="AV153" s="426"/>
      <c r="AW153" s="426"/>
      <c r="AX153" s="426"/>
      <c r="AY153" s="426"/>
    </row>
    <row r="154" spans="1:51" x14ac:dyDescent="0.25">
      <c r="B154" s="425"/>
      <c r="F154" s="167"/>
      <c r="G154" s="167"/>
      <c r="H154" s="445">
        <v>2050</v>
      </c>
      <c r="I154" s="176">
        <v>228.23407281187625</v>
      </c>
      <c r="J154" s="471" t="s">
        <v>256</v>
      </c>
      <c r="K154" s="470">
        <f t="shared" si="13"/>
        <v>185.09531615198381</v>
      </c>
      <c r="L154" s="470">
        <f t="shared" si="13"/>
        <v>193.30232078025469</v>
      </c>
      <c r="M154" s="470">
        <f t="shared" si="13"/>
        <v>186.04722824441998</v>
      </c>
      <c r="N154" s="470">
        <f t="shared" si="13"/>
        <v>186.05956743752208</v>
      </c>
      <c r="O154" s="470">
        <f t="shared" si="13"/>
        <v>228.33939880061027</v>
      </c>
      <c r="P154" s="470">
        <f t="shared" si="13"/>
        <v>189.64524177207974</v>
      </c>
      <c r="Q154" s="470">
        <f t="shared" si="13"/>
        <v>194.79383726444294</v>
      </c>
      <c r="R154" s="470">
        <f t="shared" si="13"/>
        <v>188.13676420162815</v>
      </c>
      <c r="S154" s="470">
        <f t="shared" si="13"/>
        <v>196.63485353227625</v>
      </c>
      <c r="T154" s="470">
        <f t="shared" si="13"/>
        <v>229.34755803866074</v>
      </c>
      <c r="U154" s="470">
        <f t="shared" si="14"/>
        <v>193.84153753090979</v>
      </c>
      <c r="V154" s="470">
        <f t="shared" si="14"/>
        <v>197.08088605942248</v>
      </c>
      <c r="W154" s="470">
        <f t="shared" si="14"/>
        <v>195.55021938596701</v>
      </c>
      <c r="X154" s="470">
        <f t="shared" si="14"/>
        <v>248.37939058810835</v>
      </c>
      <c r="Y154" s="470">
        <f t="shared" si="14"/>
        <v>212.48694348132761</v>
      </c>
      <c r="Z154" s="470">
        <f t="shared" si="14"/>
        <v>228.23407281187625</v>
      </c>
      <c r="AA154" s="470">
        <f t="shared" si="14"/>
        <v>228.23407281187625</v>
      </c>
      <c r="AB154" s="470">
        <f t="shared" si="14"/>
        <v>193.47780968906264</v>
      </c>
      <c r="AC154" s="470">
        <f t="shared" si="14"/>
        <v>188.82563249963994</v>
      </c>
      <c r="AD154" s="470">
        <f t="shared" si="14"/>
        <v>221.98053993306118</v>
      </c>
      <c r="AE154" s="470">
        <f t="shared" si="15"/>
        <v>193.84153753090979</v>
      </c>
      <c r="AF154" s="470">
        <f t="shared" si="15"/>
        <v>208.74032043175549</v>
      </c>
      <c r="AG154" s="470">
        <f t="shared" si="15"/>
        <v>199.19228198909738</v>
      </c>
      <c r="AH154" s="470">
        <f t="shared" si="15"/>
        <v>201.38402536032569</v>
      </c>
      <c r="AI154" s="470">
        <f t="shared" si="15"/>
        <v>186.04722824441998</v>
      </c>
      <c r="AJ154" s="470">
        <f t="shared" si="15"/>
        <v>209.98396329125455</v>
      </c>
      <c r="AK154" s="470">
        <f t="shared" si="15"/>
        <v>222.84836596671136</v>
      </c>
      <c r="AL154" s="470">
        <f t="shared" si="15"/>
        <v>241.33161163925701</v>
      </c>
      <c r="AM154" s="426"/>
      <c r="AN154" s="426"/>
      <c r="AO154" s="426"/>
      <c r="AP154" s="426"/>
      <c r="AQ154" s="426"/>
      <c r="AR154" s="426"/>
      <c r="AS154" s="426"/>
      <c r="AT154" s="426"/>
      <c r="AU154" s="426"/>
      <c r="AV154" s="426"/>
      <c r="AW154" s="426"/>
      <c r="AX154" s="426"/>
      <c r="AY154" s="426"/>
    </row>
    <row r="155" spans="1:51" x14ac:dyDescent="0.25">
      <c r="A155" s="424" t="s">
        <v>122</v>
      </c>
      <c r="B155" s="425" t="s">
        <v>519</v>
      </c>
      <c r="C155" s="425" t="s">
        <v>515</v>
      </c>
      <c r="D155" s="425" t="s">
        <v>516</v>
      </c>
      <c r="E155" s="425" t="s">
        <v>273</v>
      </c>
      <c r="F155" s="167"/>
      <c r="G155" s="167"/>
      <c r="H155" s="445">
        <v>2030</v>
      </c>
      <c r="I155" s="176">
        <v>285.45938346871185</v>
      </c>
      <c r="J155" s="471" t="s">
        <v>256</v>
      </c>
      <c r="K155" s="470">
        <f t="shared" si="13"/>
        <v>231.50441203072725</v>
      </c>
      <c r="L155" s="470">
        <f t="shared" si="13"/>
        <v>241.76916545885413</v>
      </c>
      <c r="M155" s="470">
        <f t="shared" si="13"/>
        <v>232.69499779943155</v>
      </c>
      <c r="N155" s="470">
        <f t="shared" si="13"/>
        <v>232.71043080823705</v>
      </c>
      <c r="O155" s="470">
        <f t="shared" si="13"/>
        <v>285.59111792639743</v>
      </c>
      <c r="P155" s="470">
        <f t="shared" si="13"/>
        <v>237.19514412142451</v>
      </c>
      <c r="Q155" s="470">
        <f t="shared" si="13"/>
        <v>243.6346510577583</v>
      </c>
      <c r="R155" s="470">
        <f t="shared" si="13"/>
        <v>235.30844476960414</v>
      </c>
      <c r="S155" s="470">
        <f t="shared" si="13"/>
        <v>245.93726679911933</v>
      </c>
      <c r="T155" s="470">
        <f t="shared" si="13"/>
        <v>286.85205373228553</v>
      </c>
      <c r="U155" s="470">
        <f t="shared" si="14"/>
        <v>242.4435804543964</v>
      </c>
      <c r="V155" s="470">
        <f t="shared" si="14"/>
        <v>246.49513341665588</v>
      </c>
      <c r="W155" s="470">
        <f t="shared" si="14"/>
        <v>244.58068147038207</v>
      </c>
      <c r="X155" s="470">
        <f t="shared" si="14"/>
        <v>310.65575279838919</v>
      </c>
      <c r="Y155" s="470">
        <f t="shared" si="14"/>
        <v>265.76396387285831</v>
      </c>
      <c r="Z155" s="470">
        <f t="shared" si="14"/>
        <v>285.45938346871185</v>
      </c>
      <c r="AA155" s="470">
        <f t="shared" si="14"/>
        <v>285.45938346871185</v>
      </c>
      <c r="AB155" s="470">
        <f t="shared" si="14"/>
        <v>241.98865484138469</v>
      </c>
      <c r="AC155" s="470">
        <f t="shared" si="14"/>
        <v>236.17003356403302</v>
      </c>
      <c r="AD155" s="470">
        <f t="shared" si="14"/>
        <v>277.63789731594414</v>
      </c>
      <c r="AE155" s="470">
        <f t="shared" si="15"/>
        <v>242.4435804543964</v>
      </c>
      <c r="AF155" s="470">
        <f t="shared" si="15"/>
        <v>261.07794704529169</v>
      </c>
      <c r="AG155" s="470">
        <f t="shared" si="15"/>
        <v>249.13592132758336</v>
      </c>
      <c r="AH155" s="470">
        <f t="shared" si="15"/>
        <v>251.87720225800854</v>
      </c>
      <c r="AI155" s="470">
        <f t="shared" si="15"/>
        <v>232.69499779943155</v>
      </c>
      <c r="AJ155" s="470">
        <f t="shared" si="15"/>
        <v>262.63340946838264</v>
      </c>
      <c r="AK155" s="470">
        <f t="shared" si="15"/>
        <v>278.72331406144502</v>
      </c>
      <c r="AL155" s="470">
        <f t="shared" si="15"/>
        <v>301.84087862655088</v>
      </c>
      <c r="AM155" s="426"/>
      <c r="AN155" s="426"/>
      <c r="AO155" s="426"/>
      <c r="AP155" s="426"/>
      <c r="AQ155" s="426"/>
      <c r="AR155" s="426"/>
      <c r="AS155" s="426"/>
      <c r="AT155" s="426"/>
      <c r="AU155" s="426"/>
      <c r="AV155" s="426"/>
      <c r="AW155" s="426"/>
      <c r="AX155" s="426"/>
      <c r="AY155" s="426"/>
    </row>
    <row r="156" spans="1:51" x14ac:dyDescent="0.25">
      <c r="B156" s="425"/>
      <c r="F156" s="167"/>
      <c r="G156" s="167"/>
      <c r="H156" s="445">
        <v>2050</v>
      </c>
      <c r="I156" s="176">
        <v>267.75785400000007</v>
      </c>
      <c r="J156" s="471" t="s">
        <v>256</v>
      </c>
      <c r="K156" s="470">
        <f t="shared" si="13"/>
        <v>217.14866683887976</v>
      </c>
      <c r="L156" s="470">
        <f t="shared" si="13"/>
        <v>226.77689596330666</v>
      </c>
      <c r="M156" s="470">
        <f t="shared" si="13"/>
        <v>218.26542357869155</v>
      </c>
      <c r="N156" s="470">
        <f t="shared" si="13"/>
        <v>218.27989957618132</v>
      </c>
      <c r="O156" s="470">
        <f t="shared" si="13"/>
        <v>267.88141951485244</v>
      </c>
      <c r="P156" s="470">
        <f t="shared" si="13"/>
        <v>222.48651278312087</v>
      </c>
      <c r="Q156" s="470">
        <f t="shared" si="13"/>
        <v>228.52670153830971</v>
      </c>
      <c r="R156" s="470">
        <f t="shared" si="13"/>
        <v>220.71680893437005</v>
      </c>
      <c r="S156" s="470">
        <f t="shared" si="13"/>
        <v>230.68653051993792</v>
      </c>
      <c r="T156" s="470">
        <f t="shared" si="13"/>
        <v>269.06416383845379</v>
      </c>
      <c r="U156" s="470">
        <f t="shared" si="14"/>
        <v>227.40949002876536</v>
      </c>
      <c r="V156" s="470">
        <f t="shared" si="14"/>
        <v>231.20980345115055</v>
      </c>
      <c r="W156" s="470">
        <f t="shared" si="14"/>
        <v>229.41406796510168</v>
      </c>
      <c r="X156" s="470">
        <f t="shared" si="14"/>
        <v>291.39177942338796</v>
      </c>
      <c r="Y156" s="470">
        <f t="shared" si="14"/>
        <v>249.28376069630838</v>
      </c>
      <c r="Z156" s="470">
        <f t="shared" si="14"/>
        <v>267.75785400000007</v>
      </c>
      <c r="AA156" s="470">
        <f t="shared" si="14"/>
        <v>267.75785400000007</v>
      </c>
      <c r="AB156" s="470">
        <f t="shared" si="14"/>
        <v>226.98277466075226</v>
      </c>
      <c r="AC156" s="470">
        <f t="shared" si="14"/>
        <v>221.52497002483219</v>
      </c>
      <c r="AD156" s="470">
        <f t="shared" si="14"/>
        <v>260.42138349443218</v>
      </c>
      <c r="AE156" s="470">
        <f t="shared" si="15"/>
        <v>227.40949002876536</v>
      </c>
      <c r="AF156" s="470">
        <f t="shared" si="15"/>
        <v>244.88832694208867</v>
      </c>
      <c r="AG156" s="470">
        <f t="shared" si="15"/>
        <v>233.68683431735286</v>
      </c>
      <c r="AH156" s="470">
        <f t="shared" si="15"/>
        <v>236.25812656293508</v>
      </c>
      <c r="AI156" s="470">
        <f t="shared" si="15"/>
        <v>218.26542357869155</v>
      </c>
      <c r="AJ156" s="470">
        <f t="shared" si="15"/>
        <v>246.3473340881267</v>
      </c>
      <c r="AK156" s="470">
        <f t="shared" si="15"/>
        <v>261.43949281331129</v>
      </c>
      <c r="AL156" s="470">
        <f t="shared" si="15"/>
        <v>283.12352156179219</v>
      </c>
      <c r="AM156" s="426"/>
      <c r="AN156" s="426"/>
      <c r="AO156" s="426"/>
      <c r="AP156" s="426"/>
      <c r="AQ156" s="426"/>
      <c r="AR156" s="426"/>
      <c r="AS156" s="426"/>
      <c r="AT156" s="426"/>
      <c r="AU156" s="426"/>
      <c r="AV156" s="426"/>
      <c r="AW156" s="426"/>
      <c r="AX156" s="426"/>
      <c r="AY156" s="426"/>
    </row>
    <row r="157" spans="1:51" x14ac:dyDescent="0.25">
      <c r="A157" s="424" t="s">
        <v>122</v>
      </c>
      <c r="B157" s="425" t="s">
        <v>520</v>
      </c>
      <c r="C157" s="425" t="s">
        <v>515</v>
      </c>
      <c r="D157" s="425" t="s">
        <v>516</v>
      </c>
      <c r="E157" s="425" t="s">
        <v>267</v>
      </c>
      <c r="F157" s="167"/>
      <c r="G157" s="167"/>
      <c r="H157" s="445">
        <v>2020</v>
      </c>
      <c r="I157" s="176">
        <v>1499.2527267899998</v>
      </c>
      <c r="J157" s="471" t="s">
        <v>256</v>
      </c>
      <c r="K157" s="470">
        <f t="shared" si="13"/>
        <v>1215.8774281071269</v>
      </c>
      <c r="L157" s="470">
        <f t="shared" si="13"/>
        <v>1269.7886338974001</v>
      </c>
      <c r="M157" s="470">
        <f t="shared" si="13"/>
        <v>1222.1304681666873</v>
      </c>
      <c r="N157" s="470">
        <f t="shared" si="13"/>
        <v>1222.211523412632</v>
      </c>
      <c r="O157" s="470">
        <f t="shared" si="13"/>
        <v>1499.9446054120911</v>
      </c>
      <c r="P157" s="470">
        <f t="shared" si="13"/>
        <v>1245.765552647774</v>
      </c>
      <c r="Q157" s="470">
        <f t="shared" si="13"/>
        <v>1279.5862952562923</v>
      </c>
      <c r="R157" s="470">
        <f t="shared" si="13"/>
        <v>1235.8564751689473</v>
      </c>
      <c r="S157" s="470">
        <f t="shared" si="13"/>
        <v>1291.6797948184233</v>
      </c>
      <c r="T157" s="470">
        <f t="shared" si="13"/>
        <v>1506.5671288068845</v>
      </c>
      <c r="U157" s="470">
        <f t="shared" si="14"/>
        <v>1273.3307088110651</v>
      </c>
      <c r="V157" s="470">
        <f t="shared" si="14"/>
        <v>1294.6097494668347</v>
      </c>
      <c r="W157" s="470">
        <f t="shared" si="14"/>
        <v>1284.5549134131652</v>
      </c>
      <c r="X157" s="470">
        <f t="shared" si="14"/>
        <v>1631.5858277856694</v>
      </c>
      <c r="Y157" s="470">
        <f t="shared" si="14"/>
        <v>1395.8110000702577</v>
      </c>
      <c r="Z157" s="470">
        <f t="shared" si="14"/>
        <v>1499.2527267899998</v>
      </c>
      <c r="AA157" s="470">
        <f t="shared" si="14"/>
        <v>1499.2527267899998</v>
      </c>
      <c r="AB157" s="470">
        <f t="shared" si="14"/>
        <v>1270.9414075468831</v>
      </c>
      <c r="AC157" s="470">
        <f t="shared" si="14"/>
        <v>1240.3816000176134</v>
      </c>
      <c r="AD157" s="470">
        <f t="shared" si="14"/>
        <v>1458.173732294895</v>
      </c>
      <c r="AE157" s="470">
        <f t="shared" si="15"/>
        <v>1273.3307088110651</v>
      </c>
      <c r="AF157" s="470">
        <f t="shared" si="15"/>
        <v>1371.1997106421659</v>
      </c>
      <c r="AG157" s="470">
        <f t="shared" si="15"/>
        <v>1308.4793530098061</v>
      </c>
      <c r="AH157" s="470">
        <f t="shared" si="15"/>
        <v>1322.8767529477479</v>
      </c>
      <c r="AI157" s="470">
        <f t="shared" si="15"/>
        <v>1222.1304681666873</v>
      </c>
      <c r="AJ157" s="470">
        <f t="shared" si="15"/>
        <v>1379.3691085120174</v>
      </c>
      <c r="AK157" s="470">
        <f t="shared" si="15"/>
        <v>1463.874417259676</v>
      </c>
      <c r="AL157" s="470">
        <f t="shared" si="15"/>
        <v>1585.2894896592059</v>
      </c>
      <c r="AM157" s="426"/>
      <c r="AN157" s="426"/>
      <c r="AO157" s="426"/>
      <c r="AP157" s="426"/>
      <c r="AQ157" s="426"/>
      <c r="AR157" s="426"/>
      <c r="AS157" s="426"/>
      <c r="AT157" s="426"/>
      <c r="AU157" s="426"/>
      <c r="AV157" s="426"/>
      <c r="AW157" s="426"/>
      <c r="AX157" s="426"/>
      <c r="AY157" s="426"/>
    </row>
    <row r="158" spans="1:51" x14ac:dyDescent="0.25">
      <c r="A158" s="424" t="s">
        <v>122</v>
      </c>
      <c r="B158" s="425" t="s">
        <v>521</v>
      </c>
      <c r="C158" s="425" t="s">
        <v>515</v>
      </c>
      <c r="D158" s="425" t="s">
        <v>516</v>
      </c>
      <c r="E158" s="425" t="s">
        <v>268</v>
      </c>
      <c r="F158" s="167"/>
      <c r="G158" s="167"/>
      <c r="H158" s="445">
        <v>2030</v>
      </c>
      <c r="I158" s="176">
        <v>1522.4584074700001</v>
      </c>
      <c r="J158" s="471" t="s">
        <v>256</v>
      </c>
      <c r="K158" s="470">
        <f t="shared" si="13"/>
        <v>1234.6969792331633</v>
      </c>
      <c r="L158" s="470">
        <f t="shared" si="13"/>
        <v>1289.4426315475537</v>
      </c>
      <c r="M158" s="470">
        <f t="shared" si="13"/>
        <v>1241.046804876841</v>
      </c>
      <c r="N158" s="470">
        <f t="shared" si="13"/>
        <v>1241.1291147092345</v>
      </c>
      <c r="O158" s="470">
        <f t="shared" si="13"/>
        <v>1523.1609951033786</v>
      </c>
      <c r="P158" s="470">
        <f t="shared" si="13"/>
        <v>1265.0477170889783</v>
      </c>
      <c r="Q158" s="470">
        <f t="shared" si="13"/>
        <v>1299.3919427229459</v>
      </c>
      <c r="R158" s="470">
        <f t="shared" si="13"/>
        <v>1254.9852652765931</v>
      </c>
      <c r="S158" s="470">
        <f t="shared" si="13"/>
        <v>1311.6726274634848</v>
      </c>
      <c r="T158" s="470">
        <f t="shared" si="13"/>
        <v>1529.8860230062176</v>
      </c>
      <c r="U158" s="470">
        <f t="shared" si="14"/>
        <v>1293.039531280225</v>
      </c>
      <c r="V158" s="470">
        <f t="shared" si="14"/>
        <v>1314.6479324326012</v>
      </c>
      <c r="W158" s="470">
        <f t="shared" si="14"/>
        <v>1304.4374659701409</v>
      </c>
      <c r="X158" s="470">
        <f t="shared" si="14"/>
        <v>1656.8397820023636</v>
      </c>
      <c r="Y158" s="470">
        <f t="shared" si="14"/>
        <v>1417.415592663938</v>
      </c>
      <c r="Z158" s="470">
        <f t="shared" si="14"/>
        <v>1522.4584074700001</v>
      </c>
      <c r="AA158" s="470">
        <f t="shared" si="14"/>
        <v>1522.4584074700001</v>
      </c>
      <c r="AB158" s="470">
        <f t="shared" si="14"/>
        <v>1290.613248017482</v>
      </c>
      <c r="AC158" s="470">
        <f t="shared" si="14"/>
        <v>1259.5804307530993</v>
      </c>
      <c r="AD158" s="470">
        <f t="shared" si="14"/>
        <v>1480.7435855310796</v>
      </c>
      <c r="AE158" s="470">
        <f t="shared" si="15"/>
        <v>1293.039531280225</v>
      </c>
      <c r="AF158" s="470">
        <f t="shared" si="15"/>
        <v>1392.4233656438139</v>
      </c>
      <c r="AG158" s="470">
        <f t="shared" si="15"/>
        <v>1328.7322119839769</v>
      </c>
      <c r="AH158" s="470">
        <f t="shared" si="15"/>
        <v>1343.3524572498693</v>
      </c>
      <c r="AI158" s="470">
        <f t="shared" si="15"/>
        <v>1241.046804876841</v>
      </c>
      <c r="AJ158" s="470">
        <f t="shared" si="15"/>
        <v>1400.7192107996555</v>
      </c>
      <c r="AK158" s="470">
        <f t="shared" si="15"/>
        <v>1486.5325066368298</v>
      </c>
      <c r="AL158" s="470">
        <f t="shared" si="15"/>
        <v>1609.8268615278948</v>
      </c>
      <c r="AM158" s="426"/>
      <c r="AN158" s="426"/>
      <c r="AO158" s="426"/>
      <c r="AP158" s="426"/>
      <c r="AQ158" s="426"/>
      <c r="AR158" s="426"/>
      <c r="AS158" s="426"/>
      <c r="AT158" s="426"/>
      <c r="AU158" s="426"/>
      <c r="AV158" s="426"/>
      <c r="AW158" s="426"/>
      <c r="AX158" s="426"/>
      <c r="AY158" s="426"/>
    </row>
    <row r="159" spans="1:51" x14ac:dyDescent="0.25">
      <c r="B159" s="425"/>
      <c r="F159" s="167"/>
      <c r="G159" s="167"/>
      <c r="H159" s="445">
        <v>2050</v>
      </c>
      <c r="I159" s="176">
        <v>1200.4477121</v>
      </c>
      <c r="J159" s="471" t="s">
        <v>256</v>
      </c>
      <c r="K159" s="470">
        <f t="shared" si="13"/>
        <v>973.54985632764397</v>
      </c>
      <c r="L159" s="470">
        <f t="shared" si="13"/>
        <v>1016.7164169021579</v>
      </c>
      <c r="M159" s="470">
        <f t="shared" si="13"/>
        <v>978.55664904446678</v>
      </c>
      <c r="N159" s="470">
        <f t="shared" si="13"/>
        <v>978.62154976654597</v>
      </c>
      <c r="O159" s="470">
        <f t="shared" si="13"/>
        <v>1201.0016974915882</v>
      </c>
      <c r="P159" s="470">
        <f t="shared" si="13"/>
        <v>997.48119897765832</v>
      </c>
      <c r="Q159" s="470">
        <f t="shared" si="13"/>
        <v>1024.5613785634216</v>
      </c>
      <c r="R159" s="470">
        <f t="shared" si="13"/>
        <v>989.54702672242547</v>
      </c>
      <c r="S159" s="470">
        <f t="shared" si="13"/>
        <v>1034.2446118310547</v>
      </c>
      <c r="T159" s="470">
        <f t="shared" si="13"/>
        <v>1206.3043345424007</v>
      </c>
      <c r="U159" s="470">
        <f t="shared" si="14"/>
        <v>1019.5525469622978</v>
      </c>
      <c r="V159" s="470">
        <f t="shared" si="14"/>
        <v>1036.5906188059914</v>
      </c>
      <c r="W159" s="470">
        <f t="shared" si="14"/>
        <v>1028.5397380435388</v>
      </c>
      <c r="X159" s="470">
        <f t="shared" si="14"/>
        <v>1306.406477748189</v>
      </c>
      <c r="Y159" s="470">
        <f t="shared" si="14"/>
        <v>1117.6221937884491</v>
      </c>
      <c r="Z159" s="470">
        <f t="shared" si="14"/>
        <v>1200.4477121</v>
      </c>
      <c r="AA159" s="470">
        <f t="shared" si="14"/>
        <v>1200.4477121</v>
      </c>
      <c r="AB159" s="470">
        <f t="shared" si="14"/>
        <v>1017.6394397290391</v>
      </c>
      <c r="AC159" s="470">
        <f t="shared" si="14"/>
        <v>993.17028227799744</v>
      </c>
      <c r="AD159" s="470">
        <f t="shared" si="14"/>
        <v>1167.5558693333708</v>
      </c>
      <c r="AE159" s="470">
        <f t="shared" si="15"/>
        <v>1019.5525469622978</v>
      </c>
      <c r="AF159" s="470">
        <f t="shared" si="15"/>
        <v>1097.9159991236972</v>
      </c>
      <c r="AG159" s="470">
        <f t="shared" si="15"/>
        <v>1047.6959738561318</v>
      </c>
      <c r="AH159" s="470">
        <f t="shared" si="15"/>
        <v>1059.2239340904919</v>
      </c>
      <c r="AI159" s="470">
        <f t="shared" si="15"/>
        <v>978.55664904446678</v>
      </c>
      <c r="AJ159" s="470">
        <f t="shared" si="15"/>
        <v>1104.457214495101</v>
      </c>
      <c r="AK159" s="470">
        <f t="shared" si="15"/>
        <v>1172.1203927796785</v>
      </c>
      <c r="AL159" s="470">
        <f t="shared" si="15"/>
        <v>1269.3371216687015</v>
      </c>
      <c r="AM159" s="426"/>
      <c r="AN159" s="426"/>
      <c r="AO159" s="426"/>
      <c r="AP159" s="426"/>
      <c r="AQ159" s="426"/>
      <c r="AR159" s="426"/>
      <c r="AS159" s="426"/>
      <c r="AT159" s="426"/>
      <c r="AU159" s="426"/>
      <c r="AV159" s="426"/>
      <c r="AW159" s="426"/>
      <c r="AX159" s="426"/>
      <c r="AY159" s="426"/>
    </row>
    <row r="160" spans="1:51" x14ac:dyDescent="0.25">
      <c r="A160" s="424" t="s">
        <v>122</v>
      </c>
      <c r="B160" s="425" t="s">
        <v>522</v>
      </c>
      <c r="C160" s="425" t="s">
        <v>515</v>
      </c>
      <c r="D160" s="425" t="s">
        <v>516</v>
      </c>
      <c r="E160" s="425" t="s">
        <v>269</v>
      </c>
      <c r="F160" s="167"/>
      <c r="G160" s="167"/>
      <c r="H160" s="445">
        <v>2030</v>
      </c>
      <c r="I160" s="176">
        <v>1927.8565488000004</v>
      </c>
      <c r="J160" s="471" t="s">
        <v>256</v>
      </c>
      <c r="K160" s="470">
        <f t="shared" si="13"/>
        <v>1563.4704012399341</v>
      </c>
      <c r="L160" s="470">
        <f t="shared" si="13"/>
        <v>1632.7936509358078</v>
      </c>
      <c r="M160" s="470">
        <f t="shared" si="13"/>
        <v>1571.5110497665789</v>
      </c>
      <c r="N160" s="470">
        <f t="shared" si="13"/>
        <v>1571.6152769485054</v>
      </c>
      <c r="O160" s="470">
        <f t="shared" si="13"/>
        <v>1928.7462205069376</v>
      </c>
      <c r="P160" s="470">
        <f t="shared" si="13"/>
        <v>1601.9028920384701</v>
      </c>
      <c r="Q160" s="470">
        <f t="shared" si="13"/>
        <v>1645.3922510758298</v>
      </c>
      <c r="R160" s="470">
        <f t="shared" si="13"/>
        <v>1589.1610243274642</v>
      </c>
      <c r="S160" s="470">
        <f t="shared" si="13"/>
        <v>1660.9430197435529</v>
      </c>
      <c r="T160" s="470">
        <f t="shared" si="13"/>
        <v>1937.2619796368672</v>
      </c>
      <c r="U160" s="470">
        <f t="shared" si="14"/>
        <v>1637.3483282071106</v>
      </c>
      <c r="V160" s="470">
        <f t="shared" si="14"/>
        <v>1664.7105848482838</v>
      </c>
      <c r="W160" s="470">
        <f t="shared" si="14"/>
        <v>1651.7812893487319</v>
      </c>
      <c r="X160" s="470">
        <f t="shared" si="14"/>
        <v>2098.0208118483934</v>
      </c>
      <c r="Y160" s="470">
        <f t="shared" si="14"/>
        <v>1794.8430770134203</v>
      </c>
      <c r="Z160" s="470">
        <f t="shared" si="14"/>
        <v>1927.8565488000004</v>
      </c>
      <c r="AA160" s="470">
        <f t="shared" si="14"/>
        <v>1927.8565488000004</v>
      </c>
      <c r="AB160" s="470">
        <f t="shared" si="14"/>
        <v>1634.2759775574164</v>
      </c>
      <c r="AC160" s="470">
        <f t="shared" si="14"/>
        <v>1594.9797841787918</v>
      </c>
      <c r="AD160" s="470">
        <f t="shared" si="14"/>
        <v>1875.0339611599115</v>
      </c>
      <c r="AE160" s="470">
        <f t="shared" si="15"/>
        <v>1637.3483282071106</v>
      </c>
      <c r="AF160" s="470">
        <f t="shared" si="15"/>
        <v>1763.1959539830384</v>
      </c>
      <c r="AG160" s="470">
        <f t="shared" si="15"/>
        <v>1682.5452070849406</v>
      </c>
      <c r="AH160" s="470">
        <f t="shared" si="15"/>
        <v>1701.0585112531323</v>
      </c>
      <c r="AI160" s="470">
        <f t="shared" si="15"/>
        <v>1571.5110497665789</v>
      </c>
      <c r="AJ160" s="470">
        <f t="shared" si="15"/>
        <v>1773.7008054345122</v>
      </c>
      <c r="AK160" s="470">
        <f t="shared" si="15"/>
        <v>1882.3643482558409</v>
      </c>
      <c r="AL160" s="470">
        <f t="shared" si="15"/>
        <v>2038.4893552449037</v>
      </c>
      <c r="AM160" s="426"/>
      <c r="AN160" s="426"/>
      <c r="AO160" s="426"/>
      <c r="AP160" s="426"/>
      <c r="AQ160" s="426"/>
      <c r="AR160" s="426"/>
      <c r="AS160" s="426"/>
      <c r="AT160" s="426"/>
      <c r="AU160" s="426"/>
      <c r="AV160" s="426"/>
      <c r="AW160" s="426"/>
      <c r="AX160" s="426"/>
      <c r="AY160" s="426"/>
    </row>
    <row r="161" spans="1:51" x14ac:dyDescent="0.25">
      <c r="B161" s="425"/>
      <c r="F161" s="167"/>
      <c r="G161" s="167"/>
      <c r="H161" s="445">
        <v>2050</v>
      </c>
      <c r="I161" s="176">
        <v>1706.9228495182501</v>
      </c>
      <c r="J161" s="471" t="s">
        <v>256</v>
      </c>
      <c r="K161" s="470">
        <f t="shared" si="13"/>
        <v>1384.2956075145032</v>
      </c>
      <c r="L161" s="470">
        <f t="shared" si="13"/>
        <v>1445.6743646540842</v>
      </c>
      <c r="M161" s="470">
        <f t="shared" si="13"/>
        <v>1391.414792136211</v>
      </c>
      <c r="N161" s="470">
        <f t="shared" si="13"/>
        <v>1391.5070748107087</v>
      </c>
      <c r="O161" s="470">
        <f t="shared" si="13"/>
        <v>1707.7105642297447</v>
      </c>
      <c r="P161" s="470">
        <f t="shared" si="13"/>
        <v>1418.3237081782975</v>
      </c>
      <c r="Q161" s="470">
        <f t="shared" si="13"/>
        <v>1456.8291564690319</v>
      </c>
      <c r="R161" s="470">
        <f t="shared" si="13"/>
        <v>1407.042067355492</v>
      </c>
      <c r="S161" s="470">
        <f t="shared" si="13"/>
        <v>1470.5977962482889</v>
      </c>
      <c r="T161" s="470">
        <f t="shared" si="13"/>
        <v>1715.2504114496628</v>
      </c>
      <c r="U161" s="470">
        <f t="shared" si="14"/>
        <v>1449.7070727471253</v>
      </c>
      <c r="V161" s="470">
        <f t="shared" si="14"/>
        <v>1473.9335957756532</v>
      </c>
      <c r="W161" s="470">
        <f t="shared" si="14"/>
        <v>1462.4860065190273</v>
      </c>
      <c r="X161" s="470">
        <f t="shared" si="14"/>
        <v>1857.5861698516699</v>
      </c>
      <c r="Y161" s="470">
        <f t="shared" si="14"/>
        <v>1589.1528139688787</v>
      </c>
      <c r="Z161" s="470">
        <f t="shared" si="14"/>
        <v>1706.9228495182501</v>
      </c>
      <c r="AA161" s="470">
        <f t="shared" si="14"/>
        <v>1706.9228495182501</v>
      </c>
      <c r="AB161" s="470">
        <f t="shared" si="14"/>
        <v>1446.9868156154628</v>
      </c>
      <c r="AC161" s="470">
        <f t="shared" si="14"/>
        <v>1412.1939932870519</v>
      </c>
      <c r="AD161" s="470">
        <f t="shared" si="14"/>
        <v>1660.153767104068</v>
      </c>
      <c r="AE161" s="470">
        <f t="shared" si="15"/>
        <v>1449.7070727471253</v>
      </c>
      <c r="AF161" s="470">
        <f t="shared" si="15"/>
        <v>1561.1324732149471</v>
      </c>
      <c r="AG161" s="470">
        <f t="shared" si="15"/>
        <v>1489.7243579188346</v>
      </c>
      <c r="AH161" s="470">
        <f t="shared" si="15"/>
        <v>1506.1160245728904</v>
      </c>
      <c r="AI161" s="470">
        <f t="shared" si="15"/>
        <v>1391.414792136211</v>
      </c>
      <c r="AJ161" s="470">
        <f t="shared" si="15"/>
        <v>1570.4334613950464</v>
      </c>
      <c r="AK161" s="470">
        <f t="shared" si="15"/>
        <v>1666.6440867482575</v>
      </c>
      <c r="AL161" s="470">
        <f t="shared" si="15"/>
        <v>1804.8770595162298</v>
      </c>
      <c r="AM161" s="426"/>
      <c r="AN161" s="426"/>
      <c r="AO161" s="426"/>
      <c r="AP161" s="426"/>
      <c r="AQ161" s="426"/>
      <c r="AR161" s="426"/>
      <c r="AS161" s="426"/>
      <c r="AT161" s="426"/>
      <c r="AU161" s="426"/>
      <c r="AV161" s="426"/>
      <c r="AW161" s="426"/>
      <c r="AX161" s="426"/>
      <c r="AY161" s="426"/>
    </row>
    <row r="162" spans="1:51" x14ac:dyDescent="0.25">
      <c r="A162" s="424" t="s">
        <v>122</v>
      </c>
      <c r="B162" s="425" t="s">
        <v>523</v>
      </c>
      <c r="C162" s="425" t="s">
        <v>19</v>
      </c>
      <c r="D162" s="425" t="s">
        <v>105</v>
      </c>
      <c r="E162" s="425" t="s">
        <v>243</v>
      </c>
      <c r="F162" s="167"/>
      <c r="G162" s="167"/>
      <c r="H162" s="445">
        <v>2020</v>
      </c>
      <c r="I162" s="176">
        <v>2161.1883930000004</v>
      </c>
      <c r="J162" s="471" t="s">
        <v>256</v>
      </c>
      <c r="K162" s="470">
        <f t="shared" si="13"/>
        <v>1752.6999537709578</v>
      </c>
      <c r="L162" s="470">
        <f t="shared" si="13"/>
        <v>1830.4135174181179</v>
      </c>
      <c r="M162" s="470">
        <f t="shared" si="13"/>
        <v>1761.7137760280102</v>
      </c>
      <c r="N162" s="470">
        <f t="shared" si="13"/>
        <v>1761.8306180077491</v>
      </c>
      <c r="O162" s="470">
        <f t="shared" si="13"/>
        <v>2162.1857432270231</v>
      </c>
      <c r="P162" s="470">
        <f t="shared" si="13"/>
        <v>1795.7839960351896</v>
      </c>
      <c r="Q162" s="470">
        <f t="shared" si="13"/>
        <v>1844.5369481306425</v>
      </c>
      <c r="R162" s="470">
        <f t="shared" si="13"/>
        <v>1781.4999578274153</v>
      </c>
      <c r="S162" s="470">
        <f t="shared" si="13"/>
        <v>1861.9698534823558</v>
      </c>
      <c r="T162" s="470">
        <f t="shared" si="13"/>
        <v>2171.7321795532339</v>
      </c>
      <c r="U162" s="470">
        <f t="shared" si="14"/>
        <v>1835.5194552321775</v>
      </c>
      <c r="V162" s="470">
        <f t="shared" si="14"/>
        <v>1866.1934135700008</v>
      </c>
      <c r="W162" s="470">
        <f t="shared" si="14"/>
        <v>1851.6992628611777</v>
      </c>
      <c r="X162" s="470">
        <f t="shared" si="14"/>
        <v>2351.9479339173454</v>
      </c>
      <c r="Y162" s="470">
        <f t="shared" si="14"/>
        <v>2012.0760684773461</v>
      </c>
      <c r="Z162" s="470">
        <f t="shared" si="14"/>
        <v>2161.1883930000004</v>
      </c>
      <c r="AA162" s="470">
        <f t="shared" si="14"/>
        <v>2161.1883930000004</v>
      </c>
      <c r="AB162" s="470">
        <f t="shared" si="14"/>
        <v>1832.075252618929</v>
      </c>
      <c r="AC162" s="470">
        <f t="shared" si="14"/>
        <v>1788.0229723432883</v>
      </c>
      <c r="AD162" s="470">
        <f t="shared" si="14"/>
        <v>2101.9725953479169</v>
      </c>
      <c r="AE162" s="470">
        <f t="shared" si="15"/>
        <v>1835.5194552321775</v>
      </c>
      <c r="AF162" s="470">
        <f t="shared" si="15"/>
        <v>1976.5986388897154</v>
      </c>
      <c r="AG162" s="470">
        <f t="shared" si="15"/>
        <v>1886.1865912757767</v>
      </c>
      <c r="AH162" s="470">
        <f t="shared" si="15"/>
        <v>1906.9405929722614</v>
      </c>
      <c r="AI162" s="470">
        <f t="shared" si="15"/>
        <v>1761.7137760280102</v>
      </c>
      <c r="AJ162" s="470">
        <f t="shared" si="15"/>
        <v>1988.3749108541654</v>
      </c>
      <c r="AK162" s="470">
        <f t="shared" si="15"/>
        <v>2110.1901919931552</v>
      </c>
      <c r="AL162" s="470">
        <f t="shared" si="15"/>
        <v>2285.2112811773227</v>
      </c>
      <c r="AM162" s="426"/>
      <c r="AN162" s="426"/>
      <c r="AO162" s="426"/>
      <c r="AP162" s="426"/>
      <c r="AQ162" s="426"/>
      <c r="AR162" s="426"/>
      <c r="AS162" s="426"/>
      <c r="AT162" s="426"/>
      <c r="AU162" s="426"/>
      <c r="AV162" s="426"/>
      <c r="AW162" s="426"/>
      <c r="AX162" s="426"/>
      <c r="AY162" s="426"/>
    </row>
    <row r="163" spans="1:51" x14ac:dyDescent="0.25">
      <c r="A163" s="424" t="s">
        <v>122</v>
      </c>
      <c r="B163" s="425" t="s">
        <v>524</v>
      </c>
      <c r="C163" s="425" t="s">
        <v>19</v>
      </c>
      <c r="D163" s="425" t="s">
        <v>105</v>
      </c>
      <c r="E163" s="425" t="s">
        <v>244</v>
      </c>
      <c r="F163" s="167"/>
      <c r="G163" s="167"/>
      <c r="H163" s="445">
        <v>2030</v>
      </c>
      <c r="I163" s="176">
        <v>2302.0695345771151</v>
      </c>
      <c r="J163" s="471" t="s">
        <v>256</v>
      </c>
      <c r="K163" s="470">
        <f t="shared" ref="K163:T170" si="16">$I163*K$245</f>
        <v>1866.953005994068</v>
      </c>
      <c r="L163" s="470">
        <f t="shared" si="16"/>
        <v>1949.7324748617534</v>
      </c>
      <c r="M163" s="470">
        <f t="shared" si="16"/>
        <v>1876.5544112557579</v>
      </c>
      <c r="N163" s="470">
        <f t="shared" si="16"/>
        <v>1876.6788698003197</v>
      </c>
      <c r="O163" s="470">
        <f t="shared" si="16"/>
        <v>2303.1318989597708</v>
      </c>
      <c r="P163" s="470">
        <f t="shared" si="16"/>
        <v>1912.8455628133481</v>
      </c>
      <c r="Q163" s="470">
        <f t="shared" si="16"/>
        <v>1964.7765680432283</v>
      </c>
      <c r="R163" s="470">
        <f t="shared" si="16"/>
        <v>1897.6303926341268</v>
      </c>
      <c r="S163" s="470">
        <f t="shared" si="16"/>
        <v>1983.3458702101891</v>
      </c>
      <c r="T163" s="470">
        <f t="shared" si="16"/>
        <v>2313.3006377432716</v>
      </c>
      <c r="U163" s="470">
        <f t="shared" ref="U163:AD170" si="17">$I163*U$245</f>
        <v>1955.1712528624421</v>
      </c>
      <c r="V163" s="470">
        <f t="shared" si="17"/>
        <v>1987.8447510281296</v>
      </c>
      <c r="W163" s="470">
        <f t="shared" si="17"/>
        <v>1972.4057717681892</v>
      </c>
      <c r="X163" s="470">
        <f t="shared" si="17"/>
        <v>2505.2640959573719</v>
      </c>
      <c r="Y163" s="470">
        <f t="shared" si="17"/>
        <v>2143.2370419423196</v>
      </c>
      <c r="Z163" s="470">
        <f t="shared" si="17"/>
        <v>2302.0695345771151</v>
      </c>
      <c r="AA163" s="470">
        <f t="shared" si="17"/>
        <v>2302.0695345771151</v>
      </c>
      <c r="AB163" s="470">
        <f t="shared" si="17"/>
        <v>1951.5025334057989</v>
      </c>
      <c r="AC163" s="470">
        <f t="shared" si="17"/>
        <v>1904.5786221541598</v>
      </c>
      <c r="AD163" s="470">
        <f t="shared" si="17"/>
        <v>2238.9936434692063</v>
      </c>
      <c r="AE163" s="470">
        <f t="shared" ref="AE163:AL170" si="18">$I163*AE$245</f>
        <v>1955.1712528624421</v>
      </c>
      <c r="AF163" s="470">
        <f t="shared" si="18"/>
        <v>2105.4469491936634</v>
      </c>
      <c r="AG163" s="470">
        <f t="shared" si="18"/>
        <v>2009.1412217314373</v>
      </c>
      <c r="AH163" s="470">
        <f t="shared" si="18"/>
        <v>2031.2481121722649</v>
      </c>
      <c r="AI163" s="470">
        <f t="shared" si="18"/>
        <v>1876.5544112557579</v>
      </c>
      <c r="AJ163" s="470">
        <f t="shared" si="18"/>
        <v>2117.9908796571349</v>
      </c>
      <c r="AK163" s="470">
        <f t="shared" si="18"/>
        <v>2247.7469196508287</v>
      </c>
      <c r="AL163" s="470">
        <f t="shared" si="18"/>
        <v>2434.1770886376635</v>
      </c>
      <c r="AM163" s="426"/>
      <c r="AN163" s="426"/>
      <c r="AO163" s="426"/>
      <c r="AP163" s="426"/>
      <c r="AQ163" s="426"/>
      <c r="AR163" s="426"/>
      <c r="AS163" s="426"/>
      <c r="AT163" s="426"/>
      <c r="AU163" s="426"/>
      <c r="AV163" s="426"/>
      <c r="AW163" s="426"/>
      <c r="AX163" s="426"/>
      <c r="AY163" s="426"/>
    </row>
    <row r="164" spans="1:51" x14ac:dyDescent="0.25">
      <c r="B164" s="425"/>
      <c r="F164" s="167"/>
      <c r="G164" s="167"/>
      <c r="H164" s="445">
        <v>2050</v>
      </c>
      <c r="I164" s="176">
        <v>2001.5929424400003</v>
      </c>
      <c r="J164" s="471" t="s">
        <v>256</v>
      </c>
      <c r="K164" s="470">
        <f t="shared" si="16"/>
        <v>1623.2698033386409</v>
      </c>
      <c r="L164" s="470">
        <f t="shared" si="16"/>
        <v>1695.2445192087798</v>
      </c>
      <c r="M164" s="470">
        <f t="shared" si="16"/>
        <v>1631.6179894905572</v>
      </c>
      <c r="N164" s="470">
        <f t="shared" si="16"/>
        <v>1631.7262031394846</v>
      </c>
      <c r="O164" s="470">
        <f t="shared" si="16"/>
        <v>2002.5166421887197</v>
      </c>
      <c r="P164" s="470">
        <f t="shared" si="16"/>
        <v>1663.1722547895142</v>
      </c>
      <c r="Q164" s="470">
        <f t="shared" si="16"/>
        <v>1708.3249888840719</v>
      </c>
      <c r="R164" s="470">
        <f t="shared" si="16"/>
        <v>1649.9430378647753</v>
      </c>
      <c r="S164" s="470">
        <f t="shared" si="16"/>
        <v>1724.4705412251972</v>
      </c>
      <c r="T164" s="470">
        <f t="shared" si="16"/>
        <v>2011.3581109093027</v>
      </c>
      <c r="U164" s="470">
        <f t="shared" si="17"/>
        <v>1699.9734031534936</v>
      </c>
      <c r="V164" s="470">
        <f t="shared" si="17"/>
        <v>1728.3822076448314</v>
      </c>
      <c r="W164" s="470">
        <f t="shared" si="17"/>
        <v>1714.9583942191214</v>
      </c>
      <c r="X164" s="470">
        <f t="shared" si="17"/>
        <v>2178.2656249511415</v>
      </c>
      <c r="Y164" s="470">
        <f t="shared" si="17"/>
        <v>1863.4919895744035</v>
      </c>
      <c r="Z164" s="470">
        <f t="shared" si="17"/>
        <v>2001.5929424400003</v>
      </c>
      <c r="AA164" s="470">
        <f t="shared" si="17"/>
        <v>2001.5929424400003</v>
      </c>
      <c r="AB164" s="470">
        <f t="shared" si="17"/>
        <v>1696.7835416563003</v>
      </c>
      <c r="AC164" s="470">
        <f t="shared" si="17"/>
        <v>1655.9843528471686</v>
      </c>
      <c r="AD164" s="470">
        <f t="shared" si="17"/>
        <v>1946.7500036914553</v>
      </c>
      <c r="AE164" s="470">
        <f t="shared" si="18"/>
        <v>1699.9734031534936</v>
      </c>
      <c r="AF164" s="470">
        <f t="shared" si="18"/>
        <v>1830.6344317101673</v>
      </c>
      <c r="AG164" s="470">
        <f t="shared" si="18"/>
        <v>1746.8989660738732</v>
      </c>
      <c r="AH164" s="470">
        <f t="shared" si="18"/>
        <v>1766.120364568156</v>
      </c>
      <c r="AI164" s="470">
        <f t="shared" si="18"/>
        <v>1631.6179894905572</v>
      </c>
      <c r="AJ164" s="470">
        <f t="shared" si="18"/>
        <v>1841.5410712833961</v>
      </c>
      <c r="AK164" s="470">
        <f t="shared" si="18"/>
        <v>1954.3607624305837</v>
      </c>
      <c r="AL164" s="470">
        <f t="shared" si="18"/>
        <v>2116.4572173365355</v>
      </c>
      <c r="AM164" s="426"/>
      <c r="AN164" s="426"/>
      <c r="AO164" s="426"/>
      <c r="AP164" s="426"/>
      <c r="AQ164" s="426"/>
      <c r="AR164" s="426"/>
      <c r="AS164" s="426"/>
      <c r="AT164" s="426"/>
      <c r="AU164" s="426"/>
      <c r="AV164" s="426"/>
      <c r="AW164" s="426"/>
      <c r="AX164" s="426"/>
      <c r="AY164" s="426"/>
    </row>
    <row r="165" spans="1:51" x14ac:dyDescent="0.25">
      <c r="A165" s="424" t="s">
        <v>122</v>
      </c>
      <c r="B165" s="425" t="s">
        <v>525</v>
      </c>
      <c r="C165" s="425" t="s">
        <v>19</v>
      </c>
      <c r="D165" s="425" t="s">
        <v>105</v>
      </c>
      <c r="E165" s="425" t="s">
        <v>245</v>
      </c>
      <c r="F165" s="167"/>
      <c r="G165" s="167"/>
      <c r="H165" s="445">
        <v>2030</v>
      </c>
      <c r="I165" s="176">
        <v>2977.5270626865686</v>
      </c>
      <c r="J165" s="471" t="s">
        <v>256</v>
      </c>
      <c r="K165" s="470">
        <f t="shared" si="16"/>
        <v>2414.7416125432264</v>
      </c>
      <c r="L165" s="470">
        <f t="shared" si="16"/>
        <v>2521.8096680846638</v>
      </c>
      <c r="M165" s="470">
        <f t="shared" si="16"/>
        <v>2427.1601965942741</v>
      </c>
      <c r="N165" s="470">
        <f t="shared" si="16"/>
        <v>2427.3211729153841</v>
      </c>
      <c r="O165" s="470">
        <f t="shared" si="16"/>
        <v>2978.9011387743153</v>
      </c>
      <c r="P165" s="470">
        <f t="shared" si="16"/>
        <v>2474.0996501058876</v>
      </c>
      <c r="Q165" s="470">
        <f t="shared" si="16"/>
        <v>2541.2678963912417</v>
      </c>
      <c r="R165" s="470">
        <f t="shared" si="16"/>
        <v>2454.4201485567155</v>
      </c>
      <c r="S165" s="470">
        <f t="shared" si="16"/>
        <v>2565.2856764395265</v>
      </c>
      <c r="T165" s="470">
        <f t="shared" si="16"/>
        <v>2992.0535194763279</v>
      </c>
      <c r="U165" s="470">
        <f t="shared" si="17"/>
        <v>2528.8442551993267</v>
      </c>
      <c r="V165" s="470">
        <f t="shared" si="17"/>
        <v>2571.104588156144</v>
      </c>
      <c r="W165" s="470">
        <f t="shared" si="17"/>
        <v>2551.1356089935866</v>
      </c>
      <c r="X165" s="470">
        <f t="shared" si="17"/>
        <v>3240.3415851903737</v>
      </c>
      <c r="Y165" s="470">
        <f t="shared" si="17"/>
        <v>2772.0910243086291</v>
      </c>
      <c r="Z165" s="470">
        <f t="shared" si="17"/>
        <v>2977.5270626865686</v>
      </c>
      <c r="AA165" s="470">
        <f t="shared" si="17"/>
        <v>2977.5270626865686</v>
      </c>
      <c r="AB165" s="470">
        <f t="shared" si="17"/>
        <v>2524.0990851236684</v>
      </c>
      <c r="AC165" s="470">
        <f t="shared" si="17"/>
        <v>2463.4070801514886</v>
      </c>
      <c r="AD165" s="470">
        <f t="shared" si="17"/>
        <v>2895.9438741877161</v>
      </c>
      <c r="AE165" s="470">
        <f t="shared" si="18"/>
        <v>2528.8442551993267</v>
      </c>
      <c r="AF165" s="470">
        <f t="shared" si="18"/>
        <v>2723.2128205139602</v>
      </c>
      <c r="AG165" s="470">
        <f t="shared" si="18"/>
        <v>2598.6497239161108</v>
      </c>
      <c r="AH165" s="470">
        <f t="shared" si="18"/>
        <v>2627.2430672407745</v>
      </c>
      <c r="AI165" s="470">
        <f t="shared" si="18"/>
        <v>2427.1601965942741</v>
      </c>
      <c r="AJ165" s="470">
        <f t="shared" si="18"/>
        <v>2739.4373054247981</v>
      </c>
      <c r="AK165" s="470">
        <f t="shared" si="18"/>
        <v>2907.2654769136475</v>
      </c>
      <c r="AL165" s="470">
        <f t="shared" si="18"/>
        <v>3148.3967134475179</v>
      </c>
      <c r="AM165" s="426"/>
      <c r="AN165" s="426"/>
      <c r="AO165" s="426"/>
      <c r="AP165" s="426"/>
      <c r="AQ165" s="426"/>
      <c r="AR165" s="426"/>
      <c r="AS165" s="426"/>
      <c r="AT165" s="426"/>
      <c r="AU165" s="426"/>
      <c r="AV165" s="426"/>
      <c r="AW165" s="426"/>
      <c r="AX165" s="426"/>
      <c r="AY165" s="426"/>
    </row>
    <row r="166" spans="1:51" x14ac:dyDescent="0.25">
      <c r="B166" s="425"/>
      <c r="F166" s="167"/>
      <c r="G166" s="167"/>
      <c r="H166" s="445">
        <v>2050</v>
      </c>
      <c r="I166" s="176">
        <v>2261.3386601901848</v>
      </c>
      <c r="J166" s="471" t="s">
        <v>256</v>
      </c>
      <c r="K166" s="470">
        <f t="shared" si="16"/>
        <v>1833.9207160344101</v>
      </c>
      <c r="L166" s="470">
        <f t="shared" si="16"/>
        <v>1915.2355548821834</v>
      </c>
      <c r="M166" s="470">
        <f t="shared" si="16"/>
        <v>1843.3522421392031</v>
      </c>
      <c r="N166" s="470">
        <f t="shared" si="16"/>
        <v>1843.474498619375</v>
      </c>
      <c r="O166" s="470">
        <f t="shared" si="16"/>
        <v>2262.3822279945562</v>
      </c>
      <c r="P166" s="470">
        <f t="shared" si="16"/>
        <v>1879.001288706806</v>
      </c>
      <c r="Q166" s="470">
        <f t="shared" si="16"/>
        <v>1930.0134705827279</v>
      </c>
      <c r="R166" s="470">
        <f t="shared" si="16"/>
        <v>1864.055322900449</v>
      </c>
      <c r="S166" s="470">
        <f t="shared" si="16"/>
        <v>1948.2542231977943</v>
      </c>
      <c r="T166" s="470">
        <f t="shared" si="16"/>
        <v>2272.3710497009038</v>
      </c>
      <c r="U166" s="470">
        <f t="shared" si="17"/>
        <v>1920.5781037376455</v>
      </c>
      <c r="V166" s="470">
        <f t="shared" si="17"/>
        <v>1952.6735046175738</v>
      </c>
      <c r="W166" s="470">
        <f t="shared" si="17"/>
        <v>1937.5076896193787</v>
      </c>
      <c r="X166" s="470">
        <f t="shared" si="17"/>
        <v>2460.9380685868427</v>
      </c>
      <c r="Y166" s="470">
        <f t="shared" si="17"/>
        <v>2105.3164155556778</v>
      </c>
      <c r="Z166" s="470">
        <f t="shared" si="17"/>
        <v>2261.3386601901848</v>
      </c>
      <c r="AA166" s="470">
        <f t="shared" si="17"/>
        <v>2261.3386601901848</v>
      </c>
      <c r="AB166" s="470">
        <f t="shared" si="17"/>
        <v>1916.9742955050574</v>
      </c>
      <c r="AC166" s="470">
        <f t="shared" si="17"/>
        <v>1870.8806163147124</v>
      </c>
      <c r="AD166" s="470">
        <f t="shared" si="17"/>
        <v>2199.3787806357809</v>
      </c>
      <c r="AE166" s="470">
        <f t="shared" si="18"/>
        <v>1920.5781037376455</v>
      </c>
      <c r="AF166" s="470">
        <f t="shared" si="18"/>
        <v>2068.1949487966785</v>
      </c>
      <c r="AG166" s="470">
        <f t="shared" si="18"/>
        <v>1973.5931735518327</v>
      </c>
      <c r="AH166" s="470">
        <f t="shared" si="18"/>
        <v>1995.3089233411265</v>
      </c>
      <c r="AI166" s="470">
        <f t="shared" si="18"/>
        <v>1843.3522421392031</v>
      </c>
      <c r="AJ166" s="470">
        <f t="shared" si="18"/>
        <v>2080.5169375471173</v>
      </c>
      <c r="AK166" s="470">
        <f t="shared" si="18"/>
        <v>2207.9771837402559</v>
      </c>
      <c r="AL166" s="470">
        <f t="shared" si="18"/>
        <v>2391.10881474599</v>
      </c>
      <c r="AM166" s="426"/>
      <c r="AN166" s="426"/>
      <c r="AO166" s="426"/>
      <c r="AP166" s="426"/>
      <c r="AQ166" s="426"/>
      <c r="AR166" s="426"/>
      <c r="AS166" s="426"/>
      <c r="AT166" s="426"/>
      <c r="AU166" s="426"/>
      <c r="AV166" s="426"/>
      <c r="AW166" s="426"/>
      <c r="AX166" s="426"/>
      <c r="AY166" s="426"/>
    </row>
    <row r="167" spans="1:51" x14ac:dyDescent="0.25">
      <c r="A167" s="424" t="s">
        <v>122</v>
      </c>
      <c r="B167" s="425" t="s">
        <v>526</v>
      </c>
      <c r="C167" s="425" t="s">
        <v>474</v>
      </c>
      <c r="D167" s="425" t="s">
        <v>475</v>
      </c>
      <c r="E167" s="425" t="s">
        <v>265</v>
      </c>
      <c r="F167" s="167"/>
      <c r="G167" s="167"/>
      <c r="H167" s="445">
        <v>2020</v>
      </c>
      <c r="I167" s="176">
        <v>205.95532002499999</v>
      </c>
      <c r="J167" s="471" t="s">
        <v>256</v>
      </c>
      <c r="K167" s="470">
        <f t="shared" si="16"/>
        <v>167.02749332538187</v>
      </c>
      <c r="L167" s="470">
        <f t="shared" si="16"/>
        <v>174.43338256811296</v>
      </c>
      <c r="M167" s="470">
        <f t="shared" si="16"/>
        <v>167.88648583784058</v>
      </c>
      <c r="N167" s="470">
        <f t="shared" si="16"/>
        <v>167.89762055770461</v>
      </c>
      <c r="O167" s="470">
        <f t="shared" si="16"/>
        <v>206.05036476327859</v>
      </c>
      <c r="P167" s="470">
        <f t="shared" si="16"/>
        <v>171.1332842602402</v>
      </c>
      <c r="Q167" s="470">
        <f t="shared" si="16"/>
        <v>175.77930673727397</v>
      </c>
      <c r="R167" s="470">
        <f t="shared" si="16"/>
        <v>169.77205463775098</v>
      </c>
      <c r="S167" s="470">
        <f t="shared" si="16"/>
        <v>177.44061475295035</v>
      </c>
      <c r="T167" s="470">
        <f t="shared" si="16"/>
        <v>206.96011393416592</v>
      </c>
      <c r="U167" s="470">
        <f t="shared" si="17"/>
        <v>174.91996442276687</v>
      </c>
      <c r="V167" s="470">
        <f t="shared" si="17"/>
        <v>177.8431084329614</v>
      </c>
      <c r="W167" s="470">
        <f t="shared" si="17"/>
        <v>176.46185566601383</v>
      </c>
      <c r="X167" s="470">
        <f t="shared" si="17"/>
        <v>224.13418051893282</v>
      </c>
      <c r="Y167" s="470">
        <f t="shared" si="17"/>
        <v>191.74532490555328</v>
      </c>
      <c r="Z167" s="470">
        <f t="shared" si="17"/>
        <v>205.95532002499999</v>
      </c>
      <c r="AA167" s="470">
        <f t="shared" si="17"/>
        <v>205.95532002499999</v>
      </c>
      <c r="AB167" s="470">
        <f t="shared" si="17"/>
        <v>174.591741370237</v>
      </c>
      <c r="AC167" s="470">
        <f t="shared" si="17"/>
        <v>170.39368001131663</v>
      </c>
      <c r="AD167" s="470">
        <f t="shared" si="17"/>
        <v>200.31221709354236</v>
      </c>
      <c r="AE167" s="470">
        <f t="shared" si="18"/>
        <v>174.91996442276687</v>
      </c>
      <c r="AF167" s="470">
        <f t="shared" si="18"/>
        <v>188.36442327381621</v>
      </c>
      <c r="AG167" s="470">
        <f t="shared" si="18"/>
        <v>179.74840337441438</v>
      </c>
      <c r="AH167" s="470">
        <f t="shared" si="18"/>
        <v>181.72620275323925</v>
      </c>
      <c r="AI167" s="470">
        <f t="shared" si="18"/>
        <v>167.88648583784058</v>
      </c>
      <c r="AJ167" s="470">
        <f t="shared" si="18"/>
        <v>189.48666965871973</v>
      </c>
      <c r="AK167" s="470">
        <f t="shared" si="18"/>
        <v>201.09533149133767</v>
      </c>
      <c r="AL167" s="470">
        <f t="shared" si="18"/>
        <v>217.77436074709459</v>
      </c>
      <c r="AM167" s="426"/>
      <c r="AN167" s="426"/>
      <c r="AO167" s="426"/>
      <c r="AP167" s="426"/>
      <c r="AQ167" s="426"/>
      <c r="AR167" s="426"/>
      <c r="AS167" s="426"/>
      <c r="AT167" s="426"/>
      <c r="AU167" s="426"/>
      <c r="AV167" s="426"/>
      <c r="AW167" s="426"/>
      <c r="AX167" s="426"/>
      <c r="AY167" s="426"/>
    </row>
    <row r="168" spans="1:51" x14ac:dyDescent="0.25">
      <c r="A168" s="424" t="s">
        <v>122</v>
      </c>
      <c r="B168" s="425" t="s">
        <v>527</v>
      </c>
      <c r="C168" s="425" t="s">
        <v>474</v>
      </c>
      <c r="D168" s="425" t="s">
        <v>475</v>
      </c>
      <c r="E168" s="425" t="s">
        <v>274</v>
      </c>
      <c r="F168" s="167"/>
      <c r="G168" s="167"/>
      <c r="H168" s="445">
        <v>2020</v>
      </c>
      <c r="I168" s="176">
        <v>255.804378375</v>
      </c>
      <c r="J168" s="471" t="s">
        <v>256</v>
      </c>
      <c r="K168" s="470">
        <f t="shared" si="16"/>
        <v>207.4545299264297</v>
      </c>
      <c r="L168" s="470">
        <f t="shared" si="16"/>
        <v>216.65292739351611</v>
      </c>
      <c r="M168" s="470">
        <f t="shared" si="16"/>
        <v>208.52143145464277</v>
      </c>
      <c r="N168" s="470">
        <f t="shared" si="16"/>
        <v>208.53526120224458</v>
      </c>
      <c r="O168" s="470">
        <f t="shared" si="16"/>
        <v>255.92242757222502</v>
      </c>
      <c r="P168" s="470">
        <f t="shared" si="16"/>
        <v>212.55407917673148</v>
      </c>
      <c r="Q168" s="470">
        <f t="shared" si="16"/>
        <v>218.32461664820653</v>
      </c>
      <c r="R168" s="470">
        <f t="shared" si="16"/>
        <v>210.86337996408562</v>
      </c>
      <c r="S168" s="470">
        <f t="shared" si="16"/>
        <v>220.3880246931549</v>
      </c>
      <c r="T168" s="470">
        <f t="shared" si="16"/>
        <v>257.0523708099513</v>
      </c>
      <c r="U168" s="470">
        <f t="shared" si="17"/>
        <v>217.25728065248114</v>
      </c>
      <c r="V168" s="470">
        <f t="shared" si="17"/>
        <v>220.88793722565271</v>
      </c>
      <c r="W168" s="470">
        <f t="shared" si="17"/>
        <v>219.17236850237387</v>
      </c>
      <c r="X168" s="470">
        <f t="shared" si="17"/>
        <v>278.38321784198666</v>
      </c>
      <c r="Y168" s="470">
        <f t="shared" si="17"/>
        <v>238.15502137950884</v>
      </c>
      <c r="Z168" s="470">
        <f t="shared" si="17"/>
        <v>255.804378375</v>
      </c>
      <c r="AA168" s="470">
        <f t="shared" si="17"/>
        <v>255.804378375</v>
      </c>
      <c r="AB168" s="470">
        <f t="shared" si="17"/>
        <v>216.84961507768293</v>
      </c>
      <c r="AC168" s="470">
        <f t="shared" si="17"/>
        <v>211.63546243443784</v>
      </c>
      <c r="AD168" s="470">
        <f t="shared" si="17"/>
        <v>248.79542887414496</v>
      </c>
      <c r="AE168" s="470">
        <f t="shared" si="18"/>
        <v>217.25728065248114</v>
      </c>
      <c r="AF168" s="470">
        <f t="shared" si="18"/>
        <v>233.95581234645965</v>
      </c>
      <c r="AG168" s="470">
        <f t="shared" si="18"/>
        <v>223.2543863567567</v>
      </c>
      <c r="AH168" s="470">
        <f t="shared" si="18"/>
        <v>225.71088876994685</v>
      </c>
      <c r="AI168" s="470">
        <f t="shared" si="18"/>
        <v>208.52143145464277</v>
      </c>
      <c r="AJ168" s="470">
        <f t="shared" si="18"/>
        <v>235.34968524490668</v>
      </c>
      <c r="AK168" s="470">
        <f t="shared" si="18"/>
        <v>249.76808688414553</v>
      </c>
      <c r="AL168" s="470">
        <f t="shared" si="18"/>
        <v>270.48407863492639</v>
      </c>
      <c r="AM168" s="426"/>
      <c r="AN168" s="426"/>
      <c r="AO168" s="426"/>
      <c r="AP168" s="426"/>
      <c r="AQ168" s="426"/>
      <c r="AR168" s="426"/>
      <c r="AS168" s="426"/>
      <c r="AT168" s="426"/>
      <c r="AU168" s="426"/>
      <c r="AV168" s="426"/>
      <c r="AW168" s="426"/>
      <c r="AX168" s="426"/>
      <c r="AY168" s="426"/>
    </row>
    <row r="169" spans="1:51" x14ac:dyDescent="0.25">
      <c r="A169" s="424" t="s">
        <v>122</v>
      </c>
      <c r="B169" s="425" t="s">
        <v>528</v>
      </c>
      <c r="C169" s="425" t="s">
        <v>474</v>
      </c>
      <c r="D169" s="425" t="s">
        <v>475</v>
      </c>
      <c r="E169" s="425" t="s">
        <v>273</v>
      </c>
      <c r="F169" s="167"/>
      <c r="G169" s="167"/>
      <c r="H169" s="445">
        <v>2030</v>
      </c>
      <c r="I169" s="176">
        <v>293.69378876107845</v>
      </c>
      <c r="J169" s="471" t="s">
        <v>256</v>
      </c>
      <c r="K169" s="470">
        <f t="shared" si="16"/>
        <v>238.18242391622894</v>
      </c>
      <c r="L169" s="470">
        <f t="shared" si="16"/>
        <v>248.74327600093639</v>
      </c>
      <c r="M169" s="470">
        <f t="shared" si="16"/>
        <v>239.40735350518432</v>
      </c>
      <c r="N169" s="470">
        <f t="shared" si="16"/>
        <v>239.42323169693614</v>
      </c>
      <c r="O169" s="470">
        <f t="shared" si="16"/>
        <v>293.82932325119731</v>
      </c>
      <c r="P169" s="470">
        <f t="shared" si="16"/>
        <v>244.03731174031168</v>
      </c>
      <c r="Q169" s="470">
        <f t="shared" si="16"/>
        <v>250.66257368442436</v>
      </c>
      <c r="R169" s="470">
        <f t="shared" si="16"/>
        <v>242.09618836872727</v>
      </c>
      <c r="S169" s="470">
        <f t="shared" si="16"/>
        <v>253.03161103370923</v>
      </c>
      <c r="T169" s="470">
        <f t="shared" si="16"/>
        <v>295.12663220533216</v>
      </c>
      <c r="U169" s="470">
        <f t="shared" si="17"/>
        <v>249.4371452751962</v>
      </c>
      <c r="V169" s="470">
        <f t="shared" si="17"/>
        <v>253.60556995752088</v>
      </c>
      <c r="W169" s="470">
        <f t="shared" si="17"/>
        <v>251.63589343587378</v>
      </c>
      <c r="X169" s="470">
        <f t="shared" si="17"/>
        <v>319.61697643680418</v>
      </c>
      <c r="Y169" s="470">
        <f t="shared" si="17"/>
        <v>273.43023206149837</v>
      </c>
      <c r="Z169" s="470">
        <f t="shared" si="17"/>
        <v>293.69378876107845</v>
      </c>
      <c r="AA169" s="470">
        <f t="shared" si="17"/>
        <v>293.69378876107845</v>
      </c>
      <c r="AB169" s="470">
        <f t="shared" si="17"/>
        <v>248.96909680796304</v>
      </c>
      <c r="AC169" s="470">
        <f t="shared" si="17"/>
        <v>242.98263068607238</v>
      </c>
      <c r="AD169" s="470">
        <f t="shared" si="17"/>
        <v>285.64668281544243</v>
      </c>
      <c r="AE169" s="470">
        <f t="shared" si="18"/>
        <v>249.4371452751962</v>
      </c>
      <c r="AF169" s="470">
        <f t="shared" si="18"/>
        <v>268.60904167159811</v>
      </c>
      <c r="AG169" s="470">
        <f t="shared" si="18"/>
        <v>256.32253444280201</v>
      </c>
      <c r="AH169" s="470">
        <f t="shared" si="18"/>
        <v>259.14289078468181</v>
      </c>
      <c r="AI169" s="470">
        <f t="shared" si="18"/>
        <v>239.40735350518432</v>
      </c>
      <c r="AJ169" s="470">
        <f t="shared" si="18"/>
        <v>270.20937320304739</v>
      </c>
      <c r="AK169" s="470">
        <f t="shared" si="18"/>
        <v>286.76340965937123</v>
      </c>
      <c r="AL169" s="470">
        <f t="shared" si="18"/>
        <v>310.54782704847048</v>
      </c>
      <c r="AM169" s="426"/>
      <c r="AN169" s="426"/>
      <c r="AO169" s="426"/>
      <c r="AP169" s="426"/>
      <c r="AQ169" s="426"/>
      <c r="AR169" s="426"/>
      <c r="AS169" s="426"/>
      <c r="AT169" s="426"/>
      <c r="AU169" s="426"/>
      <c r="AV169" s="426"/>
      <c r="AW169" s="426"/>
      <c r="AX169" s="426"/>
      <c r="AY169" s="426"/>
    </row>
    <row r="170" spans="1:51" x14ac:dyDescent="0.25">
      <c r="B170" s="425"/>
      <c r="F170" s="167"/>
      <c r="G170" s="167"/>
      <c r="H170" s="445">
        <v>2050</v>
      </c>
      <c r="I170" s="176">
        <v>275.48163825</v>
      </c>
      <c r="J170" s="471" t="s">
        <v>256</v>
      </c>
      <c r="K170" s="470">
        <f t="shared" si="16"/>
        <v>223.41257069000122</v>
      </c>
      <c r="L170" s="470">
        <f t="shared" si="16"/>
        <v>233.31853719301736</v>
      </c>
      <c r="M170" s="470">
        <f t="shared" si="16"/>
        <v>224.56154156653835</v>
      </c>
      <c r="N170" s="470">
        <f t="shared" si="16"/>
        <v>224.5764351408788</v>
      </c>
      <c r="O170" s="470">
        <f t="shared" si="16"/>
        <v>275.60876815470391</v>
      </c>
      <c r="P170" s="470">
        <f t="shared" si="16"/>
        <v>228.90439295955699</v>
      </c>
      <c r="Q170" s="470">
        <f t="shared" si="16"/>
        <v>235.11881792883781</v>
      </c>
      <c r="R170" s="470">
        <f t="shared" si="16"/>
        <v>227.08363996132297</v>
      </c>
      <c r="S170" s="470">
        <f t="shared" si="16"/>
        <v>237.34094966955143</v>
      </c>
      <c r="T170" s="470">
        <f t="shared" si="16"/>
        <v>276.82563010302448</v>
      </c>
      <c r="U170" s="470">
        <f t="shared" si="17"/>
        <v>233.96937916421047</v>
      </c>
      <c r="V170" s="470">
        <f t="shared" si="17"/>
        <v>237.87931701224139</v>
      </c>
      <c r="W170" s="470">
        <f t="shared" si="17"/>
        <v>236.03178146409493</v>
      </c>
      <c r="X170" s="470">
        <f t="shared" si="17"/>
        <v>299.79731152213947</v>
      </c>
      <c r="Y170" s="470">
        <f t="shared" si="17"/>
        <v>256.47463840870182</v>
      </c>
      <c r="Z170" s="470">
        <f t="shared" si="17"/>
        <v>275.48163825</v>
      </c>
      <c r="AA170" s="470">
        <f t="shared" si="17"/>
        <v>275.48163825</v>
      </c>
      <c r="AB170" s="470">
        <f t="shared" si="17"/>
        <v>233.53035469904313</v>
      </c>
      <c r="AC170" s="470">
        <f t="shared" si="17"/>
        <v>227.91511339093307</v>
      </c>
      <c r="AD170" s="470">
        <f t="shared" si="17"/>
        <v>267.93353878754073</v>
      </c>
      <c r="AE170" s="470">
        <f t="shared" si="18"/>
        <v>233.96937916421047</v>
      </c>
      <c r="AF170" s="470">
        <f t="shared" si="18"/>
        <v>251.95241329618733</v>
      </c>
      <c r="AG170" s="470">
        <f t="shared" si="18"/>
        <v>240.42780069189183</v>
      </c>
      <c r="AH170" s="470">
        <f t="shared" si="18"/>
        <v>243.07326482917352</v>
      </c>
      <c r="AI170" s="470">
        <f t="shared" si="18"/>
        <v>224.56154156653835</v>
      </c>
      <c r="AJ170" s="470">
        <f t="shared" si="18"/>
        <v>253.45350718682261</v>
      </c>
      <c r="AK170" s="470">
        <f t="shared" si="18"/>
        <v>268.98101664446443</v>
      </c>
      <c r="AL170" s="470">
        <f t="shared" si="18"/>
        <v>291.29054622222844</v>
      </c>
      <c r="AM170" s="426"/>
      <c r="AN170" s="426"/>
      <c r="AO170" s="426"/>
      <c r="AP170" s="426"/>
      <c r="AQ170" s="426"/>
      <c r="AR170" s="426"/>
      <c r="AS170" s="426"/>
      <c r="AT170" s="426"/>
      <c r="AU170" s="426"/>
      <c r="AV170" s="426"/>
      <c r="AW170" s="426"/>
      <c r="AX170" s="426"/>
      <c r="AY170" s="426"/>
    </row>
    <row r="171" spans="1:51" x14ac:dyDescent="0.25">
      <c r="A171" s="424" t="s">
        <v>122</v>
      </c>
      <c r="B171" s="512" t="s">
        <v>589</v>
      </c>
      <c r="C171" s="512" t="s">
        <v>0</v>
      </c>
      <c r="D171" s="512" t="s">
        <v>109</v>
      </c>
      <c r="E171" s="425" t="s">
        <v>265</v>
      </c>
      <c r="F171" s="167"/>
      <c r="G171" s="167"/>
      <c r="H171" s="445">
        <v>2020</v>
      </c>
      <c r="I171" s="176">
        <v>205.95532002499999</v>
      </c>
      <c r="J171" s="471" t="s">
        <v>256</v>
      </c>
      <c r="K171" s="470">
        <f>K167</f>
        <v>167.02749332538187</v>
      </c>
      <c r="L171" s="470">
        <f t="shared" ref="L171:AL171" si="19">L167</f>
        <v>174.43338256811296</v>
      </c>
      <c r="M171" s="470">
        <f t="shared" si="19"/>
        <v>167.88648583784058</v>
      </c>
      <c r="N171" s="470">
        <f t="shared" si="19"/>
        <v>167.89762055770461</v>
      </c>
      <c r="O171" s="470">
        <f t="shared" si="19"/>
        <v>206.05036476327859</v>
      </c>
      <c r="P171" s="470">
        <f t="shared" si="19"/>
        <v>171.1332842602402</v>
      </c>
      <c r="Q171" s="470">
        <f t="shared" si="19"/>
        <v>175.77930673727397</v>
      </c>
      <c r="R171" s="470">
        <f t="shared" si="19"/>
        <v>169.77205463775098</v>
      </c>
      <c r="S171" s="470">
        <f t="shared" si="19"/>
        <v>177.44061475295035</v>
      </c>
      <c r="T171" s="470">
        <f t="shared" si="19"/>
        <v>206.96011393416592</v>
      </c>
      <c r="U171" s="470">
        <f t="shared" si="19"/>
        <v>174.91996442276687</v>
      </c>
      <c r="V171" s="470">
        <f t="shared" si="19"/>
        <v>177.8431084329614</v>
      </c>
      <c r="W171" s="470">
        <f t="shared" si="19"/>
        <v>176.46185566601383</v>
      </c>
      <c r="X171" s="470">
        <f t="shared" si="19"/>
        <v>224.13418051893282</v>
      </c>
      <c r="Y171" s="470">
        <f t="shared" si="19"/>
        <v>191.74532490555328</v>
      </c>
      <c r="Z171" s="470">
        <f t="shared" si="19"/>
        <v>205.95532002499999</v>
      </c>
      <c r="AA171" s="470">
        <f t="shared" si="19"/>
        <v>205.95532002499999</v>
      </c>
      <c r="AB171" s="470">
        <f t="shared" si="19"/>
        <v>174.591741370237</v>
      </c>
      <c r="AC171" s="470">
        <f t="shared" si="19"/>
        <v>170.39368001131663</v>
      </c>
      <c r="AD171" s="470">
        <f t="shared" si="19"/>
        <v>200.31221709354236</v>
      </c>
      <c r="AE171" s="470">
        <f t="shared" si="19"/>
        <v>174.91996442276687</v>
      </c>
      <c r="AF171" s="470">
        <f t="shared" si="19"/>
        <v>188.36442327381621</v>
      </c>
      <c r="AG171" s="470">
        <f t="shared" si="19"/>
        <v>179.74840337441438</v>
      </c>
      <c r="AH171" s="470">
        <f t="shared" si="19"/>
        <v>181.72620275323925</v>
      </c>
      <c r="AI171" s="470">
        <f t="shared" si="19"/>
        <v>167.88648583784058</v>
      </c>
      <c r="AJ171" s="470">
        <f t="shared" si="19"/>
        <v>189.48666965871973</v>
      </c>
      <c r="AK171" s="470">
        <f t="shared" si="19"/>
        <v>201.09533149133767</v>
      </c>
      <c r="AL171" s="470">
        <f t="shared" si="19"/>
        <v>217.77436074709459</v>
      </c>
      <c r="AM171" s="426"/>
      <c r="AN171" s="426"/>
      <c r="AO171" s="426"/>
      <c r="AP171" s="426"/>
      <c r="AQ171" s="426"/>
      <c r="AR171" s="426"/>
      <c r="AS171" s="426"/>
      <c r="AT171" s="426"/>
      <c r="AU171" s="426"/>
      <c r="AV171" s="426"/>
      <c r="AW171" s="426"/>
      <c r="AX171" s="426"/>
      <c r="AY171" s="426"/>
    </row>
    <row r="172" spans="1:51" x14ac:dyDescent="0.25">
      <c r="A172" s="424" t="s">
        <v>122</v>
      </c>
      <c r="B172" s="425" t="s">
        <v>529</v>
      </c>
      <c r="C172" s="425" t="s">
        <v>22</v>
      </c>
      <c r="D172" s="425" t="s">
        <v>111</v>
      </c>
      <c r="E172" s="425" t="s">
        <v>270</v>
      </c>
      <c r="F172" s="167"/>
      <c r="G172" s="167"/>
      <c r="H172" s="445">
        <v>2020</v>
      </c>
      <c r="I172" s="176">
        <v>1593.7967500000002</v>
      </c>
      <c r="J172" s="471" t="s">
        <v>256</v>
      </c>
      <c r="K172" s="470">
        <f t="shared" ref="K172:T173" si="20">$I172*K$245</f>
        <v>1292.5515883266651</v>
      </c>
      <c r="L172" s="470">
        <f t="shared" si="20"/>
        <v>1349.8624759720633</v>
      </c>
      <c r="M172" s="470">
        <f t="shared" si="20"/>
        <v>1299.1989498731639</v>
      </c>
      <c r="N172" s="470">
        <f t="shared" si="20"/>
        <v>1299.2851165248887</v>
      </c>
      <c r="O172" s="470">
        <f t="shared" si="20"/>
        <v>1594.5322590169785</v>
      </c>
      <c r="P172" s="470">
        <f t="shared" si="20"/>
        <v>1324.3244808519098</v>
      </c>
      <c r="Q172" s="470">
        <f t="shared" si="20"/>
        <v>1360.2779853470813</v>
      </c>
      <c r="R172" s="470">
        <f t="shared" si="20"/>
        <v>1313.7905293712502</v>
      </c>
      <c r="S172" s="470">
        <f t="shared" si="20"/>
        <v>1373.1341102377255</v>
      </c>
      <c r="T172" s="470">
        <f t="shared" si="20"/>
        <v>1601.57240380032</v>
      </c>
      <c r="U172" s="470">
        <f t="shared" ref="U172:AD173" si="21">$I172*U$245</f>
        <v>1353.627916837889</v>
      </c>
      <c r="V172" s="470">
        <f t="shared" si="21"/>
        <v>1376.2488300663722</v>
      </c>
      <c r="W172" s="470">
        <f t="shared" si="21"/>
        <v>1365.5599283637002</v>
      </c>
      <c r="X172" s="470">
        <f t="shared" si="21"/>
        <v>1734.4748775201663</v>
      </c>
      <c r="Y172" s="470">
        <f t="shared" si="21"/>
        <v>1483.8319089065974</v>
      </c>
      <c r="Z172" s="470">
        <f t="shared" si="21"/>
        <v>1593.7967500000002</v>
      </c>
      <c r="AA172" s="470">
        <f t="shared" si="21"/>
        <v>1593.7967500000002</v>
      </c>
      <c r="AB172" s="470">
        <f t="shared" si="21"/>
        <v>1351.0879444092395</v>
      </c>
      <c r="AC172" s="470">
        <f t="shared" si="21"/>
        <v>1318.6010120525725</v>
      </c>
      <c r="AD172" s="470">
        <f t="shared" si="21"/>
        <v>1550.1272827049534</v>
      </c>
      <c r="AE172" s="470">
        <f t="shared" ref="AE172:AL173" si="22">$I172*AE$245</f>
        <v>1353.627916837889</v>
      </c>
      <c r="AF172" s="470">
        <f t="shared" si="22"/>
        <v>1457.6686127505277</v>
      </c>
      <c r="AG172" s="470">
        <f t="shared" si="22"/>
        <v>1390.9930614128145</v>
      </c>
      <c r="AH172" s="470">
        <f t="shared" si="22"/>
        <v>1406.2983723984228</v>
      </c>
      <c r="AI172" s="470">
        <f t="shared" si="22"/>
        <v>1299.1989498731639</v>
      </c>
      <c r="AJ172" s="470">
        <f t="shared" si="22"/>
        <v>1466.3531790959921</v>
      </c>
      <c r="AK172" s="470">
        <f t="shared" si="22"/>
        <v>1556.1874572220906</v>
      </c>
      <c r="AL172" s="470">
        <f t="shared" si="22"/>
        <v>1685.2590569154295</v>
      </c>
      <c r="AM172" s="426"/>
      <c r="AN172" s="426"/>
      <c r="AO172" s="426"/>
      <c r="AP172" s="426"/>
      <c r="AQ172" s="426"/>
      <c r="AR172" s="426"/>
      <c r="AS172" s="426"/>
      <c r="AT172" s="426"/>
      <c r="AU172" s="426"/>
      <c r="AV172" s="426"/>
      <c r="AW172" s="426"/>
      <c r="AX172" s="426"/>
      <c r="AY172" s="426"/>
    </row>
    <row r="173" spans="1:51" x14ac:dyDescent="0.25">
      <c r="B173" s="425"/>
      <c r="F173" s="167"/>
      <c r="G173" s="167"/>
      <c r="H173" s="445">
        <v>2030</v>
      </c>
      <c r="I173" s="176">
        <v>1762.8357992424246</v>
      </c>
      <c r="J173" s="471" t="s">
        <v>256</v>
      </c>
      <c r="K173" s="470">
        <f t="shared" si="20"/>
        <v>1429.6403931491902</v>
      </c>
      <c r="L173" s="470">
        <f t="shared" si="20"/>
        <v>1493.0297082721306</v>
      </c>
      <c r="M173" s="470">
        <f t="shared" si="20"/>
        <v>1436.9927778900146</v>
      </c>
      <c r="N173" s="470">
        <f t="shared" si="20"/>
        <v>1437.0880834290435</v>
      </c>
      <c r="O173" s="470">
        <f t="shared" si="20"/>
        <v>1763.6493167915069</v>
      </c>
      <c r="P173" s="470">
        <f t="shared" si="20"/>
        <v>1464.7831379119609</v>
      </c>
      <c r="Q173" s="470">
        <f t="shared" si="20"/>
        <v>1504.5498928838933</v>
      </c>
      <c r="R173" s="470">
        <f t="shared" si="20"/>
        <v>1453.1319491530496</v>
      </c>
      <c r="S173" s="470">
        <f t="shared" si="20"/>
        <v>1518.7695461720298</v>
      </c>
      <c r="T173" s="470">
        <f t="shared" si="20"/>
        <v>1771.4361435973237</v>
      </c>
      <c r="U173" s="470">
        <f t="shared" si="21"/>
        <v>1497.1945140782711</v>
      </c>
      <c r="V173" s="470">
        <f t="shared" si="21"/>
        <v>1522.2146150734118</v>
      </c>
      <c r="W173" s="470">
        <f t="shared" si="21"/>
        <v>1510.3920419780322</v>
      </c>
      <c r="X173" s="470">
        <f t="shared" si="21"/>
        <v>1918.4343342268508</v>
      </c>
      <c r="Y173" s="470">
        <f t="shared" si="21"/>
        <v>1641.2080204572972</v>
      </c>
      <c r="Z173" s="470">
        <f t="shared" si="21"/>
        <v>1762.8357992424246</v>
      </c>
      <c r="AA173" s="470">
        <f t="shared" si="21"/>
        <v>1762.8357992424246</v>
      </c>
      <c r="AB173" s="470">
        <f t="shared" si="21"/>
        <v>1494.385150634462</v>
      </c>
      <c r="AC173" s="470">
        <f t="shared" si="21"/>
        <v>1458.452634542997</v>
      </c>
      <c r="AD173" s="470">
        <f t="shared" si="21"/>
        <v>1714.5347217797212</v>
      </c>
      <c r="AE173" s="470">
        <f t="shared" si="22"/>
        <v>1497.1945140782711</v>
      </c>
      <c r="AF173" s="470">
        <f t="shared" si="22"/>
        <v>1612.2698292543716</v>
      </c>
      <c r="AG173" s="470">
        <f t="shared" si="22"/>
        <v>1538.5226285323556</v>
      </c>
      <c r="AH173" s="470">
        <f t="shared" si="22"/>
        <v>1555.4512300770436</v>
      </c>
      <c r="AI173" s="470">
        <f t="shared" si="22"/>
        <v>1436.9927778900146</v>
      </c>
      <c r="AJ173" s="470">
        <f t="shared" si="22"/>
        <v>1621.8754859698095</v>
      </c>
      <c r="AK173" s="470">
        <f t="shared" si="22"/>
        <v>1721.2376420789792</v>
      </c>
      <c r="AL173" s="470">
        <f t="shared" si="22"/>
        <v>1863.9986538610056</v>
      </c>
      <c r="AM173" s="426"/>
      <c r="AN173" s="426"/>
      <c r="AO173" s="426"/>
      <c r="AP173" s="426"/>
      <c r="AQ173" s="426"/>
      <c r="AR173" s="426"/>
      <c r="AS173" s="426"/>
      <c r="AT173" s="426"/>
      <c r="AU173" s="426"/>
      <c r="AV173" s="426"/>
      <c r="AW173" s="426"/>
      <c r="AX173" s="426"/>
      <c r="AY173" s="426"/>
    </row>
    <row r="174" spans="1:51" x14ac:dyDescent="0.25">
      <c r="B174" s="425"/>
      <c r="F174" s="167"/>
      <c r="G174" s="167"/>
      <c r="H174" s="445">
        <v>2050</v>
      </c>
      <c r="I174" s="176">
        <v>1377.0403920000003</v>
      </c>
      <c r="J174" s="473" t="s">
        <v>256</v>
      </c>
      <c r="K174" s="495">
        <f t="shared" ref="K174" si="23">$I174*K$245</f>
        <v>1116.7645723142386</v>
      </c>
      <c r="L174" s="479">
        <f t="shared" ref="L174:U183" si="24">$I174*L$245</f>
        <v>1166.2811792398627</v>
      </c>
      <c r="M174" s="479">
        <f t="shared" si="24"/>
        <v>1122.5078926904137</v>
      </c>
      <c r="N174" s="479">
        <f t="shared" si="24"/>
        <v>1122.5823406775039</v>
      </c>
      <c r="O174" s="479">
        <f t="shared" si="24"/>
        <v>1377.6758717906696</v>
      </c>
      <c r="P174" s="479">
        <f t="shared" si="24"/>
        <v>1144.2163514560502</v>
      </c>
      <c r="Q174" s="479">
        <f t="shared" si="24"/>
        <v>1175.2801793398785</v>
      </c>
      <c r="R174" s="479">
        <f t="shared" si="24"/>
        <v>1135.1150173767603</v>
      </c>
      <c r="S174" s="479">
        <f t="shared" si="24"/>
        <v>1186.387871245395</v>
      </c>
      <c r="T174" s="479">
        <f t="shared" si="24"/>
        <v>1383.7585568834766</v>
      </c>
      <c r="U174" s="479">
        <f t="shared" si="24"/>
        <v>1169.5345201479361</v>
      </c>
      <c r="V174" s="479">
        <f t="shared" ref="V174:AE183" si="25">$I174*V$245</f>
        <v>1189.0789891773456</v>
      </c>
      <c r="W174" s="479">
        <f t="shared" si="25"/>
        <v>1179.8437781062371</v>
      </c>
      <c r="X174" s="479">
        <f t="shared" si="25"/>
        <v>1498.5862941774237</v>
      </c>
      <c r="Y174" s="479">
        <f t="shared" si="25"/>
        <v>1282.0307692953002</v>
      </c>
      <c r="Z174" s="479">
        <f t="shared" si="25"/>
        <v>1377.0403920000003</v>
      </c>
      <c r="AA174" s="479">
        <f t="shared" si="25"/>
        <v>1377.0403920000003</v>
      </c>
      <c r="AB174" s="479">
        <f t="shared" si="25"/>
        <v>1167.339983969583</v>
      </c>
      <c r="AC174" s="479">
        <f t="shared" si="25"/>
        <v>1139.2712744134228</v>
      </c>
      <c r="AD174" s="479">
        <f t="shared" si="25"/>
        <v>1339.3099722570798</v>
      </c>
      <c r="AE174" s="479">
        <f t="shared" si="25"/>
        <v>1169.5345201479361</v>
      </c>
      <c r="AF174" s="479">
        <f t="shared" ref="AF174:AL183" si="26">$I174*AF$245</f>
        <v>1259.425681416456</v>
      </c>
      <c r="AG174" s="479">
        <f t="shared" si="26"/>
        <v>1201.818005060672</v>
      </c>
      <c r="AH174" s="479">
        <f t="shared" si="26"/>
        <v>1215.0417937522375</v>
      </c>
      <c r="AI174" s="479">
        <f t="shared" si="26"/>
        <v>1122.5078926904137</v>
      </c>
      <c r="AJ174" s="479">
        <f t="shared" si="26"/>
        <v>1266.9291467389373</v>
      </c>
      <c r="AK174" s="479">
        <f t="shared" si="26"/>
        <v>1344.5459630398866</v>
      </c>
      <c r="AL174" s="479">
        <f t="shared" si="26"/>
        <v>1456.0638251749313</v>
      </c>
      <c r="AM174" s="426"/>
      <c r="AN174" s="426"/>
      <c r="AO174" s="426"/>
      <c r="AP174" s="426"/>
      <c r="AQ174" s="426"/>
      <c r="AR174" s="426"/>
      <c r="AS174" s="426"/>
      <c r="AT174" s="426"/>
      <c r="AU174" s="426"/>
      <c r="AV174" s="426"/>
      <c r="AW174" s="426"/>
      <c r="AX174" s="426"/>
      <c r="AY174" s="426"/>
    </row>
    <row r="175" spans="1:51" x14ac:dyDescent="0.25">
      <c r="A175" s="448" t="s">
        <v>124</v>
      </c>
      <c r="B175" s="449" t="s">
        <v>556</v>
      </c>
      <c r="C175" s="449" t="s">
        <v>19</v>
      </c>
      <c r="D175" s="449" t="s">
        <v>105</v>
      </c>
      <c r="E175" s="449" t="s">
        <v>249</v>
      </c>
      <c r="F175" s="474"/>
      <c r="G175" s="474"/>
      <c r="H175" s="452">
        <v>2020</v>
      </c>
      <c r="I175" s="475">
        <v>248.63229300000003</v>
      </c>
      <c r="J175" s="471" t="s">
        <v>256</v>
      </c>
      <c r="K175" s="470">
        <f t="shared" ref="K175:K220" si="27">$I175*K$245</f>
        <v>201.63804777895976</v>
      </c>
      <c r="L175" s="470">
        <f t="shared" si="24"/>
        <v>210.57854625164185</v>
      </c>
      <c r="M175" s="470">
        <f t="shared" si="24"/>
        <v>202.67503618021354</v>
      </c>
      <c r="N175" s="470">
        <f t="shared" si="24"/>
        <v>202.68847817788262</v>
      </c>
      <c r="O175" s="470">
        <f t="shared" si="24"/>
        <v>248.74703240664866</v>
      </c>
      <c r="P175" s="470">
        <f t="shared" si="24"/>
        <v>206.59461901289791</v>
      </c>
      <c r="Q175" s="470">
        <f t="shared" si="24"/>
        <v>212.2033657141447</v>
      </c>
      <c r="R175" s="470">
        <f t="shared" si="24"/>
        <v>204.95132258191504</v>
      </c>
      <c r="S175" s="470">
        <f t="shared" si="24"/>
        <v>214.20892119708517</v>
      </c>
      <c r="T175" s="470">
        <f t="shared" si="24"/>
        <v>249.84529499284992</v>
      </c>
      <c r="U175" s="470">
        <f t="shared" si="24"/>
        <v>211.16595502671066</v>
      </c>
      <c r="V175" s="470">
        <f t="shared" si="25"/>
        <v>214.69481749035407</v>
      </c>
      <c r="W175" s="470">
        <f t="shared" si="25"/>
        <v>213.02734882473723</v>
      </c>
      <c r="X175" s="470">
        <f t="shared" si="25"/>
        <v>270.57808089314591</v>
      </c>
      <c r="Y175" s="470">
        <f t="shared" si="25"/>
        <v>231.47777778942918</v>
      </c>
      <c r="Z175" s="470">
        <f t="shared" si="25"/>
        <v>248.63229300000003</v>
      </c>
      <c r="AA175" s="470">
        <f t="shared" si="25"/>
        <v>248.63229300000003</v>
      </c>
      <c r="AB175" s="470">
        <f t="shared" si="25"/>
        <v>210.76971932784136</v>
      </c>
      <c r="AC175" s="470">
        <f t="shared" si="25"/>
        <v>205.70175788020131</v>
      </c>
      <c r="AD175" s="470">
        <f t="shared" si="25"/>
        <v>241.8198561019727</v>
      </c>
      <c r="AE175" s="470">
        <f t="shared" si="25"/>
        <v>211.16595502671066</v>
      </c>
      <c r="AF175" s="470">
        <f t="shared" si="26"/>
        <v>227.39630358908229</v>
      </c>
      <c r="AG175" s="470">
        <f t="shared" si="26"/>
        <v>216.99491758039906</v>
      </c>
      <c r="AH175" s="470">
        <f t="shared" si="26"/>
        <v>219.38254609415398</v>
      </c>
      <c r="AI175" s="470">
        <f t="shared" si="26"/>
        <v>202.67503618021354</v>
      </c>
      <c r="AJ175" s="470">
        <f t="shared" si="26"/>
        <v>228.75109593897477</v>
      </c>
      <c r="AK175" s="470">
        <f t="shared" si="26"/>
        <v>242.76524332664616</v>
      </c>
      <c r="AL175" s="470">
        <f t="shared" si="26"/>
        <v>262.900412878807</v>
      </c>
      <c r="AM175" s="426"/>
      <c r="AN175" s="426"/>
      <c r="AO175" s="426"/>
      <c r="AP175" s="426"/>
      <c r="AQ175" s="426"/>
      <c r="AR175" s="426"/>
      <c r="AS175" s="426"/>
      <c r="AT175" s="426"/>
      <c r="AU175" s="426"/>
      <c r="AV175" s="426"/>
      <c r="AW175" s="426"/>
      <c r="AX175" s="426"/>
      <c r="AY175" s="426"/>
    </row>
    <row r="176" spans="1:51" x14ac:dyDescent="0.25">
      <c r="A176" s="424" t="s">
        <v>124</v>
      </c>
      <c r="B176" s="425" t="s">
        <v>557</v>
      </c>
      <c r="C176" s="425" t="s">
        <v>19</v>
      </c>
      <c r="D176" s="425" t="s">
        <v>105</v>
      </c>
      <c r="E176" s="425" t="s">
        <v>250</v>
      </c>
      <c r="F176" s="476"/>
      <c r="G176" s="476"/>
      <c r="H176" s="445">
        <v>2030</v>
      </c>
      <c r="I176" s="477">
        <v>334.05979880000007</v>
      </c>
      <c r="J176" s="471" t="s">
        <v>256</v>
      </c>
      <c r="K176" s="470">
        <f t="shared" si="27"/>
        <v>270.91881291326899</v>
      </c>
      <c r="L176" s="470">
        <f t="shared" si="24"/>
        <v>282.93117496374447</v>
      </c>
      <c r="M176" s="470">
        <f t="shared" si="24"/>
        <v>272.31209989341517</v>
      </c>
      <c r="N176" s="470">
        <f t="shared" si="24"/>
        <v>272.33016042361669</v>
      </c>
      <c r="O176" s="470">
        <f t="shared" si="24"/>
        <v>334.21396148995876</v>
      </c>
      <c r="P176" s="470">
        <f t="shared" si="24"/>
        <v>277.57841118656029</v>
      </c>
      <c r="Q176" s="470">
        <f t="shared" si="24"/>
        <v>285.11426572874831</v>
      </c>
      <c r="R176" s="470">
        <f t="shared" si="24"/>
        <v>275.37049495621403</v>
      </c>
      <c r="S176" s="470">
        <f t="shared" si="24"/>
        <v>287.80890950582727</v>
      </c>
      <c r="T176" s="470">
        <f t="shared" si="24"/>
        <v>335.68957583654708</v>
      </c>
      <c r="U176" s="470">
        <f t="shared" si="24"/>
        <v>283.72041136922155</v>
      </c>
      <c r="V176" s="470">
        <f t="shared" si="25"/>
        <v>288.46175478191162</v>
      </c>
      <c r="W176" s="470">
        <f t="shared" si="25"/>
        <v>286.22136098503159</v>
      </c>
      <c r="X176" s="470">
        <f t="shared" si="25"/>
        <v>363.54593432822685</v>
      </c>
      <c r="Y176" s="470">
        <f t="shared" si="25"/>
        <v>311.01116810682282</v>
      </c>
      <c r="Z176" s="470">
        <f t="shared" si="25"/>
        <v>334.05979880000007</v>
      </c>
      <c r="AA176" s="470">
        <f t="shared" si="25"/>
        <v>334.05979880000007</v>
      </c>
      <c r="AB176" s="470">
        <f t="shared" si="25"/>
        <v>283.1880331481766</v>
      </c>
      <c r="AC176" s="470">
        <f t="shared" si="25"/>
        <v>276.37877212621919</v>
      </c>
      <c r="AD176" s="470">
        <f t="shared" si="25"/>
        <v>324.90667845495824</v>
      </c>
      <c r="AE176" s="470">
        <f t="shared" si="25"/>
        <v>283.72041136922155</v>
      </c>
      <c r="AF176" s="470">
        <f t="shared" si="26"/>
        <v>305.52734123251059</v>
      </c>
      <c r="AG176" s="470">
        <f t="shared" si="26"/>
        <v>291.55214567212596</v>
      </c>
      <c r="AH176" s="470">
        <f t="shared" si="26"/>
        <v>294.76013885470945</v>
      </c>
      <c r="AI176" s="470">
        <f t="shared" si="26"/>
        <v>272.31209989341517</v>
      </c>
      <c r="AJ176" s="470">
        <f t="shared" si="26"/>
        <v>307.34762633851994</v>
      </c>
      <c r="AK176" s="470">
        <f t="shared" si="26"/>
        <v>326.17689103375022</v>
      </c>
      <c r="AL176" s="470">
        <f t="shared" si="26"/>
        <v>353.23029832947407</v>
      </c>
      <c r="AM176" s="426"/>
      <c r="AN176" s="426"/>
      <c r="AO176" s="426"/>
      <c r="AP176" s="426"/>
      <c r="AQ176" s="426"/>
      <c r="AR176" s="426"/>
      <c r="AS176" s="426"/>
      <c r="AT176" s="426"/>
      <c r="AU176" s="426"/>
      <c r="AV176" s="426"/>
      <c r="AW176" s="426"/>
      <c r="AX176" s="426"/>
      <c r="AY176" s="426"/>
    </row>
    <row r="177" spans="1:51" x14ac:dyDescent="0.25">
      <c r="B177" s="425"/>
      <c r="F177" s="476"/>
      <c r="G177" s="476"/>
      <c r="H177" s="445">
        <v>2050</v>
      </c>
      <c r="I177" s="477">
        <v>318.75935000000004</v>
      </c>
      <c r="J177" s="471" t="s">
        <v>256</v>
      </c>
      <c r="K177" s="470">
        <f t="shared" si="27"/>
        <v>258.51031766533299</v>
      </c>
      <c r="L177" s="470">
        <f t="shared" si="24"/>
        <v>269.97249519441266</v>
      </c>
      <c r="M177" s="470">
        <f t="shared" si="24"/>
        <v>259.83978997463277</v>
      </c>
      <c r="N177" s="470">
        <f t="shared" si="24"/>
        <v>259.8570233049777</v>
      </c>
      <c r="O177" s="470">
        <f t="shared" si="24"/>
        <v>318.90645180339573</v>
      </c>
      <c r="P177" s="470">
        <f t="shared" si="24"/>
        <v>264.86489617038194</v>
      </c>
      <c r="Q177" s="470">
        <f t="shared" si="24"/>
        <v>272.05559706941631</v>
      </c>
      <c r="R177" s="470">
        <f t="shared" si="24"/>
        <v>262.75810587425002</v>
      </c>
      <c r="S177" s="470">
        <f t="shared" si="24"/>
        <v>274.62682204754509</v>
      </c>
      <c r="T177" s="470">
        <f t="shared" si="24"/>
        <v>320.31448076006399</v>
      </c>
      <c r="U177" s="470">
        <f t="shared" si="24"/>
        <v>270.72558336757777</v>
      </c>
      <c r="V177" s="470">
        <f t="shared" si="25"/>
        <v>275.24976601327444</v>
      </c>
      <c r="W177" s="470">
        <f t="shared" si="25"/>
        <v>273.11198567274005</v>
      </c>
      <c r="X177" s="470">
        <f t="shared" si="25"/>
        <v>346.89497550403325</v>
      </c>
      <c r="Y177" s="470">
        <f t="shared" si="25"/>
        <v>296.76638178131947</v>
      </c>
      <c r="Z177" s="470">
        <f t="shared" si="25"/>
        <v>318.75935000000004</v>
      </c>
      <c r="AA177" s="470">
        <f t="shared" si="25"/>
        <v>318.75935000000004</v>
      </c>
      <c r="AB177" s="470">
        <f t="shared" si="25"/>
        <v>270.21758888184792</v>
      </c>
      <c r="AC177" s="470">
        <f t="shared" si="25"/>
        <v>263.7202024105145</v>
      </c>
      <c r="AD177" s="470">
        <f t="shared" si="25"/>
        <v>310.02545654099066</v>
      </c>
      <c r="AE177" s="470">
        <f t="shared" si="25"/>
        <v>270.72558336757777</v>
      </c>
      <c r="AF177" s="470">
        <f t="shared" si="26"/>
        <v>291.53372255010549</v>
      </c>
      <c r="AG177" s="470">
        <f t="shared" si="26"/>
        <v>278.19861228256292</v>
      </c>
      <c r="AH177" s="470">
        <f t="shared" si="26"/>
        <v>281.25967447968458</v>
      </c>
      <c r="AI177" s="470">
        <f t="shared" si="26"/>
        <v>259.83978997463277</v>
      </c>
      <c r="AJ177" s="470">
        <f t="shared" si="26"/>
        <v>293.27063581919839</v>
      </c>
      <c r="AK177" s="470">
        <f t="shared" si="26"/>
        <v>311.23749144441814</v>
      </c>
      <c r="AL177" s="470">
        <f t="shared" si="26"/>
        <v>337.05181138308592</v>
      </c>
      <c r="AM177" s="426"/>
      <c r="AN177" s="426"/>
      <c r="AO177" s="426"/>
      <c r="AP177" s="426"/>
      <c r="AQ177" s="426"/>
      <c r="AR177" s="426"/>
      <c r="AS177" s="426"/>
      <c r="AT177" s="426"/>
      <c r="AU177" s="426"/>
      <c r="AV177" s="426"/>
      <c r="AW177" s="426"/>
      <c r="AX177" s="426"/>
      <c r="AY177" s="426"/>
    </row>
    <row r="178" spans="1:51" x14ac:dyDescent="0.25">
      <c r="A178" s="424" t="s">
        <v>124</v>
      </c>
      <c r="B178" s="425" t="s">
        <v>558</v>
      </c>
      <c r="C178" s="425" t="s">
        <v>19</v>
      </c>
      <c r="D178" s="425" t="s">
        <v>105</v>
      </c>
      <c r="E178" s="425" t="s">
        <v>251</v>
      </c>
      <c r="F178" s="168"/>
      <c r="G178" s="168"/>
      <c r="H178" s="445">
        <v>2030</v>
      </c>
      <c r="I178" s="195">
        <v>449.92082380623623</v>
      </c>
      <c r="J178" s="471" t="s">
        <v>256</v>
      </c>
      <c r="K178" s="470">
        <f t="shared" si="27"/>
        <v>364.88082651190763</v>
      </c>
      <c r="L178" s="470">
        <f t="shared" si="24"/>
        <v>381.05940247053229</v>
      </c>
      <c r="M178" s="470">
        <f t="shared" si="24"/>
        <v>366.75734331565855</v>
      </c>
      <c r="N178" s="470">
        <f t="shared" si="24"/>
        <v>366.78166772899959</v>
      </c>
      <c r="O178" s="470">
        <f t="shared" si="24"/>
        <v>450.12845431046196</v>
      </c>
      <c r="P178" s="470">
        <f t="shared" si="24"/>
        <v>373.85015461454373</v>
      </c>
      <c r="Q178" s="470">
        <f t="shared" si="24"/>
        <v>383.99964849523388</v>
      </c>
      <c r="R178" s="470">
        <f t="shared" si="24"/>
        <v>370.87647297783985</v>
      </c>
      <c r="S178" s="470">
        <f t="shared" si="24"/>
        <v>387.62886803138514</v>
      </c>
      <c r="T178" s="470">
        <f t="shared" si="24"/>
        <v>452.11585185072931</v>
      </c>
      <c r="U178" s="470">
        <f t="shared" si="24"/>
        <v>382.1223675294998</v>
      </c>
      <c r="V178" s="470">
        <f t="shared" si="25"/>
        <v>388.50813780730255</v>
      </c>
      <c r="W178" s="470">
        <f t="shared" si="25"/>
        <v>385.49071450056658</v>
      </c>
      <c r="X178" s="470">
        <f t="shared" si="25"/>
        <v>489.63355318994957</v>
      </c>
      <c r="Y178" s="470">
        <f t="shared" si="25"/>
        <v>418.87830104135691</v>
      </c>
      <c r="Z178" s="470">
        <f t="shared" si="25"/>
        <v>449.92082380623623</v>
      </c>
      <c r="AA178" s="470">
        <f t="shared" si="25"/>
        <v>449.92082380623623</v>
      </c>
      <c r="AB178" s="470">
        <f t="shared" si="25"/>
        <v>381.40534606014177</v>
      </c>
      <c r="AC178" s="470">
        <f t="shared" si="25"/>
        <v>372.23444809661595</v>
      </c>
      <c r="AD178" s="470">
        <f t="shared" si="25"/>
        <v>437.5931523509098</v>
      </c>
      <c r="AE178" s="470">
        <f t="shared" si="25"/>
        <v>382.1223675294998</v>
      </c>
      <c r="AF178" s="470">
        <f t="shared" si="26"/>
        <v>411.4925338411004</v>
      </c>
      <c r="AG178" s="470">
        <f t="shared" si="26"/>
        <v>392.67036032016756</v>
      </c>
      <c r="AH178" s="470">
        <f t="shared" si="26"/>
        <v>396.99097279930299</v>
      </c>
      <c r="AI178" s="470">
        <f t="shared" si="26"/>
        <v>366.75734331565855</v>
      </c>
      <c r="AJ178" s="470">
        <f t="shared" si="26"/>
        <v>413.94414333556779</v>
      </c>
      <c r="AK178" s="470">
        <f t="shared" si="26"/>
        <v>439.30390920316216</v>
      </c>
      <c r="AL178" s="470">
        <f t="shared" si="26"/>
        <v>475.74017403054103</v>
      </c>
      <c r="AM178" s="426"/>
      <c r="AN178" s="426"/>
      <c r="AO178" s="426"/>
      <c r="AP178" s="426"/>
      <c r="AQ178" s="426"/>
      <c r="AR178" s="426"/>
      <c r="AS178" s="426"/>
      <c r="AT178" s="426"/>
      <c r="AU178" s="426"/>
      <c r="AV178" s="426"/>
      <c r="AW178" s="426"/>
      <c r="AX178" s="426"/>
      <c r="AY178" s="426"/>
    </row>
    <row r="179" spans="1:51" x14ac:dyDescent="0.25">
      <c r="B179" s="425"/>
      <c r="F179" s="168"/>
      <c r="G179" s="168"/>
      <c r="H179" s="445">
        <v>2050</v>
      </c>
      <c r="I179" s="478">
        <v>443.27174759235106</v>
      </c>
      <c r="J179" s="471" t="s">
        <v>256</v>
      </c>
      <c r="K179" s="470">
        <f t="shared" si="27"/>
        <v>359.48849902651006</v>
      </c>
      <c r="L179" s="470">
        <f t="shared" si="24"/>
        <v>375.42798272958856</v>
      </c>
      <c r="M179" s="470">
        <f t="shared" si="24"/>
        <v>361.33728405483606</v>
      </c>
      <c r="N179" s="470">
        <f t="shared" si="24"/>
        <v>361.36124899408838</v>
      </c>
      <c r="O179" s="470">
        <f t="shared" si="24"/>
        <v>443.47630966547985</v>
      </c>
      <c r="P179" s="470">
        <f t="shared" si="24"/>
        <v>368.32527548230917</v>
      </c>
      <c r="Q179" s="470">
        <f t="shared" si="24"/>
        <v>378.32477684259504</v>
      </c>
      <c r="R179" s="470">
        <f t="shared" si="24"/>
        <v>365.39553987964524</v>
      </c>
      <c r="S179" s="470">
        <f t="shared" si="24"/>
        <v>381.9003625924978</v>
      </c>
      <c r="T179" s="470">
        <f t="shared" si="24"/>
        <v>445.43433679874818</v>
      </c>
      <c r="U179" s="470">
        <f t="shared" si="24"/>
        <v>376.47523894532009</v>
      </c>
      <c r="V179" s="470">
        <f t="shared" si="25"/>
        <v>382.76663823379567</v>
      </c>
      <c r="W179" s="470">
        <f t="shared" si="25"/>
        <v>379.79380738972083</v>
      </c>
      <c r="X179" s="470">
        <f t="shared" si="25"/>
        <v>482.39758934970411</v>
      </c>
      <c r="Y179" s="470">
        <f t="shared" si="25"/>
        <v>412.68798132153398</v>
      </c>
      <c r="Z179" s="470">
        <f t="shared" si="25"/>
        <v>443.27174759235106</v>
      </c>
      <c r="AA179" s="470">
        <f t="shared" si="25"/>
        <v>443.27174759235106</v>
      </c>
      <c r="AB179" s="470">
        <f t="shared" si="25"/>
        <v>375.76881385235652</v>
      </c>
      <c r="AC179" s="470">
        <f t="shared" si="25"/>
        <v>366.73344640060691</v>
      </c>
      <c r="AD179" s="470">
        <f t="shared" si="25"/>
        <v>431.12625847380286</v>
      </c>
      <c r="AE179" s="470">
        <f t="shared" si="25"/>
        <v>376.47523894532009</v>
      </c>
      <c r="AF179" s="470">
        <f t="shared" si="26"/>
        <v>405.41136339024678</v>
      </c>
      <c r="AG179" s="470">
        <f t="shared" si="26"/>
        <v>386.86735006913068</v>
      </c>
      <c r="AH179" s="470">
        <f t="shared" si="26"/>
        <v>391.12411113231832</v>
      </c>
      <c r="AI179" s="470">
        <f t="shared" si="26"/>
        <v>361.33728405483606</v>
      </c>
      <c r="AJ179" s="470">
        <f t="shared" si="26"/>
        <v>407.82674220252994</v>
      </c>
      <c r="AK179" s="470">
        <f t="shared" si="26"/>
        <v>432.811733205086</v>
      </c>
      <c r="AL179" s="470">
        <f t="shared" si="26"/>
        <v>468.70953106457256</v>
      </c>
      <c r="AM179" s="426"/>
      <c r="AN179" s="426"/>
      <c r="AO179" s="426"/>
      <c r="AP179" s="426"/>
      <c r="AQ179" s="426"/>
      <c r="AR179" s="426"/>
      <c r="AS179" s="426"/>
      <c r="AT179" s="426"/>
      <c r="AU179" s="426"/>
      <c r="AV179" s="426"/>
      <c r="AW179" s="426"/>
      <c r="AX179" s="426"/>
      <c r="AY179" s="426"/>
    </row>
    <row r="180" spans="1:51" x14ac:dyDescent="0.25">
      <c r="A180" s="424" t="s">
        <v>122</v>
      </c>
      <c r="B180" s="425" t="s">
        <v>530</v>
      </c>
      <c r="C180" s="425" t="s">
        <v>115</v>
      </c>
      <c r="D180" s="425" t="s">
        <v>368</v>
      </c>
      <c r="E180" s="425" t="s">
        <v>233</v>
      </c>
      <c r="F180" s="167"/>
      <c r="G180" s="167"/>
      <c r="H180" s="445">
        <v>2020</v>
      </c>
      <c r="I180" s="195">
        <v>522.76533400000005</v>
      </c>
      <c r="J180" s="471" t="s">
        <v>256</v>
      </c>
      <c r="K180" s="470">
        <f t="shared" si="27"/>
        <v>423.95692097114613</v>
      </c>
      <c r="L180" s="470">
        <f t="shared" si="24"/>
        <v>442.75489211883672</v>
      </c>
      <c r="M180" s="470">
        <f t="shared" si="24"/>
        <v>426.13725555839773</v>
      </c>
      <c r="N180" s="470">
        <f t="shared" si="24"/>
        <v>426.16551822016345</v>
      </c>
      <c r="O180" s="470">
        <f t="shared" si="24"/>
        <v>523.00658095756899</v>
      </c>
      <c r="P180" s="470">
        <f t="shared" si="24"/>
        <v>434.37842971942638</v>
      </c>
      <c r="Q180" s="470">
        <f t="shared" si="24"/>
        <v>446.1711791938427</v>
      </c>
      <c r="R180" s="470">
        <f t="shared" si="24"/>
        <v>430.92329363377007</v>
      </c>
      <c r="S180" s="470">
        <f t="shared" si="24"/>
        <v>450.38798815797395</v>
      </c>
      <c r="T180" s="470">
        <f t="shared" si="24"/>
        <v>525.31574844650493</v>
      </c>
      <c r="U180" s="470">
        <f t="shared" si="24"/>
        <v>443.98995672282757</v>
      </c>
      <c r="V180" s="470">
        <f t="shared" si="25"/>
        <v>451.40961626177005</v>
      </c>
      <c r="W180" s="470">
        <f t="shared" si="25"/>
        <v>447.90365650329369</v>
      </c>
      <c r="X180" s="470">
        <f t="shared" si="25"/>
        <v>568.90775982661444</v>
      </c>
      <c r="Y180" s="470">
        <f t="shared" si="25"/>
        <v>486.69686612136394</v>
      </c>
      <c r="Z180" s="470">
        <f t="shared" si="25"/>
        <v>522.76533400000005</v>
      </c>
      <c r="AA180" s="470">
        <f t="shared" si="25"/>
        <v>522.76533400000005</v>
      </c>
      <c r="AB180" s="470">
        <f t="shared" si="25"/>
        <v>443.15684576623056</v>
      </c>
      <c r="AC180" s="470">
        <f t="shared" si="25"/>
        <v>432.50113195324377</v>
      </c>
      <c r="AD180" s="470">
        <f t="shared" si="25"/>
        <v>508.44174872722465</v>
      </c>
      <c r="AE180" s="470">
        <f t="shared" si="25"/>
        <v>443.98995672282757</v>
      </c>
      <c r="AF180" s="470">
        <f t="shared" si="26"/>
        <v>478.11530498217303</v>
      </c>
      <c r="AG180" s="470">
        <f t="shared" si="26"/>
        <v>456.24572414340315</v>
      </c>
      <c r="AH180" s="470">
        <f t="shared" si="26"/>
        <v>461.2658661466827</v>
      </c>
      <c r="AI180" s="470">
        <f t="shared" si="26"/>
        <v>426.13725555839773</v>
      </c>
      <c r="AJ180" s="470">
        <f t="shared" si="26"/>
        <v>480.96384274348537</v>
      </c>
      <c r="AK180" s="470">
        <f t="shared" si="26"/>
        <v>510.42948596884571</v>
      </c>
      <c r="AL180" s="470">
        <f t="shared" si="26"/>
        <v>552.76497066826084</v>
      </c>
      <c r="AN180" s="426"/>
      <c r="AO180" s="426"/>
      <c r="AP180" s="426"/>
      <c r="AQ180" s="426"/>
      <c r="AR180" s="426"/>
      <c r="AS180" s="426"/>
      <c r="AT180" s="426"/>
      <c r="AU180" s="426"/>
      <c r="AV180" s="426"/>
      <c r="AW180" s="426"/>
      <c r="AX180" s="426"/>
      <c r="AY180" s="426"/>
    </row>
    <row r="181" spans="1:51" x14ac:dyDescent="0.25">
      <c r="A181" s="424" t="s">
        <v>122</v>
      </c>
      <c r="B181" s="425" t="s">
        <v>531</v>
      </c>
      <c r="C181" s="425" t="s">
        <v>115</v>
      </c>
      <c r="D181" s="425" t="s">
        <v>368</v>
      </c>
      <c r="E181" s="425" t="s">
        <v>235</v>
      </c>
      <c r="F181" s="167"/>
      <c r="G181" s="167"/>
      <c r="H181" s="445">
        <v>2030</v>
      </c>
      <c r="I181" s="195">
        <v>600.19665242139399</v>
      </c>
      <c r="J181" s="471" t="s">
        <v>256</v>
      </c>
      <c r="K181" s="470">
        <f t="shared" si="27"/>
        <v>486.75286632101614</v>
      </c>
      <c r="L181" s="470">
        <f t="shared" si="24"/>
        <v>508.33516840066756</v>
      </c>
      <c r="M181" s="470">
        <f t="shared" si="24"/>
        <v>489.25614921931748</v>
      </c>
      <c r="N181" s="470">
        <f t="shared" si="24"/>
        <v>489.28859810962649</v>
      </c>
      <c r="O181" s="470">
        <f t="shared" si="24"/>
        <v>600.47363256319454</v>
      </c>
      <c r="P181" s="470">
        <f t="shared" si="24"/>
        <v>498.71799533222577</v>
      </c>
      <c r="Q181" s="470">
        <f t="shared" si="24"/>
        <v>512.25747145477374</v>
      </c>
      <c r="R181" s="470">
        <f t="shared" si="24"/>
        <v>494.75108900275734</v>
      </c>
      <c r="S181" s="470">
        <f t="shared" si="24"/>
        <v>517.09886865455849</v>
      </c>
      <c r="T181" s="470">
        <f t="shared" si="24"/>
        <v>603.1248309242925</v>
      </c>
      <c r="U181" s="470">
        <f t="shared" si="24"/>
        <v>509.7531691605256</v>
      </c>
      <c r="V181" s="470">
        <f t="shared" si="25"/>
        <v>518.27181897860964</v>
      </c>
      <c r="W181" s="470">
        <f t="shared" si="25"/>
        <v>514.24656104029032</v>
      </c>
      <c r="X181" s="470">
        <f t="shared" si="25"/>
        <v>653.17363408892072</v>
      </c>
      <c r="Y181" s="470">
        <f t="shared" si="25"/>
        <v>558.78577019421482</v>
      </c>
      <c r="Z181" s="470">
        <f t="shared" si="25"/>
        <v>600.19665242139399</v>
      </c>
      <c r="AA181" s="470">
        <f t="shared" si="25"/>
        <v>600.19665242139399</v>
      </c>
      <c r="AB181" s="470">
        <f t="shared" si="25"/>
        <v>508.79665889727028</v>
      </c>
      <c r="AC181" s="470">
        <f t="shared" si="25"/>
        <v>496.56263467309498</v>
      </c>
      <c r="AD181" s="470">
        <f t="shared" si="25"/>
        <v>583.75147640788248</v>
      </c>
      <c r="AE181" s="470">
        <f t="shared" si="25"/>
        <v>509.7531691605256</v>
      </c>
      <c r="AF181" s="470">
        <f t="shared" si="26"/>
        <v>548.93311942856189</v>
      </c>
      <c r="AG181" s="470">
        <f t="shared" si="26"/>
        <v>523.82424484261105</v>
      </c>
      <c r="AH181" s="470">
        <f t="shared" si="26"/>
        <v>529.5879637219665</v>
      </c>
      <c r="AI181" s="470">
        <f t="shared" si="26"/>
        <v>489.25614921931748</v>
      </c>
      <c r="AJ181" s="470">
        <f t="shared" si="26"/>
        <v>552.20357888224021</v>
      </c>
      <c r="AK181" s="470">
        <f t="shared" si="26"/>
        <v>586.03363469329452</v>
      </c>
      <c r="AL181" s="470">
        <f t="shared" si="26"/>
        <v>634.63979608659395</v>
      </c>
      <c r="AN181" s="426"/>
      <c r="AO181" s="426"/>
      <c r="AP181" s="426"/>
      <c r="AQ181" s="426"/>
      <c r="AR181" s="426"/>
      <c r="AS181" s="426"/>
      <c r="AT181" s="426"/>
      <c r="AU181" s="426"/>
      <c r="AV181" s="426"/>
      <c r="AW181" s="426"/>
      <c r="AX181" s="426"/>
      <c r="AY181" s="426"/>
    </row>
    <row r="182" spans="1:51" x14ac:dyDescent="0.25">
      <c r="B182" s="425"/>
      <c r="F182" s="167"/>
      <c r="G182" s="167"/>
      <c r="H182" s="445">
        <v>2050</v>
      </c>
      <c r="I182" s="176">
        <v>562.97805200000005</v>
      </c>
      <c r="J182" s="471" t="s">
        <v>256</v>
      </c>
      <c r="K182" s="470">
        <f t="shared" si="27"/>
        <v>456.56899181508044</v>
      </c>
      <c r="L182" s="470">
        <f t="shared" si="24"/>
        <v>476.81296074336262</v>
      </c>
      <c r="M182" s="470">
        <f t="shared" si="24"/>
        <v>458.91704444750519</v>
      </c>
      <c r="N182" s="470">
        <f t="shared" si="24"/>
        <v>458.94748116017604</v>
      </c>
      <c r="O182" s="470">
        <f t="shared" si="24"/>
        <v>563.23785641584345</v>
      </c>
      <c r="P182" s="470">
        <f t="shared" si="24"/>
        <v>467.7921550824592</v>
      </c>
      <c r="Q182" s="470">
        <f t="shared" si="24"/>
        <v>480.49203913183061</v>
      </c>
      <c r="R182" s="470">
        <f t="shared" si="24"/>
        <v>464.07123929790617</v>
      </c>
      <c r="S182" s="470">
        <f t="shared" si="24"/>
        <v>485.03321801627965</v>
      </c>
      <c r="T182" s="470">
        <f t="shared" si="24"/>
        <v>565.72465217315914</v>
      </c>
      <c r="U182" s="470">
        <f t="shared" si="24"/>
        <v>478.14303031689121</v>
      </c>
      <c r="V182" s="470">
        <f t="shared" si="25"/>
        <v>486.13343289729085</v>
      </c>
      <c r="W182" s="470">
        <f t="shared" si="25"/>
        <v>482.35778392662394</v>
      </c>
      <c r="X182" s="470">
        <f t="shared" si="25"/>
        <v>612.66989519789252</v>
      </c>
      <c r="Y182" s="470">
        <f t="shared" si="25"/>
        <v>524.13508659223805</v>
      </c>
      <c r="Z182" s="470">
        <f t="shared" si="25"/>
        <v>562.97805200000005</v>
      </c>
      <c r="AA182" s="470">
        <f t="shared" si="25"/>
        <v>562.97805200000005</v>
      </c>
      <c r="AB182" s="470">
        <f t="shared" si="25"/>
        <v>477.24583390209443</v>
      </c>
      <c r="AC182" s="470">
        <f t="shared" si="25"/>
        <v>465.77044979580097</v>
      </c>
      <c r="AD182" s="470">
        <f t="shared" si="25"/>
        <v>547.55265247547266</v>
      </c>
      <c r="AE182" s="470">
        <f t="shared" si="25"/>
        <v>478.14303031689121</v>
      </c>
      <c r="AF182" s="470">
        <f t="shared" si="26"/>
        <v>514.89340536541715</v>
      </c>
      <c r="AG182" s="470">
        <f t="shared" si="26"/>
        <v>491.3415490775111</v>
      </c>
      <c r="AH182" s="470">
        <f t="shared" si="26"/>
        <v>496.74785585027365</v>
      </c>
      <c r="AI182" s="470">
        <f t="shared" si="26"/>
        <v>458.91704444750519</v>
      </c>
      <c r="AJ182" s="470">
        <f t="shared" si="26"/>
        <v>517.96106141606117</v>
      </c>
      <c r="AK182" s="470">
        <f t="shared" si="26"/>
        <v>549.69329258183382</v>
      </c>
      <c r="AL182" s="470">
        <f t="shared" si="26"/>
        <v>595.28535302735781</v>
      </c>
      <c r="AN182" s="426"/>
      <c r="AO182" s="426"/>
      <c r="AP182" s="426"/>
      <c r="AQ182" s="426"/>
      <c r="AR182" s="426"/>
      <c r="AS182" s="426"/>
      <c r="AT182" s="426"/>
      <c r="AU182" s="426"/>
      <c r="AV182" s="426"/>
      <c r="AW182" s="426"/>
      <c r="AX182" s="426"/>
      <c r="AY182" s="426"/>
    </row>
    <row r="183" spans="1:51" x14ac:dyDescent="0.25">
      <c r="A183" s="424" t="s">
        <v>122</v>
      </c>
      <c r="B183" s="425" t="s">
        <v>532</v>
      </c>
      <c r="C183" s="425" t="s">
        <v>115</v>
      </c>
      <c r="D183" s="425" t="s">
        <v>368</v>
      </c>
      <c r="E183" s="425" t="s">
        <v>272</v>
      </c>
      <c r="F183" s="167"/>
      <c r="G183" s="167"/>
      <c r="H183" s="445">
        <v>2030</v>
      </c>
      <c r="I183" s="176">
        <v>777.77281400000015</v>
      </c>
      <c r="J183" s="471" t="s">
        <v>256</v>
      </c>
      <c r="K183" s="470">
        <f t="shared" si="27"/>
        <v>630.76517510341262</v>
      </c>
      <c r="L183" s="470">
        <f t="shared" si="24"/>
        <v>658.73288827436693</v>
      </c>
      <c r="M183" s="470">
        <f t="shared" si="24"/>
        <v>634.00908753810393</v>
      </c>
      <c r="N183" s="470">
        <f t="shared" si="24"/>
        <v>634.05113686414575</v>
      </c>
      <c r="O183" s="470">
        <f t="shared" si="24"/>
        <v>778.13174240028559</v>
      </c>
      <c r="P183" s="470">
        <f t="shared" si="24"/>
        <v>646.27034665573206</v>
      </c>
      <c r="Q183" s="470">
        <f t="shared" si="24"/>
        <v>663.81565684937573</v>
      </c>
      <c r="R183" s="470">
        <f t="shared" si="24"/>
        <v>641.12977833317018</v>
      </c>
      <c r="S183" s="470">
        <f t="shared" si="24"/>
        <v>670.08944579601007</v>
      </c>
      <c r="T183" s="470">
        <f t="shared" si="24"/>
        <v>781.56733305455623</v>
      </c>
      <c r="U183" s="470">
        <f t="shared" si="24"/>
        <v>660.57042341688987</v>
      </c>
      <c r="V183" s="470">
        <f t="shared" si="25"/>
        <v>671.60942907238973</v>
      </c>
      <c r="W183" s="470">
        <f t="shared" si="25"/>
        <v>666.39324504148578</v>
      </c>
      <c r="X183" s="470">
        <f t="shared" si="25"/>
        <v>846.4237402298412</v>
      </c>
      <c r="Y183" s="470">
        <f t="shared" si="25"/>
        <v>724.10997154641962</v>
      </c>
      <c r="Z183" s="470">
        <f t="shared" si="25"/>
        <v>777.77281400000015</v>
      </c>
      <c r="AA183" s="470">
        <f t="shared" si="25"/>
        <v>777.77281400000015</v>
      </c>
      <c r="AB183" s="470">
        <f t="shared" si="25"/>
        <v>659.33091687170895</v>
      </c>
      <c r="AC183" s="470">
        <f t="shared" si="25"/>
        <v>643.47729388165544</v>
      </c>
      <c r="AD183" s="470">
        <f t="shared" si="25"/>
        <v>756.46211396001729</v>
      </c>
      <c r="AE183" s="470">
        <f t="shared" si="25"/>
        <v>660.57042341688987</v>
      </c>
      <c r="AF183" s="470">
        <f t="shared" si="26"/>
        <v>711.34228302225756</v>
      </c>
      <c r="AG183" s="470">
        <f t="shared" si="26"/>
        <v>678.8046139694535</v>
      </c>
      <c r="AH183" s="470">
        <f t="shared" si="26"/>
        <v>686.2736057304304</v>
      </c>
      <c r="AI183" s="470">
        <f t="shared" si="26"/>
        <v>634.00908753810393</v>
      </c>
      <c r="AJ183" s="470">
        <f t="shared" si="26"/>
        <v>715.58035139884419</v>
      </c>
      <c r="AK183" s="470">
        <f t="shared" si="26"/>
        <v>759.41947912438036</v>
      </c>
      <c r="AL183" s="470">
        <f t="shared" si="26"/>
        <v>822.40641977472967</v>
      </c>
      <c r="AN183" s="426"/>
      <c r="AO183" s="426"/>
      <c r="AP183" s="426"/>
      <c r="AQ183" s="426"/>
      <c r="AR183" s="426"/>
      <c r="AS183" s="426"/>
      <c r="AT183" s="426"/>
      <c r="AU183" s="426"/>
      <c r="AV183" s="426"/>
      <c r="AW183" s="426"/>
      <c r="AX183" s="426"/>
      <c r="AY183" s="426"/>
    </row>
    <row r="184" spans="1:51" x14ac:dyDescent="0.25">
      <c r="B184" s="425"/>
      <c r="F184" s="167"/>
      <c r="G184" s="167"/>
      <c r="H184" s="445">
        <v>2050</v>
      </c>
      <c r="I184" s="176">
        <v>752.27206600000011</v>
      </c>
      <c r="J184" s="471" t="s">
        <v>256</v>
      </c>
      <c r="K184" s="470">
        <f t="shared" si="27"/>
        <v>610.08434969018595</v>
      </c>
      <c r="L184" s="470">
        <f t="shared" ref="L184:U193" si="28">$I184*L$245</f>
        <v>637.13508865881386</v>
      </c>
      <c r="M184" s="470">
        <f t="shared" si="28"/>
        <v>613.22190434013328</v>
      </c>
      <c r="N184" s="470">
        <f t="shared" si="28"/>
        <v>613.26257499974747</v>
      </c>
      <c r="O184" s="470">
        <f t="shared" si="28"/>
        <v>752.61922625601392</v>
      </c>
      <c r="P184" s="470">
        <f t="shared" si="28"/>
        <v>625.08115496210144</v>
      </c>
      <c r="Q184" s="470">
        <f t="shared" si="28"/>
        <v>642.05120908382241</v>
      </c>
      <c r="R184" s="470">
        <f t="shared" si="28"/>
        <v>620.10912986323012</v>
      </c>
      <c r="S184" s="470">
        <f t="shared" si="28"/>
        <v>648.11930003220641</v>
      </c>
      <c r="T184" s="470">
        <f t="shared" si="28"/>
        <v>755.94217459375102</v>
      </c>
      <c r="U184" s="470">
        <f t="shared" si="28"/>
        <v>638.91237674748356</v>
      </c>
      <c r="V184" s="470">
        <f t="shared" ref="V184:AE193" si="29">$I184*V$245</f>
        <v>649.58944779132764</v>
      </c>
      <c r="W184" s="470">
        <f t="shared" si="29"/>
        <v>644.54428618766656</v>
      </c>
      <c r="X184" s="470">
        <f t="shared" si="29"/>
        <v>818.67214218951847</v>
      </c>
      <c r="Y184" s="470">
        <f t="shared" si="29"/>
        <v>700.36866100391399</v>
      </c>
      <c r="Z184" s="470">
        <f t="shared" si="29"/>
        <v>752.27206600000011</v>
      </c>
      <c r="AA184" s="470">
        <f t="shared" si="29"/>
        <v>752.27206600000011</v>
      </c>
      <c r="AB184" s="470">
        <f t="shared" si="29"/>
        <v>637.71350976116105</v>
      </c>
      <c r="AC184" s="470">
        <f t="shared" si="29"/>
        <v>622.37967768881424</v>
      </c>
      <c r="AD184" s="470">
        <f t="shared" si="29"/>
        <v>731.66007743673799</v>
      </c>
      <c r="AE184" s="470">
        <f t="shared" si="29"/>
        <v>638.91237674748356</v>
      </c>
      <c r="AF184" s="470">
        <f t="shared" ref="AF184:AL193" si="30">$I184*AF$245</f>
        <v>688.01958521824906</v>
      </c>
      <c r="AG184" s="470">
        <f t="shared" si="30"/>
        <v>656.54872498684847</v>
      </c>
      <c r="AH184" s="470">
        <f t="shared" si="30"/>
        <v>663.77283177205561</v>
      </c>
      <c r="AI184" s="470">
        <f t="shared" si="30"/>
        <v>613.22190434013328</v>
      </c>
      <c r="AJ184" s="470">
        <f t="shared" si="30"/>
        <v>692.11870053330824</v>
      </c>
      <c r="AK184" s="470">
        <f t="shared" si="30"/>
        <v>734.52047980882685</v>
      </c>
      <c r="AL184" s="470">
        <f t="shared" si="30"/>
        <v>795.44227486408272</v>
      </c>
      <c r="AN184" s="426"/>
      <c r="AO184" s="426"/>
      <c r="AP184" s="426"/>
      <c r="AQ184" s="426"/>
      <c r="AR184" s="426"/>
      <c r="AS184" s="426"/>
      <c r="AT184" s="426"/>
      <c r="AU184" s="426"/>
      <c r="AV184" s="426"/>
      <c r="AW184" s="426"/>
      <c r="AX184" s="426"/>
      <c r="AY184" s="426"/>
    </row>
    <row r="185" spans="1:51" x14ac:dyDescent="0.25">
      <c r="A185" s="424" t="s">
        <v>122</v>
      </c>
      <c r="B185" s="425" t="s">
        <v>533</v>
      </c>
      <c r="C185" s="425" t="s">
        <v>19</v>
      </c>
      <c r="D185" s="425" t="s">
        <v>105</v>
      </c>
      <c r="E185" s="425" t="s">
        <v>237</v>
      </c>
      <c r="F185" s="167"/>
      <c r="G185" s="167"/>
      <c r="H185" s="445">
        <v>2020</v>
      </c>
      <c r="I185" s="176">
        <f>999.6293216</f>
        <v>999.62932160000003</v>
      </c>
      <c r="J185" s="471" t="s">
        <v>256</v>
      </c>
      <c r="K185" s="470">
        <f t="shared" si="27"/>
        <v>810.68835619848426</v>
      </c>
      <c r="L185" s="470">
        <f t="shared" si="28"/>
        <v>846.63374492967796</v>
      </c>
      <c r="M185" s="470">
        <f t="shared" si="28"/>
        <v>814.85758136044819</v>
      </c>
      <c r="N185" s="470">
        <f t="shared" si="28"/>
        <v>814.91162508441005</v>
      </c>
      <c r="O185" s="470">
        <f t="shared" si="28"/>
        <v>1000.0906328554489</v>
      </c>
      <c r="P185" s="470">
        <f t="shared" si="28"/>
        <v>830.61631439031771</v>
      </c>
      <c r="Q185" s="470">
        <f t="shared" si="28"/>
        <v>853.16635240968935</v>
      </c>
      <c r="R185" s="470">
        <f t="shared" si="28"/>
        <v>824.009420021648</v>
      </c>
      <c r="S185" s="470">
        <f t="shared" si="28"/>
        <v>861.22971394110129</v>
      </c>
      <c r="T185" s="470">
        <f t="shared" si="28"/>
        <v>1004.5062116635605</v>
      </c>
      <c r="U185" s="470">
        <f t="shared" si="28"/>
        <v>848.9954294407238</v>
      </c>
      <c r="V185" s="470">
        <f t="shared" si="29"/>
        <v>863.18326621762856</v>
      </c>
      <c r="W185" s="470">
        <f t="shared" si="29"/>
        <v>856.47918706971268</v>
      </c>
      <c r="X185" s="470">
        <f t="shared" si="29"/>
        <v>1087.8626431806481</v>
      </c>
      <c r="Y185" s="470">
        <f t="shared" si="29"/>
        <v>930.65937326621781</v>
      </c>
      <c r="Z185" s="470">
        <f t="shared" si="29"/>
        <v>999.62932160000003</v>
      </c>
      <c r="AA185" s="470">
        <f t="shared" si="29"/>
        <v>999.62932160000003</v>
      </c>
      <c r="AB185" s="470">
        <f t="shared" si="29"/>
        <v>847.4023587334749</v>
      </c>
      <c r="AC185" s="470">
        <f t="shared" si="29"/>
        <v>827.02655475937331</v>
      </c>
      <c r="AD185" s="470">
        <f t="shared" si="29"/>
        <v>972.23983171254656</v>
      </c>
      <c r="AE185" s="470">
        <f t="shared" si="29"/>
        <v>848.9954294407238</v>
      </c>
      <c r="AF185" s="470">
        <f t="shared" si="30"/>
        <v>914.24975391713087</v>
      </c>
      <c r="AG185" s="470">
        <f t="shared" si="30"/>
        <v>872.43084811811718</v>
      </c>
      <c r="AH185" s="470">
        <f t="shared" si="30"/>
        <v>882.03033916829077</v>
      </c>
      <c r="AI185" s="470">
        <f t="shared" si="30"/>
        <v>814.85758136044819</v>
      </c>
      <c r="AJ185" s="470">
        <f t="shared" si="30"/>
        <v>919.69671392900614</v>
      </c>
      <c r="AK185" s="470">
        <f t="shared" si="30"/>
        <v>976.04077316969517</v>
      </c>
      <c r="AL185" s="470">
        <f t="shared" si="30"/>
        <v>1056.9944804973572</v>
      </c>
      <c r="AN185" s="426"/>
      <c r="AO185" s="426"/>
      <c r="AP185" s="426"/>
      <c r="AQ185" s="426"/>
      <c r="AR185" s="426"/>
      <c r="AS185" s="426"/>
      <c r="AT185" s="426"/>
      <c r="AU185" s="426"/>
      <c r="AV185" s="426"/>
      <c r="AW185" s="426"/>
      <c r="AX185" s="426"/>
      <c r="AY185" s="426"/>
    </row>
    <row r="186" spans="1:51" x14ac:dyDescent="0.25">
      <c r="A186" s="424" t="s">
        <v>122</v>
      </c>
      <c r="B186" s="425" t="s">
        <v>534</v>
      </c>
      <c r="C186" s="425" t="s">
        <v>19</v>
      </c>
      <c r="D186" s="425" t="s">
        <v>105</v>
      </c>
      <c r="E186" s="425" t="s">
        <v>238</v>
      </c>
      <c r="F186" s="167"/>
      <c r="G186" s="167"/>
      <c r="H186" s="445">
        <v>2030</v>
      </c>
      <c r="I186" s="176">
        <f>1064.656229</f>
        <v>1064.6562289999999</v>
      </c>
      <c r="J186" s="471" t="s">
        <v>256</v>
      </c>
      <c r="K186" s="470">
        <f t="shared" si="27"/>
        <v>863.42446100221207</v>
      </c>
      <c r="L186" s="470">
        <f t="shared" si="28"/>
        <v>901.70813394933805</v>
      </c>
      <c r="M186" s="470">
        <f t="shared" si="28"/>
        <v>867.86489851527324</v>
      </c>
      <c r="N186" s="470">
        <f t="shared" si="28"/>
        <v>867.92245783862541</v>
      </c>
      <c r="O186" s="470">
        <f t="shared" si="28"/>
        <v>1065.1475490233415</v>
      </c>
      <c r="P186" s="470">
        <f t="shared" si="28"/>
        <v>884.64875320907549</v>
      </c>
      <c r="Q186" s="470">
        <f t="shared" si="28"/>
        <v>908.66569421185022</v>
      </c>
      <c r="R186" s="470">
        <f t="shared" si="28"/>
        <v>877.61207361999493</v>
      </c>
      <c r="S186" s="470">
        <f t="shared" si="28"/>
        <v>917.25358563880047</v>
      </c>
      <c r="T186" s="470">
        <f t="shared" si="28"/>
        <v>1069.8503657386136</v>
      </c>
      <c r="U186" s="470">
        <f t="shared" si="28"/>
        <v>904.22344844770964</v>
      </c>
      <c r="V186" s="470">
        <f t="shared" si="29"/>
        <v>919.33421848433647</v>
      </c>
      <c r="W186" s="470">
        <f t="shared" si="29"/>
        <v>912.1940321469516</v>
      </c>
      <c r="X186" s="470">
        <f t="shared" si="29"/>
        <v>1158.6292181834708</v>
      </c>
      <c r="Y186" s="470">
        <f t="shared" si="29"/>
        <v>991.19971514960685</v>
      </c>
      <c r="Z186" s="470">
        <f t="shared" si="29"/>
        <v>1064.6562289999999</v>
      </c>
      <c r="AA186" s="470">
        <f t="shared" si="29"/>
        <v>1064.6562289999999</v>
      </c>
      <c r="AB186" s="470">
        <f t="shared" si="29"/>
        <v>902.52674686537182</v>
      </c>
      <c r="AC186" s="470">
        <f t="shared" si="29"/>
        <v>880.82547605111824</v>
      </c>
      <c r="AD186" s="470">
        <f t="shared" si="29"/>
        <v>1035.4850248469086</v>
      </c>
      <c r="AE186" s="470">
        <f t="shared" si="29"/>
        <v>904.22344844770964</v>
      </c>
      <c r="AF186" s="470">
        <f t="shared" si="30"/>
        <v>973.72263331735223</v>
      </c>
      <c r="AG186" s="470">
        <f t="shared" si="30"/>
        <v>929.18336502375996</v>
      </c>
      <c r="AH186" s="470">
        <f t="shared" si="30"/>
        <v>939.40731276214626</v>
      </c>
      <c r="AI186" s="470">
        <f t="shared" si="30"/>
        <v>867.86489851527324</v>
      </c>
      <c r="AJ186" s="470">
        <f t="shared" si="30"/>
        <v>979.5239236361225</v>
      </c>
      <c r="AK186" s="470">
        <f t="shared" si="30"/>
        <v>1039.5332214243565</v>
      </c>
      <c r="AL186" s="470">
        <f t="shared" si="30"/>
        <v>1125.7530500195066</v>
      </c>
      <c r="AN186" s="426"/>
      <c r="AO186" s="426"/>
      <c r="AP186" s="426"/>
      <c r="AQ186" s="426"/>
      <c r="AR186" s="426"/>
      <c r="AS186" s="426"/>
      <c r="AT186" s="426"/>
      <c r="AU186" s="426"/>
      <c r="AV186" s="426"/>
      <c r="AW186" s="426"/>
      <c r="AX186" s="426"/>
      <c r="AY186" s="426"/>
    </row>
    <row r="187" spans="1:51" x14ac:dyDescent="0.25">
      <c r="B187" s="425"/>
      <c r="F187" s="167"/>
      <c r="G187" s="167"/>
      <c r="H187" s="445">
        <v>2050</v>
      </c>
      <c r="I187" s="176">
        <f>858.1001702</f>
        <v>858.10017019999998</v>
      </c>
      <c r="J187" s="471" t="s">
        <v>256</v>
      </c>
      <c r="K187" s="470">
        <f t="shared" si="27"/>
        <v>695.90977515507632</v>
      </c>
      <c r="L187" s="470">
        <f t="shared" si="28"/>
        <v>726.76595706335877</v>
      </c>
      <c r="M187" s="470">
        <f t="shared" si="28"/>
        <v>699.48871461171132</v>
      </c>
      <c r="N187" s="470">
        <f t="shared" si="28"/>
        <v>699.53510673699998</v>
      </c>
      <c r="O187" s="470">
        <f t="shared" si="28"/>
        <v>858.49616825474118</v>
      </c>
      <c r="P187" s="470">
        <f t="shared" si="28"/>
        <v>713.01630049066807</v>
      </c>
      <c r="Q187" s="470">
        <f t="shared" si="28"/>
        <v>732.37366731086854</v>
      </c>
      <c r="R187" s="470">
        <f t="shared" si="28"/>
        <v>707.34482101348101</v>
      </c>
      <c r="S187" s="470">
        <f t="shared" si="28"/>
        <v>739.29540495199126</v>
      </c>
      <c r="T187" s="470">
        <f t="shared" si="28"/>
        <v>862.28658220609213</v>
      </c>
      <c r="U187" s="470">
        <f t="shared" si="28"/>
        <v>728.79327042551927</v>
      </c>
      <c r="V187" s="470">
        <f t="shared" si="29"/>
        <v>740.97237010773472</v>
      </c>
      <c r="W187" s="470">
        <f t="shared" si="29"/>
        <v>735.21746543101608</v>
      </c>
      <c r="X187" s="470">
        <f t="shared" si="29"/>
        <v>933.84127405685729</v>
      </c>
      <c r="Y187" s="470">
        <f t="shared" si="29"/>
        <v>798.89509975531189</v>
      </c>
      <c r="Z187" s="470">
        <f t="shared" si="29"/>
        <v>858.10017019999998</v>
      </c>
      <c r="AA187" s="470">
        <f t="shared" si="29"/>
        <v>858.10017019999998</v>
      </c>
      <c r="AB187" s="470">
        <f t="shared" si="29"/>
        <v>727.4257492699345</v>
      </c>
      <c r="AC187" s="470">
        <f t="shared" si="29"/>
        <v>709.93478488910489</v>
      </c>
      <c r="AD187" s="470">
        <f t="shared" si="29"/>
        <v>834.58852900834677</v>
      </c>
      <c r="AE187" s="470">
        <f t="shared" si="29"/>
        <v>728.79327042551927</v>
      </c>
      <c r="AF187" s="470">
        <f t="shared" si="30"/>
        <v>784.80878110488391</v>
      </c>
      <c r="AG187" s="470">
        <f t="shared" si="30"/>
        <v>748.9106642646592</v>
      </c>
      <c r="AH187" s="470">
        <f t="shared" si="30"/>
        <v>757.15104369931078</v>
      </c>
      <c r="AI187" s="470">
        <f t="shared" si="30"/>
        <v>699.48871461171132</v>
      </c>
      <c r="AJ187" s="470">
        <f t="shared" si="30"/>
        <v>789.48455162528194</v>
      </c>
      <c r="AK187" s="470">
        <f t="shared" si="30"/>
        <v>837.85132696837354</v>
      </c>
      <c r="AL187" s="470">
        <f t="shared" si="30"/>
        <v>907.34347624326711</v>
      </c>
      <c r="AN187" s="426"/>
      <c r="AO187" s="426"/>
      <c r="AP187" s="426"/>
      <c r="AQ187" s="426"/>
      <c r="AR187" s="426"/>
      <c r="AS187" s="426"/>
      <c r="AT187" s="426"/>
      <c r="AU187" s="426"/>
      <c r="AV187" s="426"/>
      <c r="AW187" s="426"/>
      <c r="AX187" s="426"/>
      <c r="AY187" s="426"/>
    </row>
    <row r="188" spans="1:51" x14ac:dyDescent="0.25">
      <c r="A188" s="424" t="s">
        <v>122</v>
      </c>
      <c r="B188" s="425" t="s">
        <v>535</v>
      </c>
      <c r="C188" s="425" t="s">
        <v>19</v>
      </c>
      <c r="D188" s="425" t="s">
        <v>105</v>
      </c>
      <c r="E188" s="425" t="s">
        <v>239</v>
      </c>
      <c r="F188" s="167"/>
      <c r="G188" s="167"/>
      <c r="H188" s="445">
        <v>2030</v>
      </c>
      <c r="I188" s="176">
        <f>1377.040392</f>
        <v>1377.0403920000001</v>
      </c>
      <c r="J188" s="471" t="s">
        <v>256</v>
      </c>
      <c r="K188" s="470">
        <f t="shared" si="27"/>
        <v>1116.7645723142386</v>
      </c>
      <c r="L188" s="470">
        <f t="shared" si="28"/>
        <v>1166.2811792398625</v>
      </c>
      <c r="M188" s="470">
        <f t="shared" si="28"/>
        <v>1122.5078926904134</v>
      </c>
      <c r="N188" s="470">
        <f t="shared" si="28"/>
        <v>1122.5823406775037</v>
      </c>
      <c r="O188" s="470">
        <f t="shared" si="28"/>
        <v>1377.6758717906694</v>
      </c>
      <c r="P188" s="470">
        <f t="shared" si="28"/>
        <v>1144.21635145605</v>
      </c>
      <c r="Q188" s="470">
        <f t="shared" si="28"/>
        <v>1175.2801793398783</v>
      </c>
      <c r="R188" s="470">
        <f t="shared" si="28"/>
        <v>1135.1150173767601</v>
      </c>
      <c r="S188" s="470">
        <f t="shared" si="28"/>
        <v>1186.3878712453948</v>
      </c>
      <c r="T188" s="470">
        <f t="shared" si="28"/>
        <v>1383.7585568834763</v>
      </c>
      <c r="U188" s="470">
        <f t="shared" si="28"/>
        <v>1169.5345201479361</v>
      </c>
      <c r="V188" s="470">
        <f t="shared" si="29"/>
        <v>1189.0789891773454</v>
      </c>
      <c r="W188" s="470">
        <f t="shared" si="29"/>
        <v>1179.8437781062371</v>
      </c>
      <c r="X188" s="470">
        <f t="shared" si="29"/>
        <v>1498.5862941774235</v>
      </c>
      <c r="Y188" s="470">
        <f t="shared" si="29"/>
        <v>1282.0307692953002</v>
      </c>
      <c r="Z188" s="470">
        <f t="shared" si="29"/>
        <v>1377.0403920000001</v>
      </c>
      <c r="AA188" s="470">
        <f t="shared" si="29"/>
        <v>1377.0403920000001</v>
      </c>
      <c r="AB188" s="470">
        <f t="shared" si="29"/>
        <v>1167.3399839695828</v>
      </c>
      <c r="AC188" s="470">
        <f t="shared" si="29"/>
        <v>1139.2712744134226</v>
      </c>
      <c r="AD188" s="470">
        <f t="shared" si="29"/>
        <v>1339.3099722570796</v>
      </c>
      <c r="AE188" s="470">
        <f t="shared" si="29"/>
        <v>1169.5345201479361</v>
      </c>
      <c r="AF188" s="470">
        <f t="shared" si="30"/>
        <v>1259.4256814164557</v>
      </c>
      <c r="AG188" s="470">
        <f t="shared" si="30"/>
        <v>1201.8180050606718</v>
      </c>
      <c r="AH188" s="470">
        <f t="shared" si="30"/>
        <v>1215.0417937522373</v>
      </c>
      <c r="AI188" s="470">
        <f t="shared" si="30"/>
        <v>1122.5078926904134</v>
      </c>
      <c r="AJ188" s="470">
        <f t="shared" si="30"/>
        <v>1266.9291467389371</v>
      </c>
      <c r="AK188" s="470">
        <f t="shared" si="30"/>
        <v>1344.5459630398864</v>
      </c>
      <c r="AL188" s="470">
        <f t="shared" si="30"/>
        <v>1456.063825174931</v>
      </c>
      <c r="AN188" s="426"/>
      <c r="AO188" s="426"/>
      <c r="AP188" s="426"/>
      <c r="AQ188" s="426"/>
      <c r="AR188" s="426"/>
      <c r="AS188" s="426"/>
      <c r="AT188" s="426"/>
      <c r="AU188" s="426"/>
      <c r="AV188" s="426"/>
      <c r="AW188" s="426"/>
      <c r="AX188" s="426"/>
      <c r="AY188" s="426"/>
    </row>
    <row r="189" spans="1:51" x14ac:dyDescent="0.25">
      <c r="B189" s="425"/>
      <c r="F189" s="167"/>
      <c r="G189" s="167"/>
      <c r="H189" s="445">
        <v>2050</v>
      </c>
      <c r="I189" s="176">
        <f>1313.288522</f>
        <v>1313.2885220000001</v>
      </c>
      <c r="J189" s="471" t="s">
        <v>256</v>
      </c>
      <c r="K189" s="470">
        <f t="shared" si="27"/>
        <v>1065.0625087811718</v>
      </c>
      <c r="L189" s="470">
        <f t="shared" si="28"/>
        <v>1112.2866802009801</v>
      </c>
      <c r="M189" s="470">
        <f t="shared" si="28"/>
        <v>1070.5399346954869</v>
      </c>
      <c r="N189" s="470">
        <f t="shared" si="28"/>
        <v>1070.610936016508</v>
      </c>
      <c r="O189" s="470">
        <f t="shared" si="28"/>
        <v>1313.8945814299902</v>
      </c>
      <c r="P189" s="470">
        <f t="shared" si="28"/>
        <v>1091.2433722219735</v>
      </c>
      <c r="Q189" s="470">
        <f t="shared" si="28"/>
        <v>1120.8690599259951</v>
      </c>
      <c r="R189" s="470">
        <f t="shared" si="28"/>
        <v>1082.5633962019101</v>
      </c>
      <c r="S189" s="470">
        <f t="shared" si="28"/>
        <v>1131.4625068358857</v>
      </c>
      <c r="T189" s="470">
        <f t="shared" si="28"/>
        <v>1319.6956607314635</v>
      </c>
      <c r="U189" s="470">
        <f t="shared" si="28"/>
        <v>1115.3894034744203</v>
      </c>
      <c r="V189" s="470">
        <f t="shared" si="29"/>
        <v>1134.0290359746905</v>
      </c>
      <c r="W189" s="470">
        <f t="shared" si="29"/>
        <v>1125.2213809716889</v>
      </c>
      <c r="X189" s="470">
        <f t="shared" si="29"/>
        <v>1429.2072990766169</v>
      </c>
      <c r="Y189" s="470">
        <f t="shared" si="29"/>
        <v>1222.677492939036</v>
      </c>
      <c r="Z189" s="470">
        <f t="shared" si="29"/>
        <v>1313.2885220000001</v>
      </c>
      <c r="AA189" s="470">
        <f t="shared" si="29"/>
        <v>1313.2885220000001</v>
      </c>
      <c r="AB189" s="470">
        <f t="shared" si="29"/>
        <v>1113.2964661932133</v>
      </c>
      <c r="AC189" s="470">
        <f t="shared" si="29"/>
        <v>1086.5272339313196</v>
      </c>
      <c r="AD189" s="470">
        <f t="shared" si="29"/>
        <v>1277.3048809488814</v>
      </c>
      <c r="AE189" s="470">
        <f t="shared" si="29"/>
        <v>1115.3894034744203</v>
      </c>
      <c r="AF189" s="470">
        <f t="shared" si="30"/>
        <v>1201.1189369064346</v>
      </c>
      <c r="AG189" s="470">
        <f t="shared" si="30"/>
        <v>1146.178282604159</v>
      </c>
      <c r="AH189" s="470">
        <f t="shared" si="30"/>
        <v>1158.7898588563003</v>
      </c>
      <c r="AI189" s="470">
        <f t="shared" si="30"/>
        <v>1070.5399346954869</v>
      </c>
      <c r="AJ189" s="470">
        <f t="shared" si="30"/>
        <v>1208.2750195750973</v>
      </c>
      <c r="AK189" s="470">
        <f t="shared" si="30"/>
        <v>1282.2984647510027</v>
      </c>
      <c r="AL189" s="470">
        <f t="shared" si="30"/>
        <v>1388.6534628983138</v>
      </c>
      <c r="AN189" s="426"/>
      <c r="AO189" s="426"/>
      <c r="AP189" s="426"/>
      <c r="AQ189" s="426"/>
      <c r="AR189" s="426"/>
      <c r="AS189" s="426"/>
      <c r="AT189" s="426"/>
      <c r="AU189" s="426"/>
      <c r="AV189" s="426"/>
      <c r="AW189" s="426"/>
      <c r="AX189" s="426"/>
      <c r="AY189" s="426"/>
    </row>
    <row r="190" spans="1:51" x14ac:dyDescent="0.25">
      <c r="A190" s="424" t="s">
        <v>122</v>
      </c>
      <c r="B190" s="425" t="s">
        <v>536</v>
      </c>
      <c r="C190" s="425" t="s">
        <v>19</v>
      </c>
      <c r="D190" s="425" t="s">
        <v>105</v>
      </c>
      <c r="E190" s="425" t="s">
        <v>240</v>
      </c>
      <c r="F190" s="167"/>
      <c r="G190" s="167"/>
      <c r="H190" s="445">
        <v>2020</v>
      </c>
      <c r="I190" s="176">
        <f>1320.9387464</f>
        <v>1320.9387463999999</v>
      </c>
      <c r="J190" s="471" t="s">
        <v>256</v>
      </c>
      <c r="K190" s="470">
        <f t="shared" si="27"/>
        <v>1071.2667564051399</v>
      </c>
      <c r="L190" s="470">
        <f t="shared" si="28"/>
        <v>1118.7660200856458</v>
      </c>
      <c r="M190" s="470">
        <f t="shared" si="28"/>
        <v>1076.776089654878</v>
      </c>
      <c r="N190" s="470">
        <f t="shared" si="28"/>
        <v>1076.8475045758275</v>
      </c>
      <c r="O190" s="470">
        <f t="shared" si="28"/>
        <v>1321.5483362732716</v>
      </c>
      <c r="P190" s="470">
        <f t="shared" si="28"/>
        <v>1097.6001297300625</v>
      </c>
      <c r="Q190" s="470">
        <f t="shared" si="28"/>
        <v>1127.3983942556608</v>
      </c>
      <c r="R190" s="470">
        <f t="shared" si="28"/>
        <v>1088.8695907428919</v>
      </c>
      <c r="S190" s="470">
        <f t="shared" si="28"/>
        <v>1138.0535505650266</v>
      </c>
      <c r="T190" s="470">
        <f t="shared" si="28"/>
        <v>1327.3832082697049</v>
      </c>
      <c r="U190" s="470">
        <f t="shared" si="28"/>
        <v>1121.8868174752422</v>
      </c>
      <c r="V190" s="470">
        <f t="shared" si="29"/>
        <v>1140.6350303590091</v>
      </c>
      <c r="W190" s="470">
        <f t="shared" si="29"/>
        <v>1131.7760686278345</v>
      </c>
      <c r="X190" s="470">
        <f t="shared" si="29"/>
        <v>1437.5327784887133</v>
      </c>
      <c r="Y190" s="470">
        <f t="shared" si="29"/>
        <v>1229.7998861017877</v>
      </c>
      <c r="Z190" s="470">
        <f t="shared" si="29"/>
        <v>1320.9387463999999</v>
      </c>
      <c r="AA190" s="470">
        <f t="shared" si="29"/>
        <v>1320.9387463999999</v>
      </c>
      <c r="AB190" s="470">
        <f t="shared" si="29"/>
        <v>1119.7816883263774</v>
      </c>
      <c r="AC190" s="470">
        <f t="shared" si="29"/>
        <v>1092.8565187891718</v>
      </c>
      <c r="AD190" s="470">
        <f t="shared" si="29"/>
        <v>1284.745491905865</v>
      </c>
      <c r="AE190" s="470">
        <f t="shared" si="29"/>
        <v>1121.8868174752422</v>
      </c>
      <c r="AF190" s="470">
        <f t="shared" si="30"/>
        <v>1208.1157462476369</v>
      </c>
      <c r="AG190" s="470">
        <f t="shared" si="30"/>
        <v>1152.8550492989405</v>
      </c>
      <c r="AH190" s="470">
        <f t="shared" si="30"/>
        <v>1165.5400910438127</v>
      </c>
      <c r="AI190" s="470">
        <f t="shared" si="30"/>
        <v>1076.776089654878</v>
      </c>
      <c r="AJ190" s="470">
        <f t="shared" si="30"/>
        <v>1215.3135148347581</v>
      </c>
      <c r="AK190" s="470">
        <f t="shared" si="30"/>
        <v>1289.7681645456685</v>
      </c>
      <c r="AL190" s="470">
        <f t="shared" si="30"/>
        <v>1396.7427063715077</v>
      </c>
      <c r="AN190" s="426"/>
      <c r="AO190" s="426"/>
      <c r="AP190" s="426"/>
      <c r="AQ190" s="426"/>
      <c r="AR190" s="426"/>
      <c r="AS190" s="426"/>
      <c r="AT190" s="426"/>
      <c r="AU190" s="426"/>
      <c r="AV190" s="426"/>
      <c r="AW190" s="426"/>
      <c r="AX190" s="426"/>
      <c r="AY190" s="426"/>
    </row>
    <row r="191" spans="1:51" x14ac:dyDescent="0.25">
      <c r="A191" s="424" t="s">
        <v>122</v>
      </c>
      <c r="B191" s="425" t="s">
        <v>537</v>
      </c>
      <c r="C191" s="425" t="s">
        <v>19</v>
      </c>
      <c r="D191" s="425" t="s">
        <v>105</v>
      </c>
      <c r="E191" s="425" t="s">
        <v>241</v>
      </c>
      <c r="F191" s="167"/>
      <c r="G191" s="167"/>
      <c r="H191" s="445">
        <v>2030</v>
      </c>
      <c r="I191" s="176">
        <f>1407.3590052005</f>
        <v>1407.3590052005</v>
      </c>
      <c r="J191" s="471" t="s">
        <v>256</v>
      </c>
      <c r="K191" s="470">
        <f t="shared" si="27"/>
        <v>1141.3526332750655</v>
      </c>
      <c r="L191" s="470">
        <f t="shared" si="28"/>
        <v>1191.9594586584058</v>
      </c>
      <c r="M191" s="470">
        <f t="shared" si="28"/>
        <v>1147.222405649296</v>
      </c>
      <c r="N191" s="470">
        <f t="shared" si="28"/>
        <v>1147.2984927747423</v>
      </c>
      <c r="O191" s="470">
        <f t="shared" si="28"/>
        <v>1408.0084764950366</v>
      </c>
      <c r="P191" s="470">
        <f t="shared" si="28"/>
        <v>1169.4088245156806</v>
      </c>
      <c r="Q191" s="470">
        <f t="shared" si="28"/>
        <v>1201.156591801438</v>
      </c>
      <c r="R191" s="470">
        <f t="shared" si="28"/>
        <v>1160.1071042827516</v>
      </c>
      <c r="S191" s="470">
        <f t="shared" si="28"/>
        <v>1212.5088442996503</v>
      </c>
      <c r="T191" s="470">
        <f t="shared" si="28"/>
        <v>1414.2250854564682</v>
      </c>
      <c r="U191" s="470">
        <f t="shared" si="28"/>
        <v>1195.2844291171984</v>
      </c>
      <c r="V191" s="470">
        <f t="shared" si="29"/>
        <v>1215.2592131904908</v>
      </c>
      <c r="W191" s="470">
        <f t="shared" si="29"/>
        <v>1205.8206683654005</v>
      </c>
      <c r="X191" s="470">
        <f t="shared" si="29"/>
        <v>1531.5810113002426</v>
      </c>
      <c r="Y191" s="470">
        <f t="shared" si="29"/>
        <v>1310.2575339067214</v>
      </c>
      <c r="Z191" s="470">
        <f t="shared" si="29"/>
        <v>1407.3590052005</v>
      </c>
      <c r="AA191" s="470">
        <f t="shared" si="29"/>
        <v>1407.3590052005</v>
      </c>
      <c r="AB191" s="470">
        <f t="shared" si="29"/>
        <v>1193.0415753339787</v>
      </c>
      <c r="AC191" s="470">
        <f t="shared" si="29"/>
        <v>1164.3548705810076</v>
      </c>
      <c r="AD191" s="470">
        <f t="shared" si="29"/>
        <v>1368.7978661782295</v>
      </c>
      <c r="AE191" s="470">
        <f t="shared" si="29"/>
        <v>1195.2844291171984</v>
      </c>
      <c r="AF191" s="470">
        <f t="shared" si="30"/>
        <v>1287.1547446389102</v>
      </c>
      <c r="AG191" s="470">
        <f t="shared" si="30"/>
        <v>1228.2787068995694</v>
      </c>
      <c r="AH191" s="470">
        <f t="shared" si="30"/>
        <v>1241.7936467706602</v>
      </c>
      <c r="AI191" s="470">
        <f t="shared" si="30"/>
        <v>1147.222405649296</v>
      </c>
      <c r="AJ191" s="470">
        <f t="shared" si="30"/>
        <v>1294.8234154732249</v>
      </c>
      <c r="AK191" s="470">
        <f t="shared" si="30"/>
        <v>1374.1491389674229</v>
      </c>
      <c r="AL191" s="470">
        <f t="shared" si="30"/>
        <v>1488.122315374047</v>
      </c>
      <c r="AN191" s="426"/>
      <c r="AO191" s="426"/>
      <c r="AP191" s="426"/>
      <c r="AQ191" s="426"/>
      <c r="AR191" s="426"/>
      <c r="AS191" s="426"/>
      <c r="AT191" s="426"/>
      <c r="AU191" s="426"/>
      <c r="AV191" s="426"/>
      <c r="AW191" s="426"/>
      <c r="AX191" s="426"/>
      <c r="AY191" s="426"/>
    </row>
    <row r="192" spans="1:51" x14ac:dyDescent="0.25">
      <c r="B192" s="425"/>
      <c r="F192" s="167"/>
      <c r="G192" s="167"/>
      <c r="H192" s="445">
        <v>2050</v>
      </c>
      <c r="I192" s="176">
        <f>1223.66410309416</f>
        <v>1223.6641030941601</v>
      </c>
      <c r="J192" s="471" t="s">
        <v>256</v>
      </c>
      <c r="K192" s="470">
        <f t="shared" si="27"/>
        <v>992.37809340035381</v>
      </c>
      <c r="L192" s="470">
        <f t="shared" si="28"/>
        <v>1036.3794856281497</v>
      </c>
      <c r="M192" s="470">
        <f t="shared" si="28"/>
        <v>997.48171637156327</v>
      </c>
      <c r="N192" s="470">
        <f t="shared" si="28"/>
        <v>997.54787225913151</v>
      </c>
      <c r="O192" s="470">
        <f t="shared" si="28"/>
        <v>1224.228802439656</v>
      </c>
      <c r="P192" s="470">
        <f t="shared" si="28"/>
        <v>1016.7722628793734</v>
      </c>
      <c r="Q192" s="470">
        <f t="shared" si="28"/>
        <v>1044.3761670981366</v>
      </c>
      <c r="R192" s="470">
        <f t="shared" si="28"/>
        <v>1008.6846455024283</v>
      </c>
      <c r="S192" s="470">
        <f t="shared" si="28"/>
        <v>1054.2466719373369</v>
      </c>
      <c r="T192" s="470">
        <f t="shared" si="28"/>
        <v>1229.633991308287</v>
      </c>
      <c r="U192" s="470">
        <f t="shared" si="28"/>
        <v>1039.2704658110586</v>
      </c>
      <c r="V192" s="470">
        <f t="shared" si="29"/>
        <v>1056.638050163896</v>
      </c>
      <c r="W192" s="470">
        <f t="shared" si="29"/>
        <v>1048.431467163233</v>
      </c>
      <c r="X192" s="470">
        <f t="shared" si="29"/>
        <v>1331.6720876360596</v>
      </c>
      <c r="Y192" s="470">
        <f t="shared" si="29"/>
        <v>1139.236757732557</v>
      </c>
      <c r="Z192" s="470">
        <f t="shared" si="29"/>
        <v>1223.6641030941601</v>
      </c>
      <c r="AA192" s="470">
        <f t="shared" si="29"/>
        <v>1223.6641030941601</v>
      </c>
      <c r="AB192" s="470">
        <f t="shared" si="29"/>
        <v>1037.320359510624</v>
      </c>
      <c r="AC192" s="470">
        <f t="shared" si="29"/>
        <v>1012.377974012284</v>
      </c>
      <c r="AD192" s="470">
        <f t="shared" si="29"/>
        <v>1190.1361394248947</v>
      </c>
      <c r="AE192" s="470">
        <f t="shared" si="29"/>
        <v>1039.2704658110586</v>
      </c>
      <c r="AF192" s="470">
        <f t="shared" si="30"/>
        <v>1119.1494496584226</v>
      </c>
      <c r="AG192" s="470">
        <f t="shared" si="30"/>
        <v>1067.9581803036751</v>
      </c>
      <c r="AH192" s="470">
        <f t="shared" si="30"/>
        <v>1079.7090887176755</v>
      </c>
      <c r="AI192" s="470">
        <f t="shared" si="30"/>
        <v>997.48171637156327</v>
      </c>
      <c r="AJ192" s="470">
        <f t="shared" si="30"/>
        <v>1125.8171706761023</v>
      </c>
      <c r="AK192" s="470">
        <f t="shared" si="30"/>
        <v>1194.7889397365448</v>
      </c>
      <c r="AL192" s="470">
        <f t="shared" si="30"/>
        <v>1293.8858184782525</v>
      </c>
      <c r="AN192" s="426"/>
      <c r="AO192" s="426"/>
      <c r="AP192" s="426"/>
      <c r="AQ192" s="426"/>
      <c r="AR192" s="426"/>
      <c r="AS192" s="426"/>
      <c r="AT192" s="426"/>
      <c r="AU192" s="426"/>
      <c r="AV192" s="426"/>
      <c r="AW192" s="426"/>
      <c r="AX192" s="426"/>
      <c r="AY192" s="426"/>
    </row>
    <row r="193" spans="1:51" x14ac:dyDescent="0.25">
      <c r="A193" s="424" t="s">
        <v>122</v>
      </c>
      <c r="B193" s="425" t="s">
        <v>538</v>
      </c>
      <c r="C193" s="425" t="s">
        <v>19</v>
      </c>
      <c r="D193" s="425" t="s">
        <v>105</v>
      </c>
      <c r="E193" s="425" t="s">
        <v>271</v>
      </c>
      <c r="F193" s="167"/>
      <c r="G193" s="167"/>
      <c r="H193" s="445">
        <v>2020</v>
      </c>
      <c r="I193" s="176">
        <f>1820.29667738508</f>
        <v>1820.2966773850801</v>
      </c>
      <c r="J193" s="471" t="s">
        <v>256</v>
      </c>
      <c r="K193" s="470">
        <f t="shared" si="27"/>
        <v>1476.2405316611644</v>
      </c>
      <c r="L193" s="470">
        <f t="shared" si="28"/>
        <v>1541.6960662887184</v>
      </c>
      <c r="M193" s="470">
        <f t="shared" si="28"/>
        <v>1483.832572576337</v>
      </c>
      <c r="N193" s="470">
        <f t="shared" si="28"/>
        <v>1483.9309846667345</v>
      </c>
      <c r="O193" s="470">
        <f t="shared" si="28"/>
        <v>1821.136712113343</v>
      </c>
      <c r="P193" s="470">
        <f t="shared" si="28"/>
        <v>1512.5287790142954</v>
      </c>
      <c r="Q193" s="470">
        <f t="shared" si="28"/>
        <v>1553.5917594557541</v>
      </c>
      <c r="R193" s="470">
        <f t="shared" si="28"/>
        <v>1500.4978115273932</v>
      </c>
      <c r="S193" s="470">
        <f t="shared" si="28"/>
        <v>1568.2749123875737</v>
      </c>
      <c r="T193" s="470">
        <f t="shared" si="28"/>
        <v>1829.1773560395061</v>
      </c>
      <c r="U193" s="470">
        <f t="shared" si="28"/>
        <v>1545.996626882127</v>
      </c>
      <c r="V193" s="470">
        <f t="shared" si="29"/>
        <v>1571.8322757433912</v>
      </c>
      <c r="W193" s="470">
        <f t="shared" si="29"/>
        <v>1559.6243375265078</v>
      </c>
      <c r="X193" s="470">
        <f t="shared" si="29"/>
        <v>1980.9670565320528</v>
      </c>
      <c r="Y193" s="470">
        <f t="shared" si="29"/>
        <v>1694.7043552326479</v>
      </c>
      <c r="Z193" s="470">
        <f t="shared" si="29"/>
        <v>1820.2966773850801</v>
      </c>
      <c r="AA193" s="470">
        <f t="shared" si="29"/>
        <v>1820.2966773850801</v>
      </c>
      <c r="AB193" s="470">
        <f t="shared" si="29"/>
        <v>1543.0956902523337</v>
      </c>
      <c r="AC193" s="470">
        <f t="shared" si="29"/>
        <v>1505.9919284161556</v>
      </c>
      <c r="AD193" s="470">
        <f t="shared" si="29"/>
        <v>1770.4211921826222</v>
      </c>
      <c r="AE193" s="470">
        <f t="shared" si="29"/>
        <v>1545.996626882127</v>
      </c>
      <c r="AF193" s="470">
        <f t="shared" si="30"/>
        <v>1664.8229032455388</v>
      </c>
      <c r="AG193" s="470">
        <f t="shared" si="30"/>
        <v>1588.6718604210021</v>
      </c>
      <c r="AH193" s="470">
        <f t="shared" si="30"/>
        <v>1606.1522616913951</v>
      </c>
      <c r="AI193" s="470">
        <f t="shared" si="30"/>
        <v>1483.832572576337</v>
      </c>
      <c r="AJ193" s="470">
        <f t="shared" si="30"/>
        <v>1674.7416631270476</v>
      </c>
      <c r="AK193" s="470">
        <f t="shared" si="30"/>
        <v>1777.3425989039742</v>
      </c>
      <c r="AL193" s="470">
        <f t="shared" si="30"/>
        <v>1924.7570067113447</v>
      </c>
      <c r="AN193" s="426"/>
      <c r="AO193" s="426"/>
      <c r="AP193" s="426"/>
      <c r="AQ193" s="426"/>
      <c r="AR193" s="426"/>
      <c r="AS193" s="426"/>
      <c r="AT193" s="426"/>
      <c r="AU193" s="426"/>
      <c r="AV193" s="426"/>
      <c r="AW193" s="426"/>
      <c r="AX193" s="426"/>
      <c r="AY193" s="426"/>
    </row>
    <row r="194" spans="1:51" x14ac:dyDescent="0.25">
      <c r="B194" s="425"/>
      <c r="F194" s="167"/>
      <c r="G194" s="167"/>
      <c r="H194" s="445">
        <v>2020</v>
      </c>
      <c r="I194" s="176">
        <f>1640.95952817014</f>
        <v>1640.9595281701399</v>
      </c>
      <c r="J194" s="471" t="s">
        <v>256</v>
      </c>
      <c r="K194" s="470">
        <f t="shared" si="27"/>
        <v>1330.8000813253566</v>
      </c>
      <c r="L194" s="470">
        <f t="shared" ref="L194:U203" si="31">$I194*L$245</f>
        <v>1389.8068820040533</v>
      </c>
      <c r="M194" s="470">
        <f t="shared" si="31"/>
        <v>1337.6441480276628</v>
      </c>
      <c r="N194" s="470">
        <f t="shared" si="31"/>
        <v>1337.7328644767072</v>
      </c>
      <c r="O194" s="470">
        <f t="shared" si="31"/>
        <v>1641.7168019752633</v>
      </c>
      <c r="P194" s="470">
        <f t="shared" si="31"/>
        <v>1363.5131802363853</v>
      </c>
      <c r="Q194" s="470">
        <f t="shared" si="31"/>
        <v>1400.5306015433744</v>
      </c>
      <c r="R194" s="470">
        <f t="shared" si="31"/>
        <v>1352.6675137161906</v>
      </c>
      <c r="S194" s="470">
        <f t="shared" si="31"/>
        <v>1413.767157982988</v>
      </c>
      <c r="T194" s="470">
        <f t="shared" si="31"/>
        <v>1648.9652749451832</v>
      </c>
      <c r="U194" s="470">
        <f t="shared" si="31"/>
        <v>1393.6837477753868</v>
      </c>
      <c r="V194" s="470">
        <f t="shared" ref="V194:AE203" si="32">$I194*V$245</f>
        <v>1416.9740469293972</v>
      </c>
      <c r="W194" s="470">
        <f t="shared" si="32"/>
        <v>1405.9688449833691</v>
      </c>
      <c r="X194" s="470">
        <f t="shared" si="32"/>
        <v>1785.8005273498347</v>
      </c>
      <c r="Y194" s="470">
        <f t="shared" si="32"/>
        <v>1527.740666507927</v>
      </c>
      <c r="Z194" s="470">
        <f t="shared" si="32"/>
        <v>1640.9595281701399</v>
      </c>
      <c r="AA194" s="470">
        <f t="shared" si="32"/>
        <v>1640.9595281701399</v>
      </c>
      <c r="AB194" s="470">
        <f t="shared" si="32"/>
        <v>1391.0686138456172</v>
      </c>
      <c r="AC194" s="470">
        <f t="shared" si="32"/>
        <v>1357.6203456196395</v>
      </c>
      <c r="AD194" s="470">
        <f t="shared" si="32"/>
        <v>1595.9978174326061</v>
      </c>
      <c r="AE194" s="470">
        <f t="shared" si="32"/>
        <v>1393.6837477753868</v>
      </c>
      <c r="AF194" s="470">
        <f t="shared" ref="AF194:AL203" si="33">$I194*AF$245</f>
        <v>1500.8031601316341</v>
      </c>
      <c r="AG194" s="470">
        <f t="shared" si="33"/>
        <v>1432.1545816578623</v>
      </c>
      <c r="AH194" s="470">
        <f t="shared" si="33"/>
        <v>1447.9127991930911</v>
      </c>
      <c r="AI194" s="470">
        <f t="shared" si="33"/>
        <v>1337.6441480276628</v>
      </c>
      <c r="AJ194" s="470">
        <f t="shared" si="33"/>
        <v>1509.7447155041216</v>
      </c>
      <c r="AK194" s="470">
        <f t="shared" si="33"/>
        <v>1602.2373213820717</v>
      </c>
      <c r="AL194" s="470">
        <f t="shared" si="33"/>
        <v>1735.1283385917295</v>
      </c>
      <c r="AN194" s="426"/>
      <c r="AO194" s="426"/>
      <c r="AP194" s="426"/>
      <c r="AQ194" s="426"/>
      <c r="AR194" s="426"/>
      <c r="AS194" s="426"/>
      <c r="AT194" s="426"/>
      <c r="AU194" s="426"/>
      <c r="AV194" s="426"/>
      <c r="AW194" s="426"/>
      <c r="AX194" s="426"/>
      <c r="AY194" s="426"/>
    </row>
    <row r="195" spans="1:51" x14ac:dyDescent="0.25">
      <c r="A195" s="424" t="s">
        <v>122</v>
      </c>
      <c r="B195" s="425" t="s">
        <v>539</v>
      </c>
      <c r="C195" s="425" t="s">
        <v>19</v>
      </c>
      <c r="D195" s="425" t="s">
        <v>105</v>
      </c>
      <c r="E195" s="425" t="s">
        <v>242</v>
      </c>
      <c r="F195" s="167"/>
      <c r="G195" s="167"/>
      <c r="H195" s="445">
        <v>2020</v>
      </c>
      <c r="I195" s="176">
        <v>76.502244000000019</v>
      </c>
      <c r="J195" s="471" t="s">
        <v>256</v>
      </c>
      <c r="K195" s="470">
        <f t="shared" si="27"/>
        <v>62.042476239679928</v>
      </c>
      <c r="L195" s="470">
        <f t="shared" si="31"/>
        <v>64.793398846659045</v>
      </c>
      <c r="M195" s="470">
        <f t="shared" si="31"/>
        <v>62.361549593911867</v>
      </c>
      <c r="N195" s="470">
        <f t="shared" si="31"/>
        <v>62.365685593194662</v>
      </c>
      <c r="O195" s="470">
        <f t="shared" si="31"/>
        <v>76.537548432814987</v>
      </c>
      <c r="P195" s="470">
        <f t="shared" si="31"/>
        <v>63.567575080891672</v>
      </c>
      <c r="Q195" s="470">
        <f t="shared" si="31"/>
        <v>65.293343296659913</v>
      </c>
      <c r="R195" s="470">
        <f t="shared" si="31"/>
        <v>63.061945409820019</v>
      </c>
      <c r="S195" s="470">
        <f t="shared" si="31"/>
        <v>65.91043729141083</v>
      </c>
      <c r="T195" s="470">
        <f t="shared" si="31"/>
        <v>76.87547538241536</v>
      </c>
      <c r="U195" s="470">
        <f t="shared" si="31"/>
        <v>64.974140008218683</v>
      </c>
      <c r="V195" s="470">
        <f t="shared" si="32"/>
        <v>66.059943843185877</v>
      </c>
      <c r="W195" s="470">
        <f t="shared" si="32"/>
        <v>65.546876561457623</v>
      </c>
      <c r="X195" s="470">
        <f t="shared" si="32"/>
        <v>83.254794120967986</v>
      </c>
      <c r="Y195" s="470">
        <f t="shared" si="32"/>
        <v>71.223931627516677</v>
      </c>
      <c r="Z195" s="470">
        <f t="shared" si="32"/>
        <v>76.502244000000019</v>
      </c>
      <c r="AA195" s="470">
        <f t="shared" si="32"/>
        <v>76.502244000000019</v>
      </c>
      <c r="AB195" s="470">
        <f t="shared" si="32"/>
        <v>64.852221331643506</v>
      </c>
      <c r="AC195" s="470">
        <f t="shared" si="32"/>
        <v>63.292848578523483</v>
      </c>
      <c r="AD195" s="470">
        <f t="shared" si="32"/>
        <v>74.406109569837767</v>
      </c>
      <c r="AE195" s="470">
        <f t="shared" si="32"/>
        <v>64.974140008218683</v>
      </c>
      <c r="AF195" s="470">
        <f t="shared" si="33"/>
        <v>69.96809341202534</v>
      </c>
      <c r="AG195" s="470">
        <f t="shared" si="33"/>
        <v>66.767666947815101</v>
      </c>
      <c r="AH195" s="470">
        <f t="shared" si="33"/>
        <v>67.502321875124309</v>
      </c>
      <c r="AI195" s="470">
        <f t="shared" si="33"/>
        <v>62.361549593911867</v>
      </c>
      <c r="AJ195" s="470">
        <f t="shared" si="33"/>
        <v>70.384952596607633</v>
      </c>
      <c r="AK195" s="470">
        <f t="shared" si="33"/>
        <v>74.69699794666036</v>
      </c>
      <c r="AL195" s="470">
        <f t="shared" si="33"/>
        <v>80.892434731940625</v>
      </c>
      <c r="AN195" s="426"/>
      <c r="AO195" s="426"/>
      <c r="AP195" s="426"/>
      <c r="AQ195" s="426"/>
      <c r="AR195" s="426"/>
      <c r="AS195" s="426"/>
      <c r="AT195" s="426"/>
      <c r="AU195" s="426"/>
      <c r="AV195" s="426"/>
      <c r="AW195" s="426"/>
      <c r="AX195" s="426"/>
      <c r="AY195" s="426"/>
    </row>
    <row r="196" spans="1:51" x14ac:dyDescent="0.25">
      <c r="B196" s="425"/>
      <c r="F196" s="167"/>
      <c r="G196" s="167"/>
      <c r="H196" s="445">
        <v>2030</v>
      </c>
      <c r="I196" s="176">
        <v>96.402317603553072</v>
      </c>
      <c r="J196" s="471" t="s">
        <v>256</v>
      </c>
      <c r="K196" s="470">
        <f t="shared" si="27"/>
        <v>78.18121647998349</v>
      </c>
      <c r="L196" s="470">
        <f t="shared" si="31"/>
        <v>81.64772021889074</v>
      </c>
      <c r="M196" s="470">
        <f t="shared" si="31"/>
        <v>78.583288487616343</v>
      </c>
      <c r="N196" s="470">
        <f t="shared" si="31"/>
        <v>78.588500359786636</v>
      </c>
      <c r="O196" s="470">
        <f t="shared" si="31"/>
        <v>96.446805568442585</v>
      </c>
      <c r="P196" s="470">
        <f t="shared" si="31"/>
        <v>80.103030209621352</v>
      </c>
      <c r="Q196" s="470">
        <f t="shared" si="31"/>
        <v>82.277712244394166</v>
      </c>
      <c r="R196" s="470">
        <f t="shared" si="31"/>
        <v>79.465874100312575</v>
      </c>
      <c r="S196" s="470">
        <f t="shared" si="31"/>
        <v>83.055327228775852</v>
      </c>
      <c r="T196" s="470">
        <f t="shared" si="31"/>
        <v>96.872635445043016</v>
      </c>
      <c r="U196" s="470">
        <f t="shared" si="31"/>
        <v>81.875476503539161</v>
      </c>
      <c r="V196" s="470">
        <f t="shared" si="32"/>
        <v>83.243724030417766</v>
      </c>
      <c r="W196" s="470">
        <f t="shared" si="32"/>
        <v>82.597195609040241</v>
      </c>
      <c r="X196" s="470">
        <f t="shared" si="32"/>
        <v>104.9113684151275</v>
      </c>
      <c r="Y196" s="470">
        <f t="shared" si="32"/>
        <v>89.75098923542177</v>
      </c>
      <c r="Z196" s="470">
        <f t="shared" si="32"/>
        <v>96.402317603553072</v>
      </c>
      <c r="AA196" s="470">
        <f t="shared" si="32"/>
        <v>96.402317603553072</v>
      </c>
      <c r="AB196" s="470">
        <f t="shared" si="32"/>
        <v>81.721843846946697</v>
      </c>
      <c r="AC196" s="470">
        <f t="shared" si="32"/>
        <v>79.756840736598676</v>
      </c>
      <c r="AD196" s="470">
        <f t="shared" si="32"/>
        <v>93.760928194423528</v>
      </c>
      <c r="AE196" s="470">
        <f t="shared" si="32"/>
        <v>81.875476503539161</v>
      </c>
      <c r="AF196" s="470">
        <f t="shared" si="33"/>
        <v>88.168477296184065</v>
      </c>
      <c r="AG196" s="470">
        <f t="shared" si="33"/>
        <v>84.135542935858496</v>
      </c>
      <c r="AH196" s="470">
        <f t="shared" si="33"/>
        <v>85.061299278789775</v>
      </c>
      <c r="AI196" s="470">
        <f t="shared" si="33"/>
        <v>78.583288487616343</v>
      </c>
      <c r="AJ196" s="470">
        <f t="shared" si="33"/>
        <v>88.693771580467555</v>
      </c>
      <c r="AK196" s="470">
        <f t="shared" si="33"/>
        <v>94.127483634151986</v>
      </c>
      <c r="AL196" s="470">
        <f t="shared" si="33"/>
        <v>101.93450253241232</v>
      </c>
      <c r="AN196" s="426"/>
      <c r="AO196" s="426"/>
      <c r="AP196" s="426"/>
      <c r="AQ196" s="426"/>
      <c r="AR196" s="426"/>
      <c r="AS196" s="426"/>
      <c r="AT196" s="426"/>
      <c r="AU196" s="426"/>
      <c r="AV196" s="426"/>
      <c r="AW196" s="426"/>
      <c r="AX196" s="426"/>
      <c r="AY196" s="426"/>
    </row>
    <row r="197" spans="1:51" x14ac:dyDescent="0.25">
      <c r="B197" s="425"/>
      <c r="F197" s="167"/>
      <c r="G197" s="167"/>
      <c r="H197" s="445">
        <v>2050</v>
      </c>
      <c r="I197" s="176">
        <v>87.97758060000001</v>
      </c>
      <c r="J197" s="471" t="s">
        <v>256</v>
      </c>
      <c r="K197" s="470">
        <f t="shared" si="27"/>
        <v>71.348847675631916</v>
      </c>
      <c r="L197" s="470">
        <f t="shared" si="31"/>
        <v>74.512408673657887</v>
      </c>
      <c r="M197" s="470">
        <f t="shared" si="31"/>
        <v>71.715782032998646</v>
      </c>
      <c r="N197" s="470">
        <f t="shared" si="31"/>
        <v>71.720538432173853</v>
      </c>
      <c r="O197" s="470">
        <f t="shared" si="31"/>
        <v>88.018180697737222</v>
      </c>
      <c r="P197" s="470">
        <f t="shared" si="31"/>
        <v>73.102711343025419</v>
      </c>
      <c r="Q197" s="470">
        <f t="shared" si="31"/>
        <v>75.087344791158898</v>
      </c>
      <c r="R197" s="470">
        <f t="shared" si="31"/>
        <v>72.521237221293006</v>
      </c>
      <c r="S197" s="470">
        <f t="shared" si="31"/>
        <v>75.797002885122453</v>
      </c>
      <c r="T197" s="470">
        <f t="shared" si="31"/>
        <v>88.406796689777664</v>
      </c>
      <c r="U197" s="470">
        <f t="shared" si="31"/>
        <v>74.720261009451463</v>
      </c>
      <c r="V197" s="470">
        <f t="shared" si="32"/>
        <v>75.968935419663751</v>
      </c>
      <c r="W197" s="470">
        <f t="shared" si="32"/>
        <v>75.378908045676255</v>
      </c>
      <c r="X197" s="470">
        <f t="shared" si="32"/>
        <v>95.743013239113168</v>
      </c>
      <c r="Y197" s="470">
        <f t="shared" si="32"/>
        <v>81.907521371644179</v>
      </c>
      <c r="Z197" s="470">
        <f t="shared" si="32"/>
        <v>87.97758060000001</v>
      </c>
      <c r="AA197" s="470">
        <f t="shared" si="32"/>
        <v>87.97758060000001</v>
      </c>
      <c r="AB197" s="470">
        <f t="shared" si="32"/>
        <v>74.580054531390019</v>
      </c>
      <c r="AC197" s="470">
        <f t="shared" si="32"/>
        <v>72.786775865302005</v>
      </c>
      <c r="AD197" s="470">
        <f t="shared" si="32"/>
        <v>85.567026005313423</v>
      </c>
      <c r="AE197" s="470">
        <f t="shared" si="32"/>
        <v>74.720261009451463</v>
      </c>
      <c r="AF197" s="470">
        <f t="shared" si="33"/>
        <v>80.463307423829121</v>
      </c>
      <c r="AG197" s="470">
        <f t="shared" si="33"/>
        <v>76.782816989987367</v>
      </c>
      <c r="AH197" s="470">
        <f t="shared" si="33"/>
        <v>77.627670156392938</v>
      </c>
      <c r="AI197" s="470">
        <f t="shared" si="33"/>
        <v>71.715782032998646</v>
      </c>
      <c r="AJ197" s="470">
        <f t="shared" si="33"/>
        <v>80.942695486098756</v>
      </c>
      <c r="AK197" s="470">
        <f t="shared" si="33"/>
        <v>85.901547638659409</v>
      </c>
      <c r="AL197" s="470">
        <f t="shared" si="33"/>
        <v>93.026299941731708</v>
      </c>
      <c r="AN197" s="426"/>
      <c r="AO197" s="426"/>
      <c r="AP197" s="426"/>
      <c r="AQ197" s="426"/>
      <c r="AR197" s="426"/>
      <c r="AS197" s="426"/>
      <c r="AT197" s="426"/>
      <c r="AU197" s="426"/>
      <c r="AV197" s="426"/>
      <c r="AW197" s="426"/>
      <c r="AX197" s="426"/>
      <c r="AY197" s="426"/>
    </row>
    <row r="198" spans="1:51" x14ac:dyDescent="0.25">
      <c r="A198" s="424" t="s">
        <v>122</v>
      </c>
      <c r="B198" s="425" t="s">
        <v>540</v>
      </c>
      <c r="C198" s="425" t="s">
        <v>515</v>
      </c>
      <c r="D198" s="425" t="s">
        <v>516</v>
      </c>
      <c r="E198" s="425" t="s">
        <v>265</v>
      </c>
      <c r="F198" s="167"/>
      <c r="G198" s="167"/>
      <c r="H198" s="445">
        <v>2020</v>
      </c>
      <c r="I198" s="176">
        <v>200.18087180000003</v>
      </c>
      <c r="J198" s="471" t="s">
        <v>256</v>
      </c>
      <c r="K198" s="470">
        <f t="shared" si="27"/>
        <v>162.34447949382914</v>
      </c>
      <c r="L198" s="470">
        <f t="shared" si="31"/>
        <v>169.54272698209115</v>
      </c>
      <c r="M198" s="470">
        <f t="shared" si="31"/>
        <v>163.17938810406937</v>
      </c>
      <c r="N198" s="470">
        <f t="shared" si="31"/>
        <v>163.19021063552603</v>
      </c>
      <c r="O198" s="470">
        <f t="shared" si="31"/>
        <v>200.27325173253251</v>
      </c>
      <c r="P198" s="470">
        <f t="shared" si="31"/>
        <v>166.33515479499988</v>
      </c>
      <c r="Q198" s="470">
        <f t="shared" si="31"/>
        <v>170.85091495959344</v>
      </c>
      <c r="R198" s="470">
        <f t="shared" si="31"/>
        <v>165.01209048902902</v>
      </c>
      <c r="S198" s="470">
        <f t="shared" si="31"/>
        <v>172.46564424585833</v>
      </c>
      <c r="T198" s="470">
        <f t="shared" si="31"/>
        <v>201.15749391732018</v>
      </c>
      <c r="U198" s="470">
        <f t="shared" si="31"/>
        <v>170.01566635483886</v>
      </c>
      <c r="V198" s="470">
        <f t="shared" si="32"/>
        <v>172.85685305633635</v>
      </c>
      <c r="W198" s="470">
        <f t="shared" si="32"/>
        <v>171.51432700248077</v>
      </c>
      <c r="X198" s="470">
        <f t="shared" si="32"/>
        <v>217.85004461653287</v>
      </c>
      <c r="Y198" s="470">
        <f t="shared" si="32"/>
        <v>186.36928775866863</v>
      </c>
      <c r="Z198" s="470">
        <f t="shared" si="32"/>
        <v>200.18087180000003</v>
      </c>
      <c r="AA198" s="470">
        <f t="shared" si="32"/>
        <v>200.18087180000003</v>
      </c>
      <c r="AB198" s="470">
        <f t="shared" si="32"/>
        <v>169.69664581780049</v>
      </c>
      <c r="AC198" s="470">
        <f t="shared" si="32"/>
        <v>165.61628711380311</v>
      </c>
      <c r="AD198" s="470">
        <f t="shared" si="32"/>
        <v>194.69598670774215</v>
      </c>
      <c r="AE198" s="470">
        <f t="shared" si="32"/>
        <v>170.01566635483886</v>
      </c>
      <c r="AF198" s="470">
        <f t="shared" si="33"/>
        <v>183.08317776146629</v>
      </c>
      <c r="AG198" s="470">
        <f t="shared" si="33"/>
        <v>174.70872851344953</v>
      </c>
      <c r="AH198" s="470">
        <f t="shared" si="33"/>
        <v>176.63107557324193</v>
      </c>
      <c r="AI198" s="470">
        <f t="shared" si="33"/>
        <v>163.17938810406937</v>
      </c>
      <c r="AJ198" s="470">
        <f t="shared" si="33"/>
        <v>184.17395929445661</v>
      </c>
      <c r="AK198" s="470">
        <f t="shared" si="33"/>
        <v>195.45714462709461</v>
      </c>
      <c r="AL198" s="470">
        <f t="shared" si="33"/>
        <v>211.66853754857794</v>
      </c>
      <c r="AN198" s="426"/>
      <c r="AO198" s="426"/>
      <c r="AP198" s="426"/>
      <c r="AQ198" s="426"/>
      <c r="AR198" s="426"/>
      <c r="AS198" s="426"/>
      <c r="AT198" s="426"/>
      <c r="AU198" s="426"/>
      <c r="AV198" s="426"/>
      <c r="AW198" s="426"/>
      <c r="AX198" s="426"/>
      <c r="AY198" s="426"/>
    </row>
    <row r="199" spans="1:51" x14ac:dyDescent="0.25">
      <c r="A199" s="424" t="s">
        <v>122</v>
      </c>
      <c r="B199" s="425" t="s">
        <v>541</v>
      </c>
      <c r="C199" s="425" t="s">
        <v>515</v>
      </c>
      <c r="D199" s="425" t="s">
        <v>516</v>
      </c>
      <c r="E199" s="425" t="s">
        <v>274</v>
      </c>
      <c r="F199" s="167"/>
      <c r="G199" s="167"/>
      <c r="H199" s="445">
        <v>2020</v>
      </c>
      <c r="I199" s="176">
        <v>225.68161980000005</v>
      </c>
      <c r="J199" s="471" t="s">
        <v>256</v>
      </c>
      <c r="K199" s="470">
        <f t="shared" si="27"/>
        <v>183.02530490705578</v>
      </c>
      <c r="L199" s="470">
        <f t="shared" si="31"/>
        <v>191.14052659764417</v>
      </c>
      <c r="M199" s="470">
        <f t="shared" si="31"/>
        <v>183.96657130203999</v>
      </c>
      <c r="N199" s="470">
        <f t="shared" si="31"/>
        <v>183.97877249992425</v>
      </c>
      <c r="O199" s="470">
        <f t="shared" si="31"/>
        <v>225.78576787680419</v>
      </c>
      <c r="P199" s="470">
        <f t="shared" si="31"/>
        <v>187.52434648863044</v>
      </c>
      <c r="Q199" s="470">
        <f t="shared" si="31"/>
        <v>192.61536272514675</v>
      </c>
      <c r="R199" s="470">
        <f t="shared" si="31"/>
        <v>186.03273895896905</v>
      </c>
      <c r="S199" s="470">
        <f t="shared" si="31"/>
        <v>194.43579000966196</v>
      </c>
      <c r="T199" s="470">
        <f t="shared" si="31"/>
        <v>226.78265237812533</v>
      </c>
      <c r="U199" s="470">
        <f t="shared" si="31"/>
        <v>191.6737130242451</v>
      </c>
      <c r="V199" s="470">
        <f t="shared" si="32"/>
        <v>194.87683433739832</v>
      </c>
      <c r="W199" s="470">
        <f t="shared" si="32"/>
        <v>193.36328585629997</v>
      </c>
      <c r="X199" s="470">
        <f t="shared" si="32"/>
        <v>245.60164265685555</v>
      </c>
      <c r="Y199" s="470">
        <f t="shared" si="32"/>
        <v>210.11059830117421</v>
      </c>
      <c r="Z199" s="470">
        <f t="shared" si="32"/>
        <v>225.68161980000005</v>
      </c>
      <c r="AA199" s="470">
        <f t="shared" si="32"/>
        <v>225.68161980000005</v>
      </c>
      <c r="AB199" s="470">
        <f t="shared" si="32"/>
        <v>191.31405292834833</v>
      </c>
      <c r="AC199" s="470">
        <f t="shared" si="32"/>
        <v>186.71390330664428</v>
      </c>
      <c r="AD199" s="470">
        <f t="shared" si="32"/>
        <v>219.49802323102142</v>
      </c>
      <c r="AE199" s="470">
        <f t="shared" si="32"/>
        <v>191.6737130242451</v>
      </c>
      <c r="AF199" s="470">
        <f t="shared" si="33"/>
        <v>206.40587556547473</v>
      </c>
      <c r="AG199" s="470">
        <f t="shared" si="33"/>
        <v>196.96461749605456</v>
      </c>
      <c r="AH199" s="470">
        <f t="shared" si="33"/>
        <v>199.13184953161669</v>
      </c>
      <c r="AI199" s="470">
        <f t="shared" si="33"/>
        <v>183.96657130203999</v>
      </c>
      <c r="AJ199" s="470">
        <f t="shared" si="33"/>
        <v>207.6356101599925</v>
      </c>
      <c r="AK199" s="470">
        <f t="shared" si="33"/>
        <v>220.35614394264806</v>
      </c>
      <c r="AL199" s="470">
        <f t="shared" si="33"/>
        <v>238.63268245922484</v>
      </c>
      <c r="AN199" s="426"/>
      <c r="AO199" s="426"/>
      <c r="AP199" s="426"/>
      <c r="AQ199" s="426"/>
      <c r="AR199" s="426"/>
      <c r="AS199" s="426"/>
      <c r="AT199" s="426"/>
      <c r="AU199" s="426"/>
      <c r="AV199" s="426"/>
      <c r="AW199" s="426"/>
      <c r="AX199" s="426"/>
      <c r="AY199" s="426"/>
    </row>
    <row r="200" spans="1:51" x14ac:dyDescent="0.25">
      <c r="A200" s="424" t="s">
        <v>122</v>
      </c>
      <c r="B200" s="425" t="s">
        <v>542</v>
      </c>
      <c r="C200" s="425" t="s">
        <v>515</v>
      </c>
      <c r="D200" s="425" t="s">
        <v>516</v>
      </c>
      <c r="E200" s="425" t="s">
        <v>266</v>
      </c>
      <c r="F200" s="167"/>
      <c r="G200" s="167"/>
      <c r="H200" s="445">
        <v>2030</v>
      </c>
      <c r="I200" s="176">
        <v>229.83140104916797</v>
      </c>
      <c r="J200" s="471" t="s">
        <v>256</v>
      </c>
      <c r="K200" s="470">
        <f t="shared" si="27"/>
        <v>186.39073173755986</v>
      </c>
      <c r="L200" s="470">
        <f t="shared" si="31"/>
        <v>194.65517424123124</v>
      </c>
      <c r="M200" s="470">
        <f t="shared" si="31"/>
        <v>187.34930592056793</v>
      </c>
      <c r="N200" s="470">
        <f t="shared" si="31"/>
        <v>187.36173147124725</v>
      </c>
      <c r="O200" s="470">
        <f t="shared" si="31"/>
        <v>229.93746417663792</v>
      </c>
      <c r="P200" s="470">
        <f t="shared" si="31"/>
        <v>190.97250065160841</v>
      </c>
      <c r="Q200" s="470">
        <f t="shared" si="31"/>
        <v>196.15712931316949</v>
      </c>
      <c r="R200" s="470">
        <f t="shared" si="31"/>
        <v>189.45346578886074</v>
      </c>
      <c r="S200" s="470">
        <f t="shared" si="31"/>
        <v>198.01103019211143</v>
      </c>
      <c r="T200" s="470">
        <f t="shared" si="31"/>
        <v>230.95267915881448</v>
      </c>
      <c r="U200" s="470">
        <f t="shared" si="31"/>
        <v>195.19816477610374</v>
      </c>
      <c r="V200" s="470">
        <f t="shared" si="32"/>
        <v>198.46018434058956</v>
      </c>
      <c r="W200" s="470">
        <f t="shared" si="32"/>
        <v>196.91880508128193</v>
      </c>
      <c r="X200" s="470">
        <f t="shared" si="32"/>
        <v>250.11770866331844</v>
      </c>
      <c r="Y200" s="470">
        <f t="shared" si="32"/>
        <v>213.97406322071154</v>
      </c>
      <c r="Z200" s="470">
        <f t="shared" si="32"/>
        <v>229.83140104916797</v>
      </c>
      <c r="AA200" s="470">
        <f t="shared" si="32"/>
        <v>229.83140104916797</v>
      </c>
      <c r="AB200" s="470">
        <f t="shared" si="32"/>
        <v>194.83189133383277</v>
      </c>
      <c r="AC200" s="470">
        <f t="shared" si="32"/>
        <v>190.14715522847786</v>
      </c>
      <c r="AD200" s="470">
        <f t="shared" si="32"/>
        <v>223.53410194155501</v>
      </c>
      <c r="AE200" s="470">
        <f t="shared" si="32"/>
        <v>195.19816477610374</v>
      </c>
      <c r="AF200" s="470">
        <f t="shared" si="33"/>
        <v>210.20121890313226</v>
      </c>
      <c r="AG200" s="470">
        <f t="shared" si="33"/>
        <v>200.58635717143886</v>
      </c>
      <c r="AH200" s="470">
        <f t="shared" si="33"/>
        <v>202.7934397667043</v>
      </c>
      <c r="AI200" s="470">
        <f t="shared" si="33"/>
        <v>187.34930592056793</v>
      </c>
      <c r="AJ200" s="470">
        <f t="shared" si="33"/>
        <v>211.45356557197982</v>
      </c>
      <c r="AK200" s="470">
        <f t="shared" si="33"/>
        <v>224.4080015776762</v>
      </c>
      <c r="AL200" s="470">
        <f t="shared" si="33"/>
        <v>243.02060484291528</v>
      </c>
      <c r="AN200" s="426"/>
      <c r="AO200" s="426"/>
      <c r="AP200" s="426"/>
      <c r="AQ200" s="426"/>
      <c r="AR200" s="426"/>
      <c r="AS200" s="426"/>
      <c r="AT200" s="426"/>
      <c r="AU200" s="426"/>
      <c r="AV200" s="426"/>
      <c r="AW200" s="426"/>
      <c r="AX200" s="426"/>
      <c r="AY200" s="426"/>
    </row>
    <row r="201" spans="1:51" x14ac:dyDescent="0.25">
      <c r="B201" s="425"/>
      <c r="F201" s="167"/>
      <c r="G201" s="167"/>
      <c r="H201" s="445">
        <v>2050</v>
      </c>
      <c r="I201" s="176">
        <v>228.23407281187625</v>
      </c>
      <c r="J201" s="471" t="s">
        <v>256</v>
      </c>
      <c r="K201" s="470">
        <f t="shared" si="27"/>
        <v>185.09531615198381</v>
      </c>
      <c r="L201" s="470">
        <f t="shared" si="31"/>
        <v>193.30232078025469</v>
      </c>
      <c r="M201" s="470">
        <f t="shared" si="31"/>
        <v>186.04722824441998</v>
      </c>
      <c r="N201" s="470">
        <f t="shared" si="31"/>
        <v>186.05956743752208</v>
      </c>
      <c r="O201" s="470">
        <f t="shared" si="31"/>
        <v>228.33939880061027</v>
      </c>
      <c r="P201" s="470">
        <f t="shared" si="31"/>
        <v>189.64524177207974</v>
      </c>
      <c r="Q201" s="470">
        <f t="shared" si="31"/>
        <v>194.79383726444294</v>
      </c>
      <c r="R201" s="470">
        <f t="shared" si="31"/>
        <v>188.13676420162815</v>
      </c>
      <c r="S201" s="470">
        <f t="shared" si="31"/>
        <v>196.63485353227625</v>
      </c>
      <c r="T201" s="470">
        <f t="shared" si="31"/>
        <v>229.34755803866074</v>
      </c>
      <c r="U201" s="470">
        <f t="shared" si="31"/>
        <v>193.84153753090979</v>
      </c>
      <c r="V201" s="470">
        <f t="shared" si="32"/>
        <v>197.08088605942248</v>
      </c>
      <c r="W201" s="470">
        <f t="shared" si="32"/>
        <v>195.55021938596701</v>
      </c>
      <c r="X201" s="470">
        <f t="shared" si="32"/>
        <v>248.37939058810835</v>
      </c>
      <c r="Y201" s="470">
        <f t="shared" si="32"/>
        <v>212.48694348132761</v>
      </c>
      <c r="Z201" s="470">
        <f t="shared" si="32"/>
        <v>228.23407281187625</v>
      </c>
      <c r="AA201" s="470">
        <f t="shared" si="32"/>
        <v>228.23407281187625</v>
      </c>
      <c r="AB201" s="470">
        <f t="shared" si="32"/>
        <v>193.47780968906264</v>
      </c>
      <c r="AC201" s="470">
        <f t="shared" si="32"/>
        <v>188.82563249963994</v>
      </c>
      <c r="AD201" s="470">
        <f t="shared" si="32"/>
        <v>221.98053993306118</v>
      </c>
      <c r="AE201" s="470">
        <f t="shared" si="32"/>
        <v>193.84153753090979</v>
      </c>
      <c r="AF201" s="470">
        <f t="shared" si="33"/>
        <v>208.74032043175549</v>
      </c>
      <c r="AG201" s="470">
        <f t="shared" si="33"/>
        <v>199.19228198909738</v>
      </c>
      <c r="AH201" s="470">
        <f t="shared" si="33"/>
        <v>201.38402536032569</v>
      </c>
      <c r="AI201" s="470">
        <f t="shared" si="33"/>
        <v>186.04722824441998</v>
      </c>
      <c r="AJ201" s="470">
        <f t="shared" si="33"/>
        <v>209.98396329125455</v>
      </c>
      <c r="AK201" s="470">
        <f t="shared" si="33"/>
        <v>222.84836596671136</v>
      </c>
      <c r="AL201" s="470">
        <f t="shared" si="33"/>
        <v>241.33161163925701</v>
      </c>
      <c r="AN201" s="426"/>
      <c r="AO201" s="426"/>
      <c r="AP201" s="426"/>
      <c r="AQ201" s="426"/>
      <c r="AR201" s="426"/>
      <c r="AS201" s="426"/>
      <c r="AT201" s="426"/>
      <c r="AU201" s="426"/>
      <c r="AV201" s="426"/>
      <c r="AW201" s="426"/>
      <c r="AX201" s="426"/>
      <c r="AY201" s="426"/>
    </row>
    <row r="202" spans="1:51" x14ac:dyDescent="0.25">
      <c r="A202" s="424" t="s">
        <v>122</v>
      </c>
      <c r="B202" s="425" t="s">
        <v>543</v>
      </c>
      <c r="C202" s="425" t="s">
        <v>515</v>
      </c>
      <c r="D202" s="425" t="s">
        <v>516</v>
      </c>
      <c r="E202" s="425" t="s">
        <v>273</v>
      </c>
      <c r="F202" s="167"/>
      <c r="G202" s="167"/>
      <c r="H202" s="445">
        <v>2030</v>
      </c>
      <c r="I202" s="176">
        <v>285.45938346871185</v>
      </c>
      <c r="J202" s="471" t="s">
        <v>256</v>
      </c>
      <c r="K202" s="470">
        <f t="shared" si="27"/>
        <v>231.50441203072725</v>
      </c>
      <c r="L202" s="470">
        <f t="shared" si="31"/>
        <v>241.76916545885413</v>
      </c>
      <c r="M202" s="470">
        <f t="shared" si="31"/>
        <v>232.69499779943155</v>
      </c>
      <c r="N202" s="470">
        <f t="shared" si="31"/>
        <v>232.71043080823705</v>
      </c>
      <c r="O202" s="470">
        <f t="shared" si="31"/>
        <v>285.59111792639743</v>
      </c>
      <c r="P202" s="470">
        <f t="shared" si="31"/>
        <v>237.19514412142451</v>
      </c>
      <c r="Q202" s="470">
        <f t="shared" si="31"/>
        <v>243.6346510577583</v>
      </c>
      <c r="R202" s="470">
        <f t="shared" si="31"/>
        <v>235.30844476960414</v>
      </c>
      <c r="S202" s="470">
        <f t="shared" si="31"/>
        <v>245.93726679911933</v>
      </c>
      <c r="T202" s="470">
        <f t="shared" si="31"/>
        <v>286.85205373228553</v>
      </c>
      <c r="U202" s="470">
        <f t="shared" si="31"/>
        <v>242.4435804543964</v>
      </c>
      <c r="V202" s="470">
        <f t="shared" si="32"/>
        <v>246.49513341665588</v>
      </c>
      <c r="W202" s="470">
        <f t="shared" si="32"/>
        <v>244.58068147038207</v>
      </c>
      <c r="X202" s="470">
        <f t="shared" si="32"/>
        <v>310.65575279838919</v>
      </c>
      <c r="Y202" s="470">
        <f t="shared" si="32"/>
        <v>265.76396387285831</v>
      </c>
      <c r="Z202" s="470">
        <f t="shared" si="32"/>
        <v>285.45938346871185</v>
      </c>
      <c r="AA202" s="470">
        <f t="shared" si="32"/>
        <v>285.45938346871185</v>
      </c>
      <c r="AB202" s="470">
        <f t="shared" si="32"/>
        <v>241.98865484138469</v>
      </c>
      <c r="AC202" s="470">
        <f t="shared" si="32"/>
        <v>236.17003356403302</v>
      </c>
      <c r="AD202" s="470">
        <f t="shared" si="32"/>
        <v>277.63789731594414</v>
      </c>
      <c r="AE202" s="470">
        <f t="shared" si="32"/>
        <v>242.4435804543964</v>
      </c>
      <c r="AF202" s="470">
        <f t="shared" si="33"/>
        <v>261.07794704529169</v>
      </c>
      <c r="AG202" s="470">
        <f t="shared" si="33"/>
        <v>249.13592132758336</v>
      </c>
      <c r="AH202" s="470">
        <f t="shared" si="33"/>
        <v>251.87720225800854</v>
      </c>
      <c r="AI202" s="470">
        <f t="shared" si="33"/>
        <v>232.69499779943155</v>
      </c>
      <c r="AJ202" s="470">
        <f t="shared" si="33"/>
        <v>262.63340946838264</v>
      </c>
      <c r="AK202" s="470">
        <f t="shared" si="33"/>
        <v>278.72331406144502</v>
      </c>
      <c r="AL202" s="470">
        <f t="shared" si="33"/>
        <v>301.84087862655088</v>
      </c>
      <c r="AN202" s="426"/>
      <c r="AO202" s="426"/>
      <c r="AP202" s="426"/>
      <c r="AQ202" s="426"/>
      <c r="AR202" s="426"/>
      <c r="AS202" s="426"/>
      <c r="AT202" s="426"/>
      <c r="AU202" s="426"/>
      <c r="AV202" s="426"/>
      <c r="AW202" s="426"/>
      <c r="AX202" s="426"/>
      <c r="AY202" s="426"/>
    </row>
    <row r="203" spans="1:51" x14ac:dyDescent="0.25">
      <c r="B203" s="425"/>
      <c r="F203" s="167"/>
      <c r="G203" s="167"/>
      <c r="H203" s="445">
        <v>2050</v>
      </c>
      <c r="I203" s="176">
        <v>267.75785400000007</v>
      </c>
      <c r="J203" s="471" t="s">
        <v>256</v>
      </c>
      <c r="K203" s="470">
        <f t="shared" si="27"/>
        <v>217.14866683887976</v>
      </c>
      <c r="L203" s="470">
        <f t="shared" si="31"/>
        <v>226.77689596330666</v>
      </c>
      <c r="M203" s="470">
        <f t="shared" si="31"/>
        <v>218.26542357869155</v>
      </c>
      <c r="N203" s="470">
        <f t="shared" si="31"/>
        <v>218.27989957618132</v>
      </c>
      <c r="O203" s="470">
        <f t="shared" si="31"/>
        <v>267.88141951485244</v>
      </c>
      <c r="P203" s="470">
        <f t="shared" si="31"/>
        <v>222.48651278312087</v>
      </c>
      <c r="Q203" s="470">
        <f t="shared" si="31"/>
        <v>228.52670153830971</v>
      </c>
      <c r="R203" s="470">
        <f t="shared" si="31"/>
        <v>220.71680893437005</v>
      </c>
      <c r="S203" s="470">
        <f t="shared" si="31"/>
        <v>230.68653051993792</v>
      </c>
      <c r="T203" s="470">
        <f t="shared" si="31"/>
        <v>269.06416383845379</v>
      </c>
      <c r="U203" s="470">
        <f t="shared" si="31"/>
        <v>227.40949002876536</v>
      </c>
      <c r="V203" s="470">
        <f t="shared" si="32"/>
        <v>231.20980345115055</v>
      </c>
      <c r="W203" s="470">
        <f t="shared" si="32"/>
        <v>229.41406796510168</v>
      </c>
      <c r="X203" s="470">
        <f t="shared" si="32"/>
        <v>291.39177942338796</v>
      </c>
      <c r="Y203" s="470">
        <f t="shared" si="32"/>
        <v>249.28376069630838</v>
      </c>
      <c r="Z203" s="470">
        <f t="shared" si="32"/>
        <v>267.75785400000007</v>
      </c>
      <c r="AA203" s="470">
        <f t="shared" si="32"/>
        <v>267.75785400000007</v>
      </c>
      <c r="AB203" s="470">
        <f t="shared" si="32"/>
        <v>226.98277466075226</v>
      </c>
      <c r="AC203" s="470">
        <f t="shared" si="32"/>
        <v>221.52497002483219</v>
      </c>
      <c r="AD203" s="470">
        <f t="shared" si="32"/>
        <v>260.42138349443218</v>
      </c>
      <c r="AE203" s="470">
        <f t="shared" si="32"/>
        <v>227.40949002876536</v>
      </c>
      <c r="AF203" s="470">
        <f t="shared" si="33"/>
        <v>244.88832694208867</v>
      </c>
      <c r="AG203" s="470">
        <f t="shared" si="33"/>
        <v>233.68683431735286</v>
      </c>
      <c r="AH203" s="470">
        <f t="shared" si="33"/>
        <v>236.25812656293508</v>
      </c>
      <c r="AI203" s="470">
        <f t="shared" si="33"/>
        <v>218.26542357869155</v>
      </c>
      <c r="AJ203" s="470">
        <f t="shared" si="33"/>
        <v>246.3473340881267</v>
      </c>
      <c r="AK203" s="470">
        <f t="shared" si="33"/>
        <v>261.43949281331129</v>
      </c>
      <c r="AL203" s="470">
        <f t="shared" si="33"/>
        <v>283.12352156179219</v>
      </c>
      <c r="AN203" s="426"/>
      <c r="AO203" s="426"/>
      <c r="AP203" s="426"/>
      <c r="AQ203" s="426"/>
      <c r="AR203" s="426"/>
      <c r="AS203" s="426"/>
      <c r="AT203" s="426"/>
      <c r="AU203" s="426"/>
      <c r="AV203" s="426"/>
      <c r="AW203" s="426"/>
      <c r="AX203" s="426"/>
      <c r="AY203" s="426"/>
    </row>
    <row r="204" spans="1:51" x14ac:dyDescent="0.25">
      <c r="A204" s="424" t="s">
        <v>122</v>
      </c>
      <c r="B204" s="425" t="s">
        <v>544</v>
      </c>
      <c r="C204" s="425" t="s">
        <v>515</v>
      </c>
      <c r="D204" s="425" t="s">
        <v>516</v>
      </c>
      <c r="E204" s="425" t="s">
        <v>267</v>
      </c>
      <c r="F204" s="167"/>
      <c r="G204" s="167"/>
      <c r="H204" s="445">
        <v>2020</v>
      </c>
      <c r="I204" s="176">
        <v>1499.2527267899998</v>
      </c>
      <c r="J204" s="471" t="s">
        <v>256</v>
      </c>
      <c r="K204" s="470">
        <f t="shared" si="27"/>
        <v>1215.8774281071269</v>
      </c>
      <c r="L204" s="470">
        <f t="shared" ref="L204:U213" si="34">$I204*L$245</f>
        <v>1269.7886338974001</v>
      </c>
      <c r="M204" s="470">
        <f t="shared" si="34"/>
        <v>1222.1304681666873</v>
      </c>
      <c r="N204" s="470">
        <f t="shared" si="34"/>
        <v>1222.211523412632</v>
      </c>
      <c r="O204" s="470">
        <f t="shared" si="34"/>
        <v>1499.9446054120911</v>
      </c>
      <c r="P204" s="470">
        <f t="shared" si="34"/>
        <v>1245.765552647774</v>
      </c>
      <c r="Q204" s="470">
        <f t="shared" si="34"/>
        <v>1279.5862952562923</v>
      </c>
      <c r="R204" s="470">
        <f t="shared" si="34"/>
        <v>1235.8564751689473</v>
      </c>
      <c r="S204" s="470">
        <f t="shared" si="34"/>
        <v>1291.6797948184233</v>
      </c>
      <c r="T204" s="470">
        <f t="shared" si="34"/>
        <v>1506.5671288068845</v>
      </c>
      <c r="U204" s="470">
        <f t="shared" si="34"/>
        <v>1273.3307088110651</v>
      </c>
      <c r="V204" s="470">
        <f t="shared" ref="V204:AE213" si="35">$I204*V$245</f>
        <v>1294.6097494668347</v>
      </c>
      <c r="W204" s="470">
        <f t="shared" si="35"/>
        <v>1284.5549134131652</v>
      </c>
      <c r="X204" s="470">
        <f t="shared" si="35"/>
        <v>1631.5858277856694</v>
      </c>
      <c r="Y204" s="470">
        <f t="shared" si="35"/>
        <v>1395.8110000702577</v>
      </c>
      <c r="Z204" s="470">
        <f t="shared" si="35"/>
        <v>1499.2527267899998</v>
      </c>
      <c r="AA204" s="470">
        <f t="shared" si="35"/>
        <v>1499.2527267899998</v>
      </c>
      <c r="AB204" s="470">
        <f t="shared" si="35"/>
        <v>1270.9414075468831</v>
      </c>
      <c r="AC204" s="470">
        <f t="shared" si="35"/>
        <v>1240.3816000176134</v>
      </c>
      <c r="AD204" s="470">
        <f t="shared" si="35"/>
        <v>1458.173732294895</v>
      </c>
      <c r="AE204" s="470">
        <f t="shared" si="35"/>
        <v>1273.3307088110651</v>
      </c>
      <c r="AF204" s="470">
        <f t="shared" ref="AF204:AL213" si="36">$I204*AF$245</f>
        <v>1371.1997106421659</v>
      </c>
      <c r="AG204" s="470">
        <f t="shared" si="36"/>
        <v>1308.4793530098061</v>
      </c>
      <c r="AH204" s="470">
        <f t="shared" si="36"/>
        <v>1322.8767529477479</v>
      </c>
      <c r="AI204" s="470">
        <f t="shared" si="36"/>
        <v>1222.1304681666873</v>
      </c>
      <c r="AJ204" s="470">
        <f t="shared" si="36"/>
        <v>1379.3691085120174</v>
      </c>
      <c r="AK204" s="470">
        <f t="shared" si="36"/>
        <v>1463.874417259676</v>
      </c>
      <c r="AL204" s="470">
        <f t="shared" si="36"/>
        <v>1585.2894896592059</v>
      </c>
      <c r="AN204" s="426"/>
      <c r="AO204" s="426"/>
      <c r="AP204" s="426"/>
      <c r="AQ204" s="426"/>
      <c r="AR204" s="426"/>
      <c r="AS204" s="426"/>
      <c r="AT204" s="426"/>
      <c r="AU204" s="426"/>
      <c r="AV204" s="426"/>
      <c r="AW204" s="426"/>
      <c r="AX204" s="426"/>
      <c r="AY204" s="426"/>
    </row>
    <row r="205" spans="1:51" x14ac:dyDescent="0.25">
      <c r="A205" s="424" t="s">
        <v>122</v>
      </c>
      <c r="B205" s="425" t="s">
        <v>545</v>
      </c>
      <c r="C205" s="425" t="s">
        <v>515</v>
      </c>
      <c r="D205" s="425" t="s">
        <v>516</v>
      </c>
      <c r="E205" s="425" t="s">
        <v>268</v>
      </c>
      <c r="F205" s="167"/>
      <c r="G205" s="167"/>
      <c r="H205" s="445">
        <v>2030</v>
      </c>
      <c r="I205" s="176">
        <v>1522.4584074700001</v>
      </c>
      <c r="J205" s="471" t="s">
        <v>256</v>
      </c>
      <c r="K205" s="470">
        <f t="shared" si="27"/>
        <v>1234.6969792331633</v>
      </c>
      <c r="L205" s="470">
        <f t="shared" si="34"/>
        <v>1289.4426315475537</v>
      </c>
      <c r="M205" s="470">
        <f t="shared" si="34"/>
        <v>1241.046804876841</v>
      </c>
      <c r="N205" s="470">
        <f t="shared" si="34"/>
        <v>1241.1291147092345</v>
      </c>
      <c r="O205" s="470">
        <f t="shared" si="34"/>
        <v>1523.1609951033786</v>
      </c>
      <c r="P205" s="470">
        <f t="shared" si="34"/>
        <v>1265.0477170889783</v>
      </c>
      <c r="Q205" s="470">
        <f t="shared" si="34"/>
        <v>1299.3919427229459</v>
      </c>
      <c r="R205" s="470">
        <f t="shared" si="34"/>
        <v>1254.9852652765931</v>
      </c>
      <c r="S205" s="470">
        <f t="shared" si="34"/>
        <v>1311.6726274634848</v>
      </c>
      <c r="T205" s="470">
        <f t="shared" si="34"/>
        <v>1529.8860230062176</v>
      </c>
      <c r="U205" s="470">
        <f t="shared" si="34"/>
        <v>1293.039531280225</v>
      </c>
      <c r="V205" s="470">
        <f t="shared" si="35"/>
        <v>1314.6479324326012</v>
      </c>
      <c r="W205" s="470">
        <f t="shared" si="35"/>
        <v>1304.4374659701409</v>
      </c>
      <c r="X205" s="470">
        <f t="shared" si="35"/>
        <v>1656.8397820023636</v>
      </c>
      <c r="Y205" s="470">
        <f t="shared" si="35"/>
        <v>1417.415592663938</v>
      </c>
      <c r="Z205" s="470">
        <f t="shared" si="35"/>
        <v>1522.4584074700001</v>
      </c>
      <c r="AA205" s="470">
        <f t="shared" si="35"/>
        <v>1522.4584074700001</v>
      </c>
      <c r="AB205" s="470">
        <f t="shared" si="35"/>
        <v>1290.613248017482</v>
      </c>
      <c r="AC205" s="470">
        <f t="shared" si="35"/>
        <v>1259.5804307530993</v>
      </c>
      <c r="AD205" s="470">
        <f t="shared" si="35"/>
        <v>1480.7435855310796</v>
      </c>
      <c r="AE205" s="470">
        <f t="shared" si="35"/>
        <v>1293.039531280225</v>
      </c>
      <c r="AF205" s="470">
        <f t="shared" si="36"/>
        <v>1392.4233656438139</v>
      </c>
      <c r="AG205" s="470">
        <f t="shared" si="36"/>
        <v>1328.7322119839769</v>
      </c>
      <c r="AH205" s="470">
        <f t="shared" si="36"/>
        <v>1343.3524572498693</v>
      </c>
      <c r="AI205" s="470">
        <f t="shared" si="36"/>
        <v>1241.046804876841</v>
      </c>
      <c r="AJ205" s="470">
        <f t="shared" si="36"/>
        <v>1400.7192107996555</v>
      </c>
      <c r="AK205" s="470">
        <f t="shared" si="36"/>
        <v>1486.5325066368298</v>
      </c>
      <c r="AL205" s="470">
        <f t="shared" si="36"/>
        <v>1609.8268615278948</v>
      </c>
      <c r="AN205" s="426"/>
      <c r="AO205" s="426"/>
      <c r="AP205" s="426"/>
      <c r="AQ205" s="426"/>
      <c r="AR205" s="426"/>
      <c r="AS205" s="426"/>
      <c r="AT205" s="426"/>
      <c r="AU205" s="426"/>
      <c r="AV205" s="426"/>
      <c r="AW205" s="426"/>
      <c r="AX205" s="426"/>
      <c r="AY205" s="426"/>
    </row>
    <row r="206" spans="1:51" x14ac:dyDescent="0.25">
      <c r="B206" s="425"/>
      <c r="F206" s="167"/>
      <c r="G206" s="167"/>
      <c r="H206" s="445">
        <v>2050</v>
      </c>
      <c r="I206" s="176">
        <v>1200.4477121</v>
      </c>
      <c r="J206" s="471" t="s">
        <v>256</v>
      </c>
      <c r="K206" s="470">
        <f t="shared" si="27"/>
        <v>973.54985632764397</v>
      </c>
      <c r="L206" s="470">
        <f t="shared" si="34"/>
        <v>1016.7164169021579</v>
      </c>
      <c r="M206" s="470">
        <f t="shared" si="34"/>
        <v>978.55664904446678</v>
      </c>
      <c r="N206" s="470">
        <f t="shared" si="34"/>
        <v>978.62154976654597</v>
      </c>
      <c r="O206" s="470">
        <f t="shared" si="34"/>
        <v>1201.0016974915882</v>
      </c>
      <c r="P206" s="470">
        <f t="shared" si="34"/>
        <v>997.48119897765832</v>
      </c>
      <c r="Q206" s="470">
        <f t="shared" si="34"/>
        <v>1024.5613785634216</v>
      </c>
      <c r="R206" s="470">
        <f t="shared" si="34"/>
        <v>989.54702672242547</v>
      </c>
      <c r="S206" s="470">
        <f t="shared" si="34"/>
        <v>1034.2446118310547</v>
      </c>
      <c r="T206" s="470">
        <f t="shared" si="34"/>
        <v>1206.3043345424007</v>
      </c>
      <c r="U206" s="470">
        <f t="shared" si="34"/>
        <v>1019.5525469622978</v>
      </c>
      <c r="V206" s="470">
        <f t="shared" si="35"/>
        <v>1036.5906188059914</v>
      </c>
      <c r="W206" s="470">
        <f t="shared" si="35"/>
        <v>1028.5397380435388</v>
      </c>
      <c r="X206" s="470">
        <f t="shared" si="35"/>
        <v>1306.406477748189</v>
      </c>
      <c r="Y206" s="470">
        <f t="shared" si="35"/>
        <v>1117.6221937884491</v>
      </c>
      <c r="Z206" s="470">
        <f t="shared" si="35"/>
        <v>1200.4477121</v>
      </c>
      <c r="AA206" s="470">
        <f t="shared" si="35"/>
        <v>1200.4477121</v>
      </c>
      <c r="AB206" s="470">
        <f t="shared" si="35"/>
        <v>1017.6394397290391</v>
      </c>
      <c r="AC206" s="470">
        <f t="shared" si="35"/>
        <v>993.17028227799744</v>
      </c>
      <c r="AD206" s="470">
        <f t="shared" si="35"/>
        <v>1167.5558693333708</v>
      </c>
      <c r="AE206" s="470">
        <f t="shared" si="35"/>
        <v>1019.5525469622978</v>
      </c>
      <c r="AF206" s="470">
        <f t="shared" si="36"/>
        <v>1097.9159991236972</v>
      </c>
      <c r="AG206" s="470">
        <f t="shared" si="36"/>
        <v>1047.6959738561318</v>
      </c>
      <c r="AH206" s="470">
        <f t="shared" si="36"/>
        <v>1059.2239340904919</v>
      </c>
      <c r="AI206" s="470">
        <f t="shared" si="36"/>
        <v>978.55664904446678</v>
      </c>
      <c r="AJ206" s="470">
        <f t="shared" si="36"/>
        <v>1104.457214495101</v>
      </c>
      <c r="AK206" s="470">
        <f t="shared" si="36"/>
        <v>1172.1203927796785</v>
      </c>
      <c r="AL206" s="470">
        <f t="shared" si="36"/>
        <v>1269.3371216687015</v>
      </c>
      <c r="AN206" s="426"/>
      <c r="AO206" s="426"/>
      <c r="AP206" s="426"/>
      <c r="AQ206" s="426"/>
      <c r="AR206" s="426"/>
      <c r="AS206" s="426"/>
      <c r="AT206" s="426"/>
      <c r="AU206" s="426"/>
      <c r="AV206" s="426"/>
      <c r="AW206" s="426"/>
      <c r="AX206" s="426"/>
      <c r="AY206" s="426"/>
    </row>
    <row r="207" spans="1:51" x14ac:dyDescent="0.25">
      <c r="A207" s="424" t="s">
        <v>122</v>
      </c>
      <c r="B207" s="425" t="s">
        <v>546</v>
      </c>
      <c r="C207" s="425" t="s">
        <v>515</v>
      </c>
      <c r="D207" s="425" t="s">
        <v>516</v>
      </c>
      <c r="E207" s="425" t="s">
        <v>269</v>
      </c>
      <c r="F207" s="167"/>
      <c r="G207" s="167"/>
      <c r="H207" s="445">
        <v>2030</v>
      </c>
      <c r="I207" s="176">
        <v>1927.8565488000004</v>
      </c>
      <c r="J207" s="471" t="s">
        <v>256</v>
      </c>
      <c r="K207" s="470">
        <f t="shared" si="27"/>
        <v>1563.4704012399341</v>
      </c>
      <c r="L207" s="470">
        <f t="shared" si="34"/>
        <v>1632.7936509358078</v>
      </c>
      <c r="M207" s="470">
        <f t="shared" si="34"/>
        <v>1571.5110497665789</v>
      </c>
      <c r="N207" s="470">
        <f t="shared" si="34"/>
        <v>1571.6152769485054</v>
      </c>
      <c r="O207" s="470">
        <f t="shared" si="34"/>
        <v>1928.7462205069376</v>
      </c>
      <c r="P207" s="470">
        <f t="shared" si="34"/>
        <v>1601.9028920384701</v>
      </c>
      <c r="Q207" s="470">
        <f t="shared" si="34"/>
        <v>1645.3922510758298</v>
      </c>
      <c r="R207" s="470">
        <f t="shared" si="34"/>
        <v>1589.1610243274642</v>
      </c>
      <c r="S207" s="470">
        <f t="shared" si="34"/>
        <v>1660.9430197435529</v>
      </c>
      <c r="T207" s="470">
        <f t="shared" si="34"/>
        <v>1937.2619796368672</v>
      </c>
      <c r="U207" s="470">
        <f t="shared" si="34"/>
        <v>1637.3483282071106</v>
      </c>
      <c r="V207" s="470">
        <f t="shared" si="35"/>
        <v>1664.7105848482838</v>
      </c>
      <c r="W207" s="470">
        <f t="shared" si="35"/>
        <v>1651.7812893487319</v>
      </c>
      <c r="X207" s="470">
        <f t="shared" si="35"/>
        <v>2098.0208118483934</v>
      </c>
      <c r="Y207" s="470">
        <f t="shared" si="35"/>
        <v>1794.8430770134203</v>
      </c>
      <c r="Z207" s="470">
        <f t="shared" si="35"/>
        <v>1927.8565488000004</v>
      </c>
      <c r="AA207" s="470">
        <f t="shared" si="35"/>
        <v>1927.8565488000004</v>
      </c>
      <c r="AB207" s="470">
        <f t="shared" si="35"/>
        <v>1634.2759775574164</v>
      </c>
      <c r="AC207" s="470">
        <f t="shared" si="35"/>
        <v>1594.9797841787918</v>
      </c>
      <c r="AD207" s="470">
        <f t="shared" si="35"/>
        <v>1875.0339611599115</v>
      </c>
      <c r="AE207" s="470">
        <f t="shared" si="35"/>
        <v>1637.3483282071106</v>
      </c>
      <c r="AF207" s="470">
        <f t="shared" si="36"/>
        <v>1763.1959539830384</v>
      </c>
      <c r="AG207" s="470">
        <f t="shared" si="36"/>
        <v>1682.5452070849406</v>
      </c>
      <c r="AH207" s="470">
        <f t="shared" si="36"/>
        <v>1701.0585112531323</v>
      </c>
      <c r="AI207" s="470">
        <f t="shared" si="36"/>
        <v>1571.5110497665789</v>
      </c>
      <c r="AJ207" s="470">
        <f t="shared" si="36"/>
        <v>1773.7008054345122</v>
      </c>
      <c r="AK207" s="470">
        <f t="shared" si="36"/>
        <v>1882.3643482558409</v>
      </c>
      <c r="AL207" s="470">
        <f t="shared" si="36"/>
        <v>2038.4893552449037</v>
      </c>
      <c r="AN207" s="426"/>
      <c r="AO207" s="426"/>
      <c r="AP207" s="426"/>
      <c r="AQ207" s="426"/>
      <c r="AR207" s="426"/>
      <c r="AS207" s="426"/>
      <c r="AT207" s="426"/>
      <c r="AU207" s="426"/>
      <c r="AV207" s="426"/>
      <c r="AW207" s="426"/>
      <c r="AX207" s="426"/>
      <c r="AY207" s="426"/>
    </row>
    <row r="208" spans="1:51" x14ac:dyDescent="0.25">
      <c r="B208" s="425"/>
      <c r="F208" s="167"/>
      <c r="G208" s="167"/>
      <c r="H208" s="445">
        <v>2050</v>
      </c>
      <c r="I208" s="176">
        <v>1706.9228495182501</v>
      </c>
      <c r="J208" s="471" t="s">
        <v>256</v>
      </c>
      <c r="K208" s="470">
        <f t="shared" si="27"/>
        <v>1384.2956075145032</v>
      </c>
      <c r="L208" s="470">
        <f t="shared" si="34"/>
        <v>1445.6743646540842</v>
      </c>
      <c r="M208" s="470">
        <f t="shared" si="34"/>
        <v>1391.414792136211</v>
      </c>
      <c r="N208" s="470">
        <f t="shared" si="34"/>
        <v>1391.5070748107087</v>
      </c>
      <c r="O208" s="470">
        <f t="shared" si="34"/>
        <v>1707.7105642297447</v>
      </c>
      <c r="P208" s="470">
        <f t="shared" si="34"/>
        <v>1418.3237081782975</v>
      </c>
      <c r="Q208" s="470">
        <f t="shared" si="34"/>
        <v>1456.8291564690319</v>
      </c>
      <c r="R208" s="470">
        <f t="shared" si="34"/>
        <v>1407.042067355492</v>
      </c>
      <c r="S208" s="470">
        <f t="shared" si="34"/>
        <v>1470.5977962482889</v>
      </c>
      <c r="T208" s="470">
        <f t="shared" si="34"/>
        <v>1715.2504114496628</v>
      </c>
      <c r="U208" s="470">
        <f t="shared" si="34"/>
        <v>1449.7070727471253</v>
      </c>
      <c r="V208" s="470">
        <f t="shared" si="35"/>
        <v>1473.9335957756532</v>
      </c>
      <c r="W208" s="470">
        <f t="shared" si="35"/>
        <v>1462.4860065190273</v>
      </c>
      <c r="X208" s="470">
        <f t="shared" si="35"/>
        <v>1857.5861698516699</v>
      </c>
      <c r="Y208" s="470">
        <f t="shared" si="35"/>
        <v>1589.1528139688787</v>
      </c>
      <c r="Z208" s="470">
        <f t="shared" si="35"/>
        <v>1706.9228495182501</v>
      </c>
      <c r="AA208" s="470">
        <f t="shared" si="35"/>
        <v>1706.9228495182501</v>
      </c>
      <c r="AB208" s="470">
        <f t="shared" si="35"/>
        <v>1446.9868156154628</v>
      </c>
      <c r="AC208" s="470">
        <f t="shared" si="35"/>
        <v>1412.1939932870519</v>
      </c>
      <c r="AD208" s="470">
        <f t="shared" si="35"/>
        <v>1660.153767104068</v>
      </c>
      <c r="AE208" s="470">
        <f t="shared" si="35"/>
        <v>1449.7070727471253</v>
      </c>
      <c r="AF208" s="470">
        <f t="shared" si="36"/>
        <v>1561.1324732149471</v>
      </c>
      <c r="AG208" s="470">
        <f t="shared" si="36"/>
        <v>1489.7243579188346</v>
      </c>
      <c r="AH208" s="470">
        <f t="shared" si="36"/>
        <v>1506.1160245728904</v>
      </c>
      <c r="AI208" s="470">
        <f t="shared" si="36"/>
        <v>1391.414792136211</v>
      </c>
      <c r="AJ208" s="470">
        <f t="shared" si="36"/>
        <v>1570.4334613950464</v>
      </c>
      <c r="AK208" s="470">
        <f t="shared" si="36"/>
        <v>1666.6440867482575</v>
      </c>
      <c r="AL208" s="470">
        <f t="shared" si="36"/>
        <v>1804.8770595162298</v>
      </c>
      <c r="AN208" s="426"/>
      <c r="AO208" s="426"/>
      <c r="AP208" s="426"/>
      <c r="AQ208" s="426"/>
      <c r="AR208" s="426"/>
      <c r="AS208" s="426"/>
      <c r="AT208" s="426"/>
      <c r="AU208" s="426"/>
      <c r="AV208" s="426"/>
      <c r="AW208" s="426"/>
      <c r="AX208" s="426"/>
      <c r="AY208" s="426"/>
    </row>
    <row r="209" spans="1:51" x14ac:dyDescent="0.25">
      <c r="A209" s="424" t="s">
        <v>122</v>
      </c>
      <c r="B209" s="425" t="s">
        <v>547</v>
      </c>
      <c r="C209" s="425" t="s">
        <v>19</v>
      </c>
      <c r="D209" s="425" t="s">
        <v>105</v>
      </c>
      <c r="E209" s="425" t="s">
        <v>243</v>
      </c>
      <c r="F209" s="167"/>
      <c r="G209" s="167"/>
      <c r="H209" s="445">
        <v>2020</v>
      </c>
      <c r="I209" s="176">
        <v>2161.1883930000004</v>
      </c>
      <c r="J209" s="471" t="s">
        <v>256</v>
      </c>
      <c r="K209" s="470">
        <f t="shared" si="27"/>
        <v>1752.6999537709578</v>
      </c>
      <c r="L209" s="470">
        <f t="shared" si="34"/>
        <v>1830.4135174181179</v>
      </c>
      <c r="M209" s="470">
        <f t="shared" si="34"/>
        <v>1761.7137760280102</v>
      </c>
      <c r="N209" s="470">
        <f t="shared" si="34"/>
        <v>1761.8306180077491</v>
      </c>
      <c r="O209" s="470">
        <f t="shared" si="34"/>
        <v>2162.1857432270231</v>
      </c>
      <c r="P209" s="470">
        <f t="shared" si="34"/>
        <v>1795.7839960351896</v>
      </c>
      <c r="Q209" s="470">
        <f t="shared" si="34"/>
        <v>1844.5369481306425</v>
      </c>
      <c r="R209" s="470">
        <f t="shared" si="34"/>
        <v>1781.4999578274153</v>
      </c>
      <c r="S209" s="470">
        <f t="shared" si="34"/>
        <v>1861.9698534823558</v>
      </c>
      <c r="T209" s="470">
        <f t="shared" si="34"/>
        <v>2171.7321795532339</v>
      </c>
      <c r="U209" s="470">
        <f t="shared" si="34"/>
        <v>1835.5194552321775</v>
      </c>
      <c r="V209" s="470">
        <f t="shared" si="35"/>
        <v>1866.1934135700008</v>
      </c>
      <c r="W209" s="470">
        <f t="shared" si="35"/>
        <v>1851.6992628611777</v>
      </c>
      <c r="X209" s="470">
        <f t="shared" si="35"/>
        <v>2351.9479339173454</v>
      </c>
      <c r="Y209" s="470">
        <f t="shared" si="35"/>
        <v>2012.0760684773461</v>
      </c>
      <c r="Z209" s="470">
        <f t="shared" si="35"/>
        <v>2161.1883930000004</v>
      </c>
      <c r="AA209" s="470">
        <f t="shared" si="35"/>
        <v>2161.1883930000004</v>
      </c>
      <c r="AB209" s="470">
        <f t="shared" si="35"/>
        <v>1832.075252618929</v>
      </c>
      <c r="AC209" s="470">
        <f t="shared" si="35"/>
        <v>1788.0229723432883</v>
      </c>
      <c r="AD209" s="470">
        <f t="shared" si="35"/>
        <v>2101.9725953479169</v>
      </c>
      <c r="AE209" s="470">
        <f t="shared" si="35"/>
        <v>1835.5194552321775</v>
      </c>
      <c r="AF209" s="470">
        <f t="shared" si="36"/>
        <v>1976.5986388897154</v>
      </c>
      <c r="AG209" s="470">
        <f t="shared" si="36"/>
        <v>1886.1865912757767</v>
      </c>
      <c r="AH209" s="470">
        <f t="shared" si="36"/>
        <v>1906.9405929722614</v>
      </c>
      <c r="AI209" s="470">
        <f t="shared" si="36"/>
        <v>1761.7137760280102</v>
      </c>
      <c r="AJ209" s="470">
        <f t="shared" si="36"/>
        <v>1988.3749108541654</v>
      </c>
      <c r="AK209" s="470">
        <f t="shared" si="36"/>
        <v>2110.1901919931552</v>
      </c>
      <c r="AL209" s="470">
        <f t="shared" si="36"/>
        <v>2285.2112811773227</v>
      </c>
      <c r="AN209" s="426"/>
      <c r="AO209" s="426"/>
      <c r="AP209" s="426"/>
      <c r="AQ209" s="426"/>
      <c r="AR209" s="426"/>
      <c r="AS209" s="426"/>
      <c r="AT209" s="426"/>
      <c r="AU209" s="426"/>
      <c r="AV209" s="426"/>
      <c r="AW209" s="426"/>
      <c r="AX209" s="426"/>
      <c r="AY209" s="426"/>
    </row>
    <row r="210" spans="1:51" x14ac:dyDescent="0.25">
      <c r="A210" s="424" t="s">
        <v>122</v>
      </c>
      <c r="B210" s="425" t="s">
        <v>548</v>
      </c>
      <c r="C210" s="425" t="s">
        <v>19</v>
      </c>
      <c r="D210" s="425" t="s">
        <v>105</v>
      </c>
      <c r="E210" s="425" t="s">
        <v>244</v>
      </c>
      <c r="F210" s="167"/>
      <c r="G210" s="167"/>
      <c r="H210" s="445">
        <v>2030</v>
      </c>
      <c r="I210" s="176">
        <v>2302.0695345771151</v>
      </c>
      <c r="J210" s="471" t="s">
        <v>256</v>
      </c>
      <c r="K210" s="470">
        <f t="shared" si="27"/>
        <v>1866.953005994068</v>
      </c>
      <c r="L210" s="470">
        <f t="shared" si="34"/>
        <v>1949.7324748617534</v>
      </c>
      <c r="M210" s="470">
        <f t="shared" si="34"/>
        <v>1876.5544112557579</v>
      </c>
      <c r="N210" s="470">
        <f t="shared" si="34"/>
        <v>1876.6788698003197</v>
      </c>
      <c r="O210" s="470">
        <f t="shared" si="34"/>
        <v>2303.1318989597708</v>
      </c>
      <c r="P210" s="470">
        <f t="shared" si="34"/>
        <v>1912.8455628133481</v>
      </c>
      <c r="Q210" s="470">
        <f t="shared" si="34"/>
        <v>1964.7765680432283</v>
      </c>
      <c r="R210" s="470">
        <f t="shared" si="34"/>
        <v>1897.6303926341268</v>
      </c>
      <c r="S210" s="470">
        <f t="shared" si="34"/>
        <v>1983.3458702101891</v>
      </c>
      <c r="T210" s="470">
        <f t="shared" si="34"/>
        <v>2313.3006377432716</v>
      </c>
      <c r="U210" s="470">
        <f t="shared" si="34"/>
        <v>1955.1712528624421</v>
      </c>
      <c r="V210" s="470">
        <f t="shared" si="35"/>
        <v>1987.8447510281296</v>
      </c>
      <c r="W210" s="470">
        <f t="shared" si="35"/>
        <v>1972.4057717681892</v>
      </c>
      <c r="X210" s="470">
        <f t="shared" si="35"/>
        <v>2505.2640959573719</v>
      </c>
      <c r="Y210" s="470">
        <f t="shared" si="35"/>
        <v>2143.2370419423196</v>
      </c>
      <c r="Z210" s="470">
        <f t="shared" si="35"/>
        <v>2302.0695345771151</v>
      </c>
      <c r="AA210" s="470">
        <f t="shared" si="35"/>
        <v>2302.0695345771151</v>
      </c>
      <c r="AB210" s="470">
        <f t="shared" si="35"/>
        <v>1951.5025334057989</v>
      </c>
      <c r="AC210" s="470">
        <f t="shared" si="35"/>
        <v>1904.5786221541598</v>
      </c>
      <c r="AD210" s="470">
        <f t="shared" si="35"/>
        <v>2238.9936434692063</v>
      </c>
      <c r="AE210" s="470">
        <f t="shared" si="35"/>
        <v>1955.1712528624421</v>
      </c>
      <c r="AF210" s="470">
        <f t="shared" si="36"/>
        <v>2105.4469491936634</v>
      </c>
      <c r="AG210" s="470">
        <f t="shared" si="36"/>
        <v>2009.1412217314373</v>
      </c>
      <c r="AH210" s="470">
        <f t="shared" si="36"/>
        <v>2031.2481121722649</v>
      </c>
      <c r="AI210" s="470">
        <f t="shared" si="36"/>
        <v>1876.5544112557579</v>
      </c>
      <c r="AJ210" s="470">
        <f t="shared" si="36"/>
        <v>2117.9908796571349</v>
      </c>
      <c r="AK210" s="470">
        <f t="shared" si="36"/>
        <v>2247.7469196508287</v>
      </c>
      <c r="AL210" s="470">
        <f t="shared" si="36"/>
        <v>2434.1770886376635</v>
      </c>
      <c r="AN210" s="426"/>
      <c r="AO210" s="426"/>
      <c r="AP210" s="426"/>
      <c r="AQ210" s="426"/>
      <c r="AR210" s="426"/>
      <c r="AS210" s="426"/>
      <c r="AT210" s="426"/>
      <c r="AU210" s="426"/>
      <c r="AV210" s="426"/>
      <c r="AW210" s="426"/>
      <c r="AX210" s="426"/>
      <c r="AY210" s="426"/>
    </row>
    <row r="211" spans="1:51" x14ac:dyDescent="0.25">
      <c r="B211" s="425"/>
      <c r="F211" s="167"/>
      <c r="G211" s="167"/>
      <c r="H211" s="445">
        <v>2050</v>
      </c>
      <c r="I211" s="176">
        <v>2001.5929424400003</v>
      </c>
      <c r="J211" s="471" t="s">
        <v>256</v>
      </c>
      <c r="K211" s="470">
        <f t="shared" si="27"/>
        <v>1623.2698033386409</v>
      </c>
      <c r="L211" s="470">
        <f t="shared" si="34"/>
        <v>1695.2445192087798</v>
      </c>
      <c r="M211" s="470">
        <f t="shared" si="34"/>
        <v>1631.6179894905572</v>
      </c>
      <c r="N211" s="470">
        <f t="shared" si="34"/>
        <v>1631.7262031394846</v>
      </c>
      <c r="O211" s="470">
        <f t="shared" si="34"/>
        <v>2002.5166421887197</v>
      </c>
      <c r="P211" s="470">
        <f t="shared" si="34"/>
        <v>1663.1722547895142</v>
      </c>
      <c r="Q211" s="470">
        <f t="shared" si="34"/>
        <v>1708.3249888840719</v>
      </c>
      <c r="R211" s="470">
        <f t="shared" si="34"/>
        <v>1649.9430378647753</v>
      </c>
      <c r="S211" s="470">
        <f t="shared" si="34"/>
        <v>1724.4705412251972</v>
      </c>
      <c r="T211" s="470">
        <f t="shared" si="34"/>
        <v>2011.3581109093027</v>
      </c>
      <c r="U211" s="470">
        <f t="shared" si="34"/>
        <v>1699.9734031534936</v>
      </c>
      <c r="V211" s="470">
        <f t="shared" si="35"/>
        <v>1728.3822076448314</v>
      </c>
      <c r="W211" s="470">
        <f t="shared" si="35"/>
        <v>1714.9583942191214</v>
      </c>
      <c r="X211" s="470">
        <f t="shared" si="35"/>
        <v>2178.2656249511415</v>
      </c>
      <c r="Y211" s="470">
        <f t="shared" si="35"/>
        <v>1863.4919895744035</v>
      </c>
      <c r="Z211" s="470">
        <f t="shared" si="35"/>
        <v>2001.5929424400003</v>
      </c>
      <c r="AA211" s="470">
        <f t="shared" si="35"/>
        <v>2001.5929424400003</v>
      </c>
      <c r="AB211" s="470">
        <f t="shared" si="35"/>
        <v>1696.7835416563003</v>
      </c>
      <c r="AC211" s="470">
        <f t="shared" si="35"/>
        <v>1655.9843528471686</v>
      </c>
      <c r="AD211" s="470">
        <f t="shared" si="35"/>
        <v>1946.7500036914553</v>
      </c>
      <c r="AE211" s="470">
        <f t="shared" si="35"/>
        <v>1699.9734031534936</v>
      </c>
      <c r="AF211" s="470">
        <f t="shared" si="36"/>
        <v>1830.6344317101673</v>
      </c>
      <c r="AG211" s="470">
        <f t="shared" si="36"/>
        <v>1746.8989660738732</v>
      </c>
      <c r="AH211" s="470">
        <f t="shared" si="36"/>
        <v>1766.120364568156</v>
      </c>
      <c r="AI211" s="470">
        <f t="shared" si="36"/>
        <v>1631.6179894905572</v>
      </c>
      <c r="AJ211" s="470">
        <f t="shared" si="36"/>
        <v>1841.5410712833961</v>
      </c>
      <c r="AK211" s="470">
        <f t="shared" si="36"/>
        <v>1954.3607624305837</v>
      </c>
      <c r="AL211" s="470">
        <f t="shared" si="36"/>
        <v>2116.4572173365355</v>
      </c>
      <c r="AN211" s="426"/>
      <c r="AO211" s="426"/>
      <c r="AP211" s="426"/>
      <c r="AQ211" s="426"/>
      <c r="AR211" s="426"/>
      <c r="AS211" s="426"/>
      <c r="AT211" s="426"/>
      <c r="AU211" s="426"/>
      <c r="AV211" s="426"/>
      <c r="AW211" s="426"/>
      <c r="AX211" s="426"/>
      <c r="AY211" s="426"/>
    </row>
    <row r="212" spans="1:51" x14ac:dyDescent="0.25">
      <c r="A212" s="424" t="s">
        <v>122</v>
      </c>
      <c r="B212" s="425" t="s">
        <v>549</v>
      </c>
      <c r="C212" s="425" t="s">
        <v>19</v>
      </c>
      <c r="D212" s="425" t="s">
        <v>105</v>
      </c>
      <c r="E212" s="425" t="s">
        <v>245</v>
      </c>
      <c r="F212" s="167"/>
      <c r="G212" s="167"/>
      <c r="H212" s="445">
        <v>2030</v>
      </c>
      <c r="I212" s="176">
        <v>2977.5270626865686</v>
      </c>
      <c r="J212" s="471" t="s">
        <v>256</v>
      </c>
      <c r="K212" s="470">
        <f t="shared" si="27"/>
        <v>2414.7416125432264</v>
      </c>
      <c r="L212" s="470">
        <f t="shared" si="34"/>
        <v>2521.8096680846638</v>
      </c>
      <c r="M212" s="470">
        <f t="shared" si="34"/>
        <v>2427.1601965942741</v>
      </c>
      <c r="N212" s="470">
        <f t="shared" si="34"/>
        <v>2427.3211729153841</v>
      </c>
      <c r="O212" s="470">
        <f t="shared" si="34"/>
        <v>2978.9011387743153</v>
      </c>
      <c r="P212" s="470">
        <f t="shared" si="34"/>
        <v>2474.0996501058876</v>
      </c>
      <c r="Q212" s="470">
        <f t="shared" si="34"/>
        <v>2541.2678963912417</v>
      </c>
      <c r="R212" s="470">
        <f t="shared" si="34"/>
        <v>2454.4201485567155</v>
      </c>
      <c r="S212" s="470">
        <f t="shared" si="34"/>
        <v>2565.2856764395265</v>
      </c>
      <c r="T212" s="470">
        <f t="shared" si="34"/>
        <v>2992.0535194763279</v>
      </c>
      <c r="U212" s="470">
        <f t="shared" si="34"/>
        <v>2528.8442551993267</v>
      </c>
      <c r="V212" s="470">
        <f t="shared" si="35"/>
        <v>2571.104588156144</v>
      </c>
      <c r="W212" s="470">
        <f t="shared" si="35"/>
        <v>2551.1356089935866</v>
      </c>
      <c r="X212" s="470">
        <f t="shared" si="35"/>
        <v>3240.3415851903737</v>
      </c>
      <c r="Y212" s="470">
        <f t="shared" si="35"/>
        <v>2772.0910243086291</v>
      </c>
      <c r="Z212" s="470">
        <f t="shared" si="35"/>
        <v>2977.5270626865686</v>
      </c>
      <c r="AA212" s="470">
        <f t="shared" si="35"/>
        <v>2977.5270626865686</v>
      </c>
      <c r="AB212" s="470">
        <f t="shared" si="35"/>
        <v>2524.0990851236684</v>
      </c>
      <c r="AC212" s="470">
        <f t="shared" si="35"/>
        <v>2463.4070801514886</v>
      </c>
      <c r="AD212" s="470">
        <f t="shared" si="35"/>
        <v>2895.9438741877161</v>
      </c>
      <c r="AE212" s="470">
        <f t="shared" si="35"/>
        <v>2528.8442551993267</v>
      </c>
      <c r="AF212" s="470">
        <f t="shared" si="36"/>
        <v>2723.2128205139602</v>
      </c>
      <c r="AG212" s="470">
        <f t="shared" si="36"/>
        <v>2598.6497239161108</v>
      </c>
      <c r="AH212" s="470">
        <f t="shared" si="36"/>
        <v>2627.2430672407745</v>
      </c>
      <c r="AI212" s="470">
        <f t="shared" si="36"/>
        <v>2427.1601965942741</v>
      </c>
      <c r="AJ212" s="470">
        <f t="shared" si="36"/>
        <v>2739.4373054247981</v>
      </c>
      <c r="AK212" s="470">
        <f t="shared" si="36"/>
        <v>2907.2654769136475</v>
      </c>
      <c r="AL212" s="470">
        <f t="shared" si="36"/>
        <v>3148.3967134475179</v>
      </c>
      <c r="AN212" s="426"/>
      <c r="AO212" s="426"/>
      <c r="AP212" s="426"/>
      <c r="AQ212" s="426"/>
      <c r="AR212" s="426"/>
      <c r="AS212" s="426"/>
      <c r="AT212" s="426"/>
      <c r="AU212" s="426"/>
      <c r="AV212" s="426"/>
      <c r="AW212" s="426"/>
      <c r="AX212" s="426"/>
      <c r="AY212" s="426"/>
    </row>
    <row r="213" spans="1:51" x14ac:dyDescent="0.25">
      <c r="B213" s="425"/>
      <c r="F213" s="167"/>
      <c r="G213" s="167"/>
      <c r="H213" s="445">
        <v>2050</v>
      </c>
      <c r="I213" s="176">
        <v>2261.3386601901848</v>
      </c>
      <c r="J213" s="471" t="s">
        <v>256</v>
      </c>
      <c r="K213" s="470">
        <f t="shared" si="27"/>
        <v>1833.9207160344101</v>
      </c>
      <c r="L213" s="470">
        <f t="shared" si="34"/>
        <v>1915.2355548821834</v>
      </c>
      <c r="M213" s="470">
        <f t="shared" si="34"/>
        <v>1843.3522421392031</v>
      </c>
      <c r="N213" s="470">
        <f t="shared" si="34"/>
        <v>1843.474498619375</v>
      </c>
      <c r="O213" s="470">
        <f t="shared" si="34"/>
        <v>2262.3822279945562</v>
      </c>
      <c r="P213" s="470">
        <f t="shared" si="34"/>
        <v>1879.001288706806</v>
      </c>
      <c r="Q213" s="470">
        <f t="shared" si="34"/>
        <v>1930.0134705827279</v>
      </c>
      <c r="R213" s="470">
        <f t="shared" si="34"/>
        <v>1864.055322900449</v>
      </c>
      <c r="S213" s="470">
        <f t="shared" si="34"/>
        <v>1948.2542231977943</v>
      </c>
      <c r="T213" s="470">
        <f t="shared" si="34"/>
        <v>2272.3710497009038</v>
      </c>
      <c r="U213" s="470">
        <f t="shared" si="34"/>
        <v>1920.5781037376455</v>
      </c>
      <c r="V213" s="470">
        <f t="shared" si="35"/>
        <v>1952.6735046175738</v>
      </c>
      <c r="W213" s="470">
        <f t="shared" si="35"/>
        <v>1937.5076896193787</v>
      </c>
      <c r="X213" s="470">
        <f t="shared" si="35"/>
        <v>2460.9380685868427</v>
      </c>
      <c r="Y213" s="470">
        <f t="shared" si="35"/>
        <v>2105.3164155556778</v>
      </c>
      <c r="Z213" s="470">
        <f t="shared" si="35"/>
        <v>2261.3386601901848</v>
      </c>
      <c r="AA213" s="470">
        <f t="shared" si="35"/>
        <v>2261.3386601901848</v>
      </c>
      <c r="AB213" s="470">
        <f t="shared" si="35"/>
        <v>1916.9742955050574</v>
      </c>
      <c r="AC213" s="470">
        <f t="shared" si="35"/>
        <v>1870.8806163147124</v>
      </c>
      <c r="AD213" s="470">
        <f t="shared" si="35"/>
        <v>2199.3787806357809</v>
      </c>
      <c r="AE213" s="470">
        <f t="shared" si="35"/>
        <v>1920.5781037376455</v>
      </c>
      <c r="AF213" s="470">
        <f t="shared" si="36"/>
        <v>2068.1949487966785</v>
      </c>
      <c r="AG213" s="470">
        <f t="shared" si="36"/>
        <v>1973.5931735518327</v>
      </c>
      <c r="AH213" s="470">
        <f t="shared" si="36"/>
        <v>1995.3089233411265</v>
      </c>
      <c r="AI213" s="470">
        <f t="shared" si="36"/>
        <v>1843.3522421392031</v>
      </c>
      <c r="AJ213" s="470">
        <f t="shared" si="36"/>
        <v>2080.5169375471173</v>
      </c>
      <c r="AK213" s="470">
        <f t="shared" si="36"/>
        <v>2207.9771837402559</v>
      </c>
      <c r="AL213" s="470">
        <f t="shared" si="36"/>
        <v>2391.10881474599</v>
      </c>
      <c r="AN213" s="426"/>
      <c r="AO213" s="426"/>
      <c r="AP213" s="426"/>
      <c r="AQ213" s="426"/>
      <c r="AR213" s="426"/>
      <c r="AS213" s="426"/>
      <c r="AT213" s="426"/>
      <c r="AU213" s="426"/>
      <c r="AV213" s="426"/>
      <c r="AW213" s="426"/>
      <c r="AX213" s="426"/>
      <c r="AY213" s="426"/>
    </row>
    <row r="214" spans="1:51" x14ac:dyDescent="0.25">
      <c r="A214" s="424" t="s">
        <v>122</v>
      </c>
      <c r="B214" s="425" t="s">
        <v>550</v>
      </c>
      <c r="C214" s="425" t="s">
        <v>20</v>
      </c>
      <c r="D214" s="425" t="s">
        <v>108</v>
      </c>
      <c r="E214" s="425" t="s">
        <v>247</v>
      </c>
      <c r="F214" s="167"/>
      <c r="G214" s="167"/>
      <c r="H214" s="445">
        <v>2020</v>
      </c>
      <c r="I214" s="176">
        <v>116.52344689547003</v>
      </c>
      <c r="J214" s="471" t="s">
        <v>256</v>
      </c>
      <c r="K214" s="470">
        <f t="shared" si="27"/>
        <v>94.499230445812856</v>
      </c>
      <c r="L214" s="470">
        <f t="shared" ref="L214:U220" si="37">$I214*L$245</f>
        <v>98.689264195775507</v>
      </c>
      <c r="M214" s="470">
        <f t="shared" si="37"/>
        <v>94.985223079540106</v>
      </c>
      <c r="N214" s="470">
        <f t="shared" si="37"/>
        <v>94.991522775700503</v>
      </c>
      <c r="O214" s="470">
        <f t="shared" si="37"/>
        <v>116.57722040572536</v>
      </c>
      <c r="P214" s="470">
        <f t="shared" si="37"/>
        <v>96.822165885906344</v>
      </c>
      <c r="Q214" s="470">
        <f t="shared" si="37"/>
        <v>99.450748402308875</v>
      </c>
      <c r="R214" s="470">
        <f t="shared" si="37"/>
        <v>96.052022305204417</v>
      </c>
      <c r="S214" s="470">
        <f t="shared" si="37"/>
        <v>100.3906674892166</v>
      </c>
      <c r="T214" s="470">
        <f t="shared" si="37"/>
        <v>117.09192966008798</v>
      </c>
      <c r="U214" s="470">
        <f t="shared" si="37"/>
        <v>98.964557860897543</v>
      </c>
      <c r="V214" s="470">
        <f t="shared" ref="V214:AE220" si="38">$I214*V$245</f>
        <v>100.61838654470318</v>
      </c>
      <c r="W214" s="470">
        <f t="shared" si="38"/>
        <v>99.836914459305717</v>
      </c>
      <c r="X214" s="470">
        <f t="shared" si="38"/>
        <v>126.80851010785908</v>
      </c>
      <c r="Y214" s="470">
        <f t="shared" si="38"/>
        <v>108.48385067875299</v>
      </c>
      <c r="Z214" s="470">
        <f t="shared" si="38"/>
        <v>116.52344689547003</v>
      </c>
      <c r="AA214" s="470">
        <f t="shared" si="38"/>
        <v>116.52344689547003</v>
      </c>
      <c r="AB214" s="470">
        <f t="shared" si="38"/>
        <v>98.778858936360464</v>
      </c>
      <c r="AC214" s="470">
        <f t="shared" si="38"/>
        <v>96.403719611186901</v>
      </c>
      <c r="AD214" s="470">
        <f t="shared" si="38"/>
        <v>113.33074565968958</v>
      </c>
      <c r="AE214" s="470">
        <f t="shared" si="38"/>
        <v>98.964557860897543</v>
      </c>
      <c r="AF214" s="470">
        <f t="shared" ref="AF214:AL220" si="39">$I214*AF$245</f>
        <v>106.57103623095577</v>
      </c>
      <c r="AG214" s="470">
        <f t="shared" si="39"/>
        <v>101.69634623957124</v>
      </c>
      <c r="AH214" s="470">
        <f t="shared" si="39"/>
        <v>102.81532680710608</v>
      </c>
      <c r="AI214" s="470">
        <f t="shared" si="39"/>
        <v>94.985223079540106</v>
      </c>
      <c r="AJ214" s="470">
        <f t="shared" si="39"/>
        <v>107.20597014292787</v>
      </c>
      <c r="AK214" s="470">
        <f t="shared" si="39"/>
        <v>113.77380869362094</v>
      </c>
      <c r="AL214" s="470">
        <f t="shared" si="39"/>
        <v>123.21031161821288</v>
      </c>
      <c r="AN214" s="426"/>
      <c r="AO214" s="426"/>
      <c r="AP214" s="426"/>
      <c r="AQ214" s="426"/>
      <c r="AR214" s="426"/>
      <c r="AS214" s="426"/>
      <c r="AT214" s="426"/>
      <c r="AU214" s="426"/>
      <c r="AV214" s="426"/>
      <c r="AW214" s="426"/>
      <c r="AX214" s="426"/>
      <c r="AY214" s="426"/>
    </row>
    <row r="215" spans="1:51" x14ac:dyDescent="0.25">
      <c r="A215" s="424" t="s">
        <v>122</v>
      </c>
      <c r="B215" s="425" t="s">
        <v>551</v>
      </c>
      <c r="C215" s="425" t="s">
        <v>20</v>
      </c>
      <c r="D215" s="425" t="s">
        <v>108</v>
      </c>
      <c r="E215" s="425" t="s">
        <v>248</v>
      </c>
      <c r="F215" s="167"/>
      <c r="G215" s="167"/>
      <c r="H215" s="445">
        <v>2030</v>
      </c>
      <c r="I215" s="176">
        <v>136.27599731200002</v>
      </c>
      <c r="J215" s="471" t="s">
        <v>256</v>
      </c>
      <c r="K215" s="470">
        <f t="shared" si="27"/>
        <v>110.51833100828317</v>
      </c>
      <c r="L215" s="470">
        <f t="shared" si="37"/>
        <v>115.41864114551529</v>
      </c>
      <c r="M215" s="470">
        <f t="shared" si="37"/>
        <v>111.08670700995499</v>
      </c>
      <c r="N215" s="470">
        <f t="shared" si="37"/>
        <v>111.09407460334407</v>
      </c>
      <c r="O215" s="470">
        <f t="shared" si="37"/>
        <v>136.33888627498774</v>
      </c>
      <c r="P215" s="470">
        <f t="shared" si="37"/>
        <v>113.23504041076168</v>
      </c>
      <c r="Q215" s="470">
        <f t="shared" si="37"/>
        <v>116.30920885911685</v>
      </c>
      <c r="R215" s="470">
        <f t="shared" si="37"/>
        <v>112.33434542335938</v>
      </c>
      <c r="S215" s="470">
        <f t="shared" si="37"/>
        <v>117.40845896176648</v>
      </c>
      <c r="T215" s="470">
        <f t="shared" si="37"/>
        <v>136.94084681454254</v>
      </c>
      <c r="U215" s="470">
        <f t="shared" si="37"/>
        <v>115.74060140130685</v>
      </c>
      <c r="V215" s="470">
        <f t="shared" si="38"/>
        <v>117.67477996599509</v>
      </c>
      <c r="W215" s="470">
        <f t="shared" si="38"/>
        <v>116.76083611480983</v>
      </c>
      <c r="X215" s="470">
        <f t="shared" si="38"/>
        <v>148.30453992748429</v>
      </c>
      <c r="Y215" s="470">
        <f t="shared" si="38"/>
        <v>126.8735635391497</v>
      </c>
      <c r="Z215" s="470">
        <f t="shared" si="38"/>
        <v>136.27599731200002</v>
      </c>
      <c r="AA215" s="470">
        <f t="shared" si="38"/>
        <v>136.27599731200002</v>
      </c>
      <c r="AB215" s="470">
        <f t="shared" si="38"/>
        <v>115.52342359876762</v>
      </c>
      <c r="AC215" s="470">
        <f t="shared" si="38"/>
        <v>112.74566093454315</v>
      </c>
      <c r="AD215" s="470">
        <f t="shared" si="38"/>
        <v>132.54208318040432</v>
      </c>
      <c r="AE215" s="470">
        <f t="shared" si="38"/>
        <v>115.74060140130685</v>
      </c>
      <c r="AF215" s="470">
        <f t="shared" si="39"/>
        <v>124.63649706462111</v>
      </c>
      <c r="AG215" s="470">
        <f t="shared" si="39"/>
        <v>118.93547072304129</v>
      </c>
      <c r="AH215" s="470">
        <f t="shared" si="39"/>
        <v>120.24413603355475</v>
      </c>
      <c r="AI215" s="470">
        <f t="shared" si="39"/>
        <v>111.08670700995499</v>
      </c>
      <c r="AJ215" s="470">
        <f t="shared" si="39"/>
        <v>125.3790622254237</v>
      </c>
      <c r="AK215" s="470">
        <f t="shared" si="39"/>
        <v>133.06025234231765</v>
      </c>
      <c r="AL215" s="470">
        <f t="shared" si="39"/>
        <v>144.09639040249689</v>
      </c>
      <c r="AN215" s="426"/>
      <c r="AO215" s="426"/>
      <c r="AP215" s="426"/>
      <c r="AQ215" s="426"/>
      <c r="AR215" s="426"/>
      <c r="AS215" s="426"/>
      <c r="AT215" s="426"/>
      <c r="AU215" s="426"/>
      <c r="AV215" s="426"/>
      <c r="AW215" s="426"/>
      <c r="AX215" s="426"/>
      <c r="AY215" s="426"/>
    </row>
    <row r="216" spans="1:51" x14ac:dyDescent="0.25">
      <c r="B216" s="425"/>
      <c r="F216" s="167"/>
      <c r="G216" s="167"/>
      <c r="H216" s="445">
        <v>2050</v>
      </c>
      <c r="I216" s="176">
        <v>127.56749187000001</v>
      </c>
      <c r="J216" s="471" t="s">
        <v>256</v>
      </c>
      <c r="K216" s="470">
        <f t="shared" si="27"/>
        <v>103.45582912966627</v>
      </c>
      <c r="L216" s="470">
        <f t="shared" si="37"/>
        <v>108.04299257680394</v>
      </c>
      <c r="M216" s="470">
        <f t="shared" si="37"/>
        <v>103.98788394784802</v>
      </c>
      <c r="N216" s="470">
        <f t="shared" si="37"/>
        <v>103.99478072665208</v>
      </c>
      <c r="O216" s="470">
        <f t="shared" si="37"/>
        <v>127.62636201171897</v>
      </c>
      <c r="P216" s="470">
        <f t="shared" si="37"/>
        <v>105.99893144738685</v>
      </c>
      <c r="Q216" s="470">
        <f t="shared" si="37"/>
        <v>108.8766499471804</v>
      </c>
      <c r="R216" s="470">
        <f t="shared" si="37"/>
        <v>105.15579397087485</v>
      </c>
      <c r="S216" s="470">
        <f t="shared" si="37"/>
        <v>109.90565418342754</v>
      </c>
      <c r="T216" s="470">
        <f t="shared" si="37"/>
        <v>128.18985520017759</v>
      </c>
      <c r="U216" s="470">
        <f t="shared" si="37"/>
        <v>108.34437846370463</v>
      </c>
      <c r="V216" s="470">
        <f t="shared" si="38"/>
        <v>110.15495635851242</v>
      </c>
      <c r="W216" s="470">
        <f t="shared" si="38"/>
        <v>109.29941666623057</v>
      </c>
      <c r="X216" s="470">
        <f t="shared" si="38"/>
        <v>138.8273691967141</v>
      </c>
      <c r="Y216" s="470">
        <f t="shared" si="38"/>
        <v>118.76590598888404</v>
      </c>
      <c r="Z216" s="470">
        <f t="shared" si="38"/>
        <v>127.56749187000001</v>
      </c>
      <c r="AA216" s="470">
        <f t="shared" si="38"/>
        <v>127.56749187000001</v>
      </c>
      <c r="AB216" s="470">
        <f t="shared" si="38"/>
        <v>108.14107907051553</v>
      </c>
      <c r="AC216" s="470">
        <f t="shared" si="38"/>
        <v>105.54082500468789</v>
      </c>
      <c r="AD216" s="470">
        <f t="shared" si="38"/>
        <v>124.07218770770446</v>
      </c>
      <c r="AE216" s="470">
        <f t="shared" si="38"/>
        <v>108.34437846370463</v>
      </c>
      <c r="AF216" s="470">
        <f t="shared" si="39"/>
        <v>116.67179576455223</v>
      </c>
      <c r="AG216" s="470">
        <f t="shared" si="39"/>
        <v>111.33508463548168</v>
      </c>
      <c r="AH216" s="470">
        <f t="shared" si="39"/>
        <v>112.56012172676976</v>
      </c>
      <c r="AI216" s="470">
        <f t="shared" si="39"/>
        <v>103.98788394784802</v>
      </c>
      <c r="AJ216" s="470">
        <f t="shared" si="39"/>
        <v>117.3669084548432</v>
      </c>
      <c r="AK216" s="470">
        <f t="shared" si="39"/>
        <v>124.55724407605614</v>
      </c>
      <c r="AL216" s="470">
        <f t="shared" si="39"/>
        <v>134.88813491551099</v>
      </c>
      <c r="AN216" s="426"/>
      <c r="AO216" s="426"/>
      <c r="AP216" s="426"/>
      <c r="AQ216" s="426"/>
      <c r="AR216" s="426"/>
      <c r="AS216" s="426"/>
      <c r="AT216" s="426"/>
      <c r="AU216" s="426"/>
      <c r="AV216" s="426"/>
      <c r="AW216" s="426"/>
      <c r="AX216" s="426"/>
      <c r="AY216" s="426"/>
    </row>
    <row r="217" spans="1:51" x14ac:dyDescent="0.25">
      <c r="A217" s="424" t="s">
        <v>122</v>
      </c>
      <c r="B217" s="425" t="s">
        <v>552</v>
      </c>
      <c r="C217" s="425" t="s">
        <v>474</v>
      </c>
      <c r="D217" s="425" t="s">
        <v>475</v>
      </c>
      <c r="E217" s="425" t="s">
        <v>265</v>
      </c>
      <c r="F217" s="167"/>
      <c r="G217" s="167"/>
      <c r="H217" s="445">
        <v>2020</v>
      </c>
      <c r="I217" s="176">
        <v>205.95532002499999</v>
      </c>
      <c r="J217" s="471" t="s">
        <v>256</v>
      </c>
      <c r="K217" s="470">
        <f t="shared" si="27"/>
        <v>167.02749332538187</v>
      </c>
      <c r="L217" s="470">
        <f t="shared" si="37"/>
        <v>174.43338256811296</v>
      </c>
      <c r="M217" s="470">
        <f t="shared" si="37"/>
        <v>167.88648583784058</v>
      </c>
      <c r="N217" s="470">
        <f t="shared" si="37"/>
        <v>167.89762055770461</v>
      </c>
      <c r="O217" s="470">
        <f t="shared" si="37"/>
        <v>206.05036476327859</v>
      </c>
      <c r="P217" s="470">
        <f t="shared" si="37"/>
        <v>171.1332842602402</v>
      </c>
      <c r="Q217" s="470">
        <f t="shared" si="37"/>
        <v>175.77930673727397</v>
      </c>
      <c r="R217" s="470">
        <f t="shared" si="37"/>
        <v>169.77205463775098</v>
      </c>
      <c r="S217" s="470">
        <f t="shared" si="37"/>
        <v>177.44061475295035</v>
      </c>
      <c r="T217" s="470">
        <f t="shared" si="37"/>
        <v>206.96011393416592</v>
      </c>
      <c r="U217" s="470">
        <f t="shared" si="37"/>
        <v>174.91996442276687</v>
      </c>
      <c r="V217" s="470">
        <f t="shared" si="38"/>
        <v>177.8431084329614</v>
      </c>
      <c r="W217" s="470">
        <f t="shared" si="38"/>
        <v>176.46185566601383</v>
      </c>
      <c r="X217" s="470">
        <f t="shared" si="38"/>
        <v>224.13418051893282</v>
      </c>
      <c r="Y217" s="470">
        <f t="shared" si="38"/>
        <v>191.74532490555328</v>
      </c>
      <c r="Z217" s="470">
        <f t="shared" si="38"/>
        <v>205.95532002499999</v>
      </c>
      <c r="AA217" s="470">
        <f t="shared" si="38"/>
        <v>205.95532002499999</v>
      </c>
      <c r="AB217" s="470">
        <f t="shared" si="38"/>
        <v>174.591741370237</v>
      </c>
      <c r="AC217" s="470">
        <f t="shared" si="38"/>
        <v>170.39368001131663</v>
      </c>
      <c r="AD217" s="470">
        <f t="shared" si="38"/>
        <v>200.31221709354236</v>
      </c>
      <c r="AE217" s="470">
        <f t="shared" si="38"/>
        <v>174.91996442276687</v>
      </c>
      <c r="AF217" s="470">
        <f t="shared" si="39"/>
        <v>188.36442327381621</v>
      </c>
      <c r="AG217" s="470">
        <f t="shared" si="39"/>
        <v>179.74840337441438</v>
      </c>
      <c r="AH217" s="470">
        <f t="shared" si="39"/>
        <v>181.72620275323925</v>
      </c>
      <c r="AI217" s="470">
        <f t="shared" si="39"/>
        <v>167.88648583784058</v>
      </c>
      <c r="AJ217" s="470">
        <f t="shared" si="39"/>
        <v>189.48666965871973</v>
      </c>
      <c r="AK217" s="470">
        <f t="shared" si="39"/>
        <v>201.09533149133767</v>
      </c>
      <c r="AL217" s="470">
        <f t="shared" si="39"/>
        <v>217.77436074709459</v>
      </c>
      <c r="AN217" s="426"/>
      <c r="AO217" s="426"/>
      <c r="AP217" s="426"/>
      <c r="AQ217" s="426"/>
      <c r="AR217" s="426"/>
      <c r="AS217" s="426"/>
      <c r="AT217" s="426"/>
      <c r="AU217" s="426"/>
      <c r="AV217" s="426"/>
      <c r="AW217" s="426"/>
      <c r="AX217" s="426"/>
      <c r="AY217" s="426"/>
    </row>
    <row r="218" spans="1:51" x14ac:dyDescent="0.25">
      <c r="A218" s="424" t="s">
        <v>122</v>
      </c>
      <c r="B218" s="425" t="s">
        <v>553</v>
      </c>
      <c r="C218" s="425" t="s">
        <v>474</v>
      </c>
      <c r="D218" s="425" t="s">
        <v>475</v>
      </c>
      <c r="E218" s="425" t="s">
        <v>274</v>
      </c>
      <c r="F218" s="167"/>
      <c r="G218" s="167"/>
      <c r="H218" s="445">
        <v>2020</v>
      </c>
      <c r="I218" s="176">
        <v>255.804378375</v>
      </c>
      <c r="J218" s="471" t="s">
        <v>256</v>
      </c>
      <c r="K218" s="470">
        <f t="shared" si="27"/>
        <v>207.4545299264297</v>
      </c>
      <c r="L218" s="470">
        <f t="shared" si="37"/>
        <v>216.65292739351611</v>
      </c>
      <c r="M218" s="470">
        <f t="shared" si="37"/>
        <v>208.52143145464277</v>
      </c>
      <c r="N218" s="470">
        <f t="shared" si="37"/>
        <v>208.53526120224458</v>
      </c>
      <c r="O218" s="470">
        <f t="shared" si="37"/>
        <v>255.92242757222502</v>
      </c>
      <c r="P218" s="470">
        <f t="shared" si="37"/>
        <v>212.55407917673148</v>
      </c>
      <c r="Q218" s="470">
        <f t="shared" si="37"/>
        <v>218.32461664820653</v>
      </c>
      <c r="R218" s="470">
        <f t="shared" si="37"/>
        <v>210.86337996408562</v>
      </c>
      <c r="S218" s="470">
        <f t="shared" si="37"/>
        <v>220.3880246931549</v>
      </c>
      <c r="T218" s="470">
        <f t="shared" si="37"/>
        <v>257.0523708099513</v>
      </c>
      <c r="U218" s="470">
        <f t="shared" si="37"/>
        <v>217.25728065248114</v>
      </c>
      <c r="V218" s="470">
        <f t="shared" si="38"/>
        <v>220.88793722565271</v>
      </c>
      <c r="W218" s="470">
        <f t="shared" si="38"/>
        <v>219.17236850237387</v>
      </c>
      <c r="X218" s="470">
        <f t="shared" si="38"/>
        <v>278.38321784198666</v>
      </c>
      <c r="Y218" s="470">
        <f t="shared" si="38"/>
        <v>238.15502137950884</v>
      </c>
      <c r="Z218" s="470">
        <f t="shared" si="38"/>
        <v>255.804378375</v>
      </c>
      <c r="AA218" s="470">
        <f t="shared" si="38"/>
        <v>255.804378375</v>
      </c>
      <c r="AB218" s="470">
        <f t="shared" si="38"/>
        <v>216.84961507768293</v>
      </c>
      <c r="AC218" s="470">
        <f t="shared" si="38"/>
        <v>211.63546243443784</v>
      </c>
      <c r="AD218" s="470">
        <f t="shared" si="38"/>
        <v>248.79542887414496</v>
      </c>
      <c r="AE218" s="470">
        <f t="shared" si="38"/>
        <v>217.25728065248114</v>
      </c>
      <c r="AF218" s="470">
        <f t="shared" si="39"/>
        <v>233.95581234645965</v>
      </c>
      <c r="AG218" s="470">
        <f t="shared" si="39"/>
        <v>223.2543863567567</v>
      </c>
      <c r="AH218" s="470">
        <f t="shared" si="39"/>
        <v>225.71088876994685</v>
      </c>
      <c r="AI218" s="470">
        <f t="shared" si="39"/>
        <v>208.52143145464277</v>
      </c>
      <c r="AJ218" s="470">
        <f t="shared" si="39"/>
        <v>235.34968524490668</v>
      </c>
      <c r="AK218" s="470">
        <f t="shared" si="39"/>
        <v>249.76808688414553</v>
      </c>
      <c r="AL218" s="470">
        <f t="shared" si="39"/>
        <v>270.48407863492639</v>
      </c>
      <c r="AN218" s="426"/>
      <c r="AO218" s="426"/>
      <c r="AP218" s="426"/>
      <c r="AQ218" s="426"/>
      <c r="AR218" s="426"/>
      <c r="AS218" s="426"/>
      <c r="AT218" s="426"/>
      <c r="AU218" s="426"/>
      <c r="AV218" s="426"/>
      <c r="AW218" s="426"/>
      <c r="AX218" s="426"/>
      <c r="AY218" s="426"/>
    </row>
    <row r="219" spans="1:51" x14ac:dyDescent="0.25">
      <c r="A219" s="424" t="s">
        <v>122</v>
      </c>
      <c r="B219" s="425" t="s">
        <v>554</v>
      </c>
      <c r="C219" s="425" t="s">
        <v>474</v>
      </c>
      <c r="D219" s="425" t="s">
        <v>475</v>
      </c>
      <c r="E219" s="425" t="s">
        <v>273</v>
      </c>
      <c r="F219" s="167"/>
      <c r="G219" s="167"/>
      <c r="H219" s="445">
        <v>2030</v>
      </c>
      <c r="I219" s="176">
        <v>293.69378876107845</v>
      </c>
      <c r="J219" s="471" t="s">
        <v>256</v>
      </c>
      <c r="K219" s="470">
        <f t="shared" si="27"/>
        <v>238.18242391622894</v>
      </c>
      <c r="L219" s="470">
        <f t="shared" si="37"/>
        <v>248.74327600093639</v>
      </c>
      <c r="M219" s="470">
        <f t="shared" si="37"/>
        <v>239.40735350518432</v>
      </c>
      <c r="N219" s="470">
        <f t="shared" si="37"/>
        <v>239.42323169693614</v>
      </c>
      <c r="O219" s="470">
        <f t="shared" si="37"/>
        <v>293.82932325119731</v>
      </c>
      <c r="P219" s="470">
        <f t="shared" si="37"/>
        <v>244.03731174031168</v>
      </c>
      <c r="Q219" s="470">
        <f t="shared" si="37"/>
        <v>250.66257368442436</v>
      </c>
      <c r="R219" s="470">
        <f t="shared" si="37"/>
        <v>242.09618836872727</v>
      </c>
      <c r="S219" s="470">
        <f t="shared" si="37"/>
        <v>253.03161103370923</v>
      </c>
      <c r="T219" s="470">
        <f t="shared" si="37"/>
        <v>295.12663220533216</v>
      </c>
      <c r="U219" s="470">
        <f t="shared" si="37"/>
        <v>249.4371452751962</v>
      </c>
      <c r="V219" s="470">
        <f t="shared" si="38"/>
        <v>253.60556995752088</v>
      </c>
      <c r="W219" s="470">
        <f t="shared" si="38"/>
        <v>251.63589343587378</v>
      </c>
      <c r="X219" s="470">
        <f t="shared" si="38"/>
        <v>319.61697643680418</v>
      </c>
      <c r="Y219" s="470">
        <f t="shared" si="38"/>
        <v>273.43023206149837</v>
      </c>
      <c r="Z219" s="470">
        <f t="shared" si="38"/>
        <v>293.69378876107845</v>
      </c>
      <c r="AA219" s="470">
        <f t="shared" si="38"/>
        <v>293.69378876107845</v>
      </c>
      <c r="AB219" s="470">
        <f t="shared" si="38"/>
        <v>248.96909680796304</v>
      </c>
      <c r="AC219" s="470">
        <f t="shared" si="38"/>
        <v>242.98263068607238</v>
      </c>
      <c r="AD219" s="470">
        <f t="shared" si="38"/>
        <v>285.64668281544243</v>
      </c>
      <c r="AE219" s="470">
        <f t="shared" si="38"/>
        <v>249.4371452751962</v>
      </c>
      <c r="AF219" s="470">
        <f t="shared" si="39"/>
        <v>268.60904167159811</v>
      </c>
      <c r="AG219" s="470">
        <f t="shared" si="39"/>
        <v>256.32253444280201</v>
      </c>
      <c r="AH219" s="470">
        <f t="shared" si="39"/>
        <v>259.14289078468181</v>
      </c>
      <c r="AI219" s="470">
        <f t="shared" si="39"/>
        <v>239.40735350518432</v>
      </c>
      <c r="AJ219" s="470">
        <f t="shared" si="39"/>
        <v>270.20937320304739</v>
      </c>
      <c r="AK219" s="470">
        <f t="shared" si="39"/>
        <v>286.76340965937123</v>
      </c>
      <c r="AL219" s="470">
        <f t="shared" si="39"/>
        <v>310.54782704847048</v>
      </c>
      <c r="AN219" s="426"/>
      <c r="AO219" s="426"/>
      <c r="AP219" s="426"/>
      <c r="AQ219" s="426"/>
      <c r="AR219" s="426"/>
      <c r="AS219" s="426"/>
      <c r="AT219" s="426"/>
      <c r="AU219" s="426"/>
      <c r="AV219" s="426"/>
      <c r="AW219" s="426"/>
      <c r="AX219" s="426"/>
      <c r="AY219" s="426"/>
    </row>
    <row r="220" spans="1:51" x14ac:dyDescent="0.25">
      <c r="B220" s="425"/>
      <c r="F220" s="167"/>
      <c r="G220" s="167"/>
      <c r="H220" s="445">
        <v>2050</v>
      </c>
      <c r="I220" s="176">
        <v>275.48163825</v>
      </c>
      <c r="J220" s="471" t="s">
        <v>256</v>
      </c>
      <c r="K220" s="470">
        <f t="shared" si="27"/>
        <v>223.41257069000122</v>
      </c>
      <c r="L220" s="470">
        <f t="shared" si="37"/>
        <v>233.31853719301736</v>
      </c>
      <c r="M220" s="470">
        <f t="shared" si="37"/>
        <v>224.56154156653835</v>
      </c>
      <c r="N220" s="470">
        <f t="shared" si="37"/>
        <v>224.5764351408788</v>
      </c>
      <c r="O220" s="470">
        <f t="shared" si="37"/>
        <v>275.60876815470391</v>
      </c>
      <c r="P220" s="470">
        <f t="shared" si="37"/>
        <v>228.90439295955699</v>
      </c>
      <c r="Q220" s="470">
        <f t="shared" si="37"/>
        <v>235.11881792883781</v>
      </c>
      <c r="R220" s="470">
        <f t="shared" si="37"/>
        <v>227.08363996132297</v>
      </c>
      <c r="S220" s="470">
        <f t="shared" si="37"/>
        <v>237.34094966955143</v>
      </c>
      <c r="T220" s="470">
        <f t="shared" si="37"/>
        <v>276.82563010302448</v>
      </c>
      <c r="U220" s="470">
        <f t="shared" si="37"/>
        <v>233.96937916421047</v>
      </c>
      <c r="V220" s="470">
        <f t="shared" si="38"/>
        <v>237.87931701224139</v>
      </c>
      <c r="W220" s="470">
        <f t="shared" si="38"/>
        <v>236.03178146409493</v>
      </c>
      <c r="X220" s="470">
        <f t="shared" si="38"/>
        <v>299.79731152213947</v>
      </c>
      <c r="Y220" s="470">
        <f t="shared" si="38"/>
        <v>256.47463840870182</v>
      </c>
      <c r="Z220" s="470">
        <f t="shared" si="38"/>
        <v>275.48163825</v>
      </c>
      <c r="AA220" s="470">
        <f t="shared" si="38"/>
        <v>275.48163825</v>
      </c>
      <c r="AB220" s="470">
        <f t="shared" si="38"/>
        <v>233.53035469904313</v>
      </c>
      <c r="AC220" s="470">
        <f t="shared" si="38"/>
        <v>227.91511339093307</v>
      </c>
      <c r="AD220" s="470">
        <f t="shared" si="38"/>
        <v>267.93353878754073</v>
      </c>
      <c r="AE220" s="470">
        <f t="shared" si="38"/>
        <v>233.96937916421047</v>
      </c>
      <c r="AF220" s="470">
        <f t="shared" si="39"/>
        <v>251.95241329618733</v>
      </c>
      <c r="AG220" s="470">
        <f t="shared" si="39"/>
        <v>240.42780069189183</v>
      </c>
      <c r="AH220" s="470">
        <f t="shared" si="39"/>
        <v>243.07326482917352</v>
      </c>
      <c r="AI220" s="470">
        <f t="shared" si="39"/>
        <v>224.56154156653835</v>
      </c>
      <c r="AJ220" s="470">
        <f t="shared" si="39"/>
        <v>253.45350718682261</v>
      </c>
      <c r="AK220" s="470">
        <f t="shared" si="39"/>
        <v>268.98101664446443</v>
      </c>
      <c r="AL220" s="470">
        <f t="shared" si="39"/>
        <v>291.29054622222844</v>
      </c>
      <c r="AN220" s="426"/>
      <c r="AO220" s="426"/>
      <c r="AP220" s="426"/>
      <c r="AQ220" s="426"/>
      <c r="AR220" s="426"/>
      <c r="AS220" s="426"/>
      <c r="AT220" s="426"/>
      <c r="AU220" s="426"/>
      <c r="AV220" s="426"/>
      <c r="AW220" s="426"/>
      <c r="AX220" s="426"/>
      <c r="AY220" s="426"/>
    </row>
    <row r="221" spans="1:51" x14ac:dyDescent="0.25">
      <c r="A221" s="424" t="s">
        <v>122</v>
      </c>
      <c r="B221" s="512" t="s">
        <v>590</v>
      </c>
      <c r="C221" s="512" t="s">
        <v>0</v>
      </c>
      <c r="D221" s="512" t="s">
        <v>109</v>
      </c>
      <c r="E221" s="425" t="s">
        <v>265</v>
      </c>
      <c r="F221" s="167"/>
      <c r="G221" s="167"/>
      <c r="H221" s="445">
        <v>2020</v>
      </c>
      <c r="I221" s="176">
        <v>205.95532002499999</v>
      </c>
      <c r="J221" s="471" t="s">
        <v>256</v>
      </c>
      <c r="K221" s="470">
        <f>K217</f>
        <v>167.02749332538187</v>
      </c>
      <c r="L221" s="470">
        <f t="shared" ref="L221:AL221" si="40">L217</f>
        <v>174.43338256811296</v>
      </c>
      <c r="M221" s="470">
        <f t="shared" si="40"/>
        <v>167.88648583784058</v>
      </c>
      <c r="N221" s="470">
        <f t="shared" si="40"/>
        <v>167.89762055770461</v>
      </c>
      <c r="O221" s="470">
        <f t="shared" si="40"/>
        <v>206.05036476327859</v>
      </c>
      <c r="P221" s="470">
        <f t="shared" si="40"/>
        <v>171.1332842602402</v>
      </c>
      <c r="Q221" s="470">
        <f t="shared" si="40"/>
        <v>175.77930673727397</v>
      </c>
      <c r="R221" s="470">
        <f t="shared" si="40"/>
        <v>169.77205463775098</v>
      </c>
      <c r="S221" s="470">
        <f t="shared" si="40"/>
        <v>177.44061475295035</v>
      </c>
      <c r="T221" s="470">
        <f t="shared" si="40"/>
        <v>206.96011393416592</v>
      </c>
      <c r="U221" s="470">
        <f t="shared" si="40"/>
        <v>174.91996442276687</v>
      </c>
      <c r="V221" s="470">
        <f t="shared" si="40"/>
        <v>177.8431084329614</v>
      </c>
      <c r="W221" s="470">
        <f t="shared" si="40"/>
        <v>176.46185566601383</v>
      </c>
      <c r="X221" s="470">
        <f t="shared" si="40"/>
        <v>224.13418051893282</v>
      </c>
      <c r="Y221" s="470">
        <f t="shared" si="40"/>
        <v>191.74532490555328</v>
      </c>
      <c r="Z221" s="470">
        <f t="shared" si="40"/>
        <v>205.95532002499999</v>
      </c>
      <c r="AA221" s="470">
        <f t="shared" si="40"/>
        <v>205.95532002499999</v>
      </c>
      <c r="AB221" s="470">
        <f t="shared" si="40"/>
        <v>174.591741370237</v>
      </c>
      <c r="AC221" s="470">
        <f t="shared" si="40"/>
        <v>170.39368001131663</v>
      </c>
      <c r="AD221" s="470">
        <f t="shared" si="40"/>
        <v>200.31221709354236</v>
      </c>
      <c r="AE221" s="470">
        <f t="shared" si="40"/>
        <v>174.91996442276687</v>
      </c>
      <c r="AF221" s="470">
        <f t="shared" si="40"/>
        <v>188.36442327381621</v>
      </c>
      <c r="AG221" s="470">
        <f t="shared" si="40"/>
        <v>179.74840337441438</v>
      </c>
      <c r="AH221" s="470">
        <f t="shared" si="40"/>
        <v>181.72620275323925</v>
      </c>
      <c r="AI221" s="470">
        <f t="shared" si="40"/>
        <v>167.88648583784058</v>
      </c>
      <c r="AJ221" s="470">
        <f t="shared" si="40"/>
        <v>189.48666965871973</v>
      </c>
      <c r="AK221" s="470">
        <f t="shared" si="40"/>
        <v>201.09533149133767</v>
      </c>
      <c r="AL221" s="470">
        <f t="shared" si="40"/>
        <v>217.77436074709459</v>
      </c>
      <c r="AM221" s="426"/>
      <c r="AN221" s="426"/>
      <c r="AO221" s="426"/>
      <c r="AP221" s="426"/>
      <c r="AQ221" s="426"/>
      <c r="AR221" s="426"/>
      <c r="AS221" s="426"/>
      <c r="AT221" s="426"/>
      <c r="AU221" s="426"/>
      <c r="AV221" s="426"/>
      <c r="AW221" s="426"/>
      <c r="AX221" s="426"/>
      <c r="AY221" s="426"/>
    </row>
    <row r="222" spans="1:51" x14ac:dyDescent="0.25">
      <c r="A222" s="424" t="s">
        <v>122</v>
      </c>
      <c r="B222" s="425" t="s">
        <v>555</v>
      </c>
      <c r="C222" s="425" t="s">
        <v>22</v>
      </c>
      <c r="D222" s="425" t="s">
        <v>111</v>
      </c>
      <c r="E222" s="425" t="s">
        <v>270</v>
      </c>
      <c r="F222" s="167"/>
      <c r="G222" s="167"/>
      <c r="H222" s="445">
        <v>2020</v>
      </c>
      <c r="I222" s="176">
        <v>1593.7967500000002</v>
      </c>
      <c r="J222" s="471" t="s">
        <v>256</v>
      </c>
      <c r="K222" s="470">
        <f t="shared" ref="K222:T227" si="41">$I222*K$245</f>
        <v>1292.5515883266651</v>
      </c>
      <c r="L222" s="470">
        <f t="shared" si="41"/>
        <v>1349.8624759720633</v>
      </c>
      <c r="M222" s="470">
        <f t="shared" si="41"/>
        <v>1299.1989498731639</v>
      </c>
      <c r="N222" s="470">
        <f t="shared" si="41"/>
        <v>1299.2851165248887</v>
      </c>
      <c r="O222" s="470">
        <f t="shared" si="41"/>
        <v>1594.5322590169785</v>
      </c>
      <c r="P222" s="470">
        <f t="shared" si="41"/>
        <v>1324.3244808519098</v>
      </c>
      <c r="Q222" s="470">
        <f t="shared" si="41"/>
        <v>1360.2779853470813</v>
      </c>
      <c r="R222" s="470">
        <f t="shared" si="41"/>
        <v>1313.7905293712502</v>
      </c>
      <c r="S222" s="470">
        <f t="shared" si="41"/>
        <v>1373.1341102377255</v>
      </c>
      <c r="T222" s="470">
        <f t="shared" si="41"/>
        <v>1601.57240380032</v>
      </c>
      <c r="U222" s="470">
        <f t="shared" ref="U222:AD227" si="42">$I222*U$245</f>
        <v>1353.627916837889</v>
      </c>
      <c r="V222" s="470">
        <f t="shared" si="42"/>
        <v>1376.2488300663722</v>
      </c>
      <c r="W222" s="470">
        <f t="shared" si="42"/>
        <v>1365.5599283637002</v>
      </c>
      <c r="X222" s="470">
        <f t="shared" si="42"/>
        <v>1734.4748775201663</v>
      </c>
      <c r="Y222" s="470">
        <f t="shared" si="42"/>
        <v>1483.8319089065974</v>
      </c>
      <c r="Z222" s="470">
        <f t="shared" si="42"/>
        <v>1593.7967500000002</v>
      </c>
      <c r="AA222" s="470">
        <f t="shared" si="42"/>
        <v>1593.7967500000002</v>
      </c>
      <c r="AB222" s="470">
        <f t="shared" si="42"/>
        <v>1351.0879444092395</v>
      </c>
      <c r="AC222" s="470">
        <f t="shared" si="42"/>
        <v>1318.6010120525725</v>
      </c>
      <c r="AD222" s="470">
        <f t="shared" si="42"/>
        <v>1550.1272827049534</v>
      </c>
      <c r="AE222" s="470">
        <f t="shared" ref="AE222:AL227" si="43">$I222*AE$245</f>
        <v>1353.627916837889</v>
      </c>
      <c r="AF222" s="470">
        <f t="shared" si="43"/>
        <v>1457.6686127505277</v>
      </c>
      <c r="AG222" s="470">
        <f t="shared" si="43"/>
        <v>1390.9930614128145</v>
      </c>
      <c r="AH222" s="470">
        <f t="shared" si="43"/>
        <v>1406.2983723984228</v>
      </c>
      <c r="AI222" s="470">
        <f t="shared" si="43"/>
        <v>1299.1989498731639</v>
      </c>
      <c r="AJ222" s="470">
        <f t="shared" si="43"/>
        <v>1466.3531790959921</v>
      </c>
      <c r="AK222" s="470">
        <f t="shared" si="43"/>
        <v>1556.1874572220906</v>
      </c>
      <c r="AL222" s="470">
        <f t="shared" si="43"/>
        <v>1685.2590569154295</v>
      </c>
      <c r="AN222" s="426"/>
      <c r="AO222" s="426"/>
      <c r="AP222" s="426"/>
      <c r="AQ222" s="426"/>
      <c r="AR222" s="426"/>
      <c r="AS222" s="426"/>
      <c r="AT222" s="426"/>
      <c r="AU222" s="426"/>
      <c r="AV222" s="426"/>
      <c r="AW222" s="426"/>
      <c r="AX222" s="426"/>
      <c r="AY222" s="426"/>
    </row>
    <row r="223" spans="1:51" x14ac:dyDescent="0.25">
      <c r="B223" s="425"/>
      <c r="F223" s="167"/>
      <c r="G223" s="167"/>
      <c r="H223" s="445">
        <v>2030</v>
      </c>
      <c r="I223" s="176">
        <v>1762.8357992424246</v>
      </c>
      <c r="J223" s="471" t="s">
        <v>256</v>
      </c>
      <c r="K223" s="470">
        <f t="shared" si="41"/>
        <v>1429.6403931491902</v>
      </c>
      <c r="L223" s="470">
        <f t="shared" si="41"/>
        <v>1493.0297082721306</v>
      </c>
      <c r="M223" s="470">
        <f t="shared" si="41"/>
        <v>1436.9927778900146</v>
      </c>
      <c r="N223" s="470">
        <f t="shared" si="41"/>
        <v>1437.0880834290435</v>
      </c>
      <c r="O223" s="470">
        <f t="shared" si="41"/>
        <v>1763.6493167915069</v>
      </c>
      <c r="P223" s="470">
        <f t="shared" si="41"/>
        <v>1464.7831379119609</v>
      </c>
      <c r="Q223" s="470">
        <f t="shared" si="41"/>
        <v>1504.5498928838933</v>
      </c>
      <c r="R223" s="470">
        <f t="shared" si="41"/>
        <v>1453.1319491530496</v>
      </c>
      <c r="S223" s="470">
        <f t="shared" si="41"/>
        <v>1518.7695461720298</v>
      </c>
      <c r="T223" s="470">
        <f t="shared" si="41"/>
        <v>1771.4361435973237</v>
      </c>
      <c r="U223" s="470">
        <f t="shared" si="42"/>
        <v>1497.1945140782711</v>
      </c>
      <c r="V223" s="470">
        <f t="shared" si="42"/>
        <v>1522.2146150734118</v>
      </c>
      <c r="W223" s="470">
        <f t="shared" si="42"/>
        <v>1510.3920419780322</v>
      </c>
      <c r="X223" s="470">
        <f t="shared" si="42"/>
        <v>1918.4343342268508</v>
      </c>
      <c r="Y223" s="470">
        <f t="shared" si="42"/>
        <v>1641.2080204572972</v>
      </c>
      <c r="Z223" s="470">
        <f t="shared" si="42"/>
        <v>1762.8357992424246</v>
      </c>
      <c r="AA223" s="470">
        <f t="shared" si="42"/>
        <v>1762.8357992424246</v>
      </c>
      <c r="AB223" s="470">
        <f t="shared" si="42"/>
        <v>1494.385150634462</v>
      </c>
      <c r="AC223" s="470">
        <f t="shared" si="42"/>
        <v>1458.452634542997</v>
      </c>
      <c r="AD223" s="470">
        <f t="shared" si="42"/>
        <v>1714.5347217797212</v>
      </c>
      <c r="AE223" s="470">
        <f t="shared" si="43"/>
        <v>1497.1945140782711</v>
      </c>
      <c r="AF223" s="470">
        <f t="shared" si="43"/>
        <v>1612.2698292543716</v>
      </c>
      <c r="AG223" s="470">
        <f t="shared" si="43"/>
        <v>1538.5226285323556</v>
      </c>
      <c r="AH223" s="470">
        <f t="shared" si="43"/>
        <v>1555.4512300770436</v>
      </c>
      <c r="AI223" s="470">
        <f t="shared" si="43"/>
        <v>1436.9927778900146</v>
      </c>
      <c r="AJ223" s="470">
        <f t="shared" si="43"/>
        <v>1621.8754859698095</v>
      </c>
      <c r="AK223" s="470">
        <f t="shared" si="43"/>
        <v>1721.2376420789792</v>
      </c>
      <c r="AL223" s="470">
        <f t="shared" si="43"/>
        <v>1863.9986538610056</v>
      </c>
      <c r="AN223" s="426"/>
      <c r="AO223" s="426"/>
      <c r="AP223" s="426"/>
      <c r="AQ223" s="426"/>
      <c r="AR223" s="426"/>
      <c r="AS223" s="426"/>
      <c r="AT223" s="426"/>
      <c r="AU223" s="426"/>
      <c r="AV223" s="426"/>
      <c r="AW223" s="426"/>
      <c r="AX223" s="426"/>
      <c r="AY223" s="426"/>
    </row>
    <row r="224" spans="1:51" x14ac:dyDescent="0.25">
      <c r="B224" s="425"/>
      <c r="F224" s="167"/>
      <c r="G224" s="167"/>
      <c r="H224" s="445">
        <v>2050</v>
      </c>
      <c r="I224" s="176">
        <v>1377.0403920000003</v>
      </c>
      <c r="J224" s="473" t="s">
        <v>256</v>
      </c>
      <c r="K224" s="495">
        <f t="shared" si="41"/>
        <v>1116.7645723142386</v>
      </c>
      <c r="L224" s="479">
        <f t="shared" si="41"/>
        <v>1166.2811792398627</v>
      </c>
      <c r="M224" s="479">
        <f t="shared" si="41"/>
        <v>1122.5078926904137</v>
      </c>
      <c r="N224" s="479">
        <f t="shared" si="41"/>
        <v>1122.5823406775039</v>
      </c>
      <c r="O224" s="479">
        <f t="shared" si="41"/>
        <v>1377.6758717906696</v>
      </c>
      <c r="P224" s="479">
        <f t="shared" si="41"/>
        <v>1144.2163514560502</v>
      </c>
      <c r="Q224" s="479">
        <f t="shared" si="41"/>
        <v>1175.2801793398785</v>
      </c>
      <c r="R224" s="479">
        <f t="shared" si="41"/>
        <v>1135.1150173767603</v>
      </c>
      <c r="S224" s="479">
        <f t="shared" si="41"/>
        <v>1186.387871245395</v>
      </c>
      <c r="T224" s="479">
        <f t="shared" si="41"/>
        <v>1383.7585568834766</v>
      </c>
      <c r="U224" s="479">
        <f t="shared" si="42"/>
        <v>1169.5345201479361</v>
      </c>
      <c r="V224" s="479">
        <f t="shared" si="42"/>
        <v>1189.0789891773456</v>
      </c>
      <c r="W224" s="479">
        <f t="shared" si="42"/>
        <v>1179.8437781062371</v>
      </c>
      <c r="X224" s="479">
        <f t="shared" si="42"/>
        <v>1498.5862941774237</v>
      </c>
      <c r="Y224" s="479">
        <f t="shared" si="42"/>
        <v>1282.0307692953002</v>
      </c>
      <c r="Z224" s="479">
        <f t="shared" si="42"/>
        <v>1377.0403920000003</v>
      </c>
      <c r="AA224" s="479">
        <f t="shared" si="42"/>
        <v>1377.0403920000003</v>
      </c>
      <c r="AB224" s="479">
        <f t="shared" si="42"/>
        <v>1167.339983969583</v>
      </c>
      <c r="AC224" s="479">
        <f t="shared" si="42"/>
        <v>1139.2712744134228</v>
      </c>
      <c r="AD224" s="479">
        <f t="shared" si="42"/>
        <v>1339.3099722570798</v>
      </c>
      <c r="AE224" s="479">
        <f t="shared" si="43"/>
        <v>1169.5345201479361</v>
      </c>
      <c r="AF224" s="479">
        <f t="shared" si="43"/>
        <v>1259.425681416456</v>
      </c>
      <c r="AG224" s="479">
        <f t="shared" si="43"/>
        <v>1201.818005060672</v>
      </c>
      <c r="AH224" s="479">
        <f t="shared" si="43"/>
        <v>1215.0417937522375</v>
      </c>
      <c r="AI224" s="479">
        <f t="shared" si="43"/>
        <v>1122.5078926904137</v>
      </c>
      <c r="AJ224" s="479">
        <f t="shared" si="43"/>
        <v>1266.9291467389373</v>
      </c>
      <c r="AK224" s="479">
        <f t="shared" si="43"/>
        <v>1344.5459630398866</v>
      </c>
      <c r="AL224" s="479">
        <f t="shared" si="43"/>
        <v>1456.0638251749313</v>
      </c>
      <c r="AN224" s="426"/>
      <c r="AO224" s="426"/>
      <c r="AP224" s="426"/>
      <c r="AQ224" s="426"/>
      <c r="AR224" s="426"/>
      <c r="AS224" s="426"/>
      <c r="AT224" s="426"/>
      <c r="AU224" s="426"/>
      <c r="AV224" s="426"/>
      <c r="AW224" s="426"/>
      <c r="AX224" s="426"/>
      <c r="AY224" s="426"/>
    </row>
    <row r="225" spans="1:51" x14ac:dyDescent="0.25">
      <c r="A225" s="448" t="s">
        <v>124</v>
      </c>
      <c r="B225" s="449" t="s">
        <v>559</v>
      </c>
      <c r="C225" s="449" t="s">
        <v>19</v>
      </c>
      <c r="D225" s="449" t="s">
        <v>105</v>
      </c>
      <c r="E225" s="449" t="s">
        <v>249</v>
      </c>
      <c r="F225" s="474"/>
      <c r="G225" s="474"/>
      <c r="H225" s="452">
        <v>2020</v>
      </c>
      <c r="I225" s="475">
        <v>248.63229300000003</v>
      </c>
      <c r="J225" s="471" t="s">
        <v>256</v>
      </c>
      <c r="K225" s="470">
        <f t="shared" si="41"/>
        <v>201.63804777895976</v>
      </c>
      <c r="L225" s="470">
        <f t="shared" si="41"/>
        <v>210.57854625164185</v>
      </c>
      <c r="M225" s="470">
        <f t="shared" si="41"/>
        <v>202.67503618021354</v>
      </c>
      <c r="N225" s="470">
        <f t="shared" si="41"/>
        <v>202.68847817788262</v>
      </c>
      <c r="O225" s="470">
        <f t="shared" si="41"/>
        <v>248.74703240664866</v>
      </c>
      <c r="P225" s="470">
        <f t="shared" si="41"/>
        <v>206.59461901289791</v>
      </c>
      <c r="Q225" s="470">
        <f t="shared" si="41"/>
        <v>212.2033657141447</v>
      </c>
      <c r="R225" s="470">
        <f t="shared" si="41"/>
        <v>204.95132258191504</v>
      </c>
      <c r="S225" s="470">
        <f t="shared" si="41"/>
        <v>214.20892119708517</v>
      </c>
      <c r="T225" s="470">
        <f t="shared" si="41"/>
        <v>249.84529499284992</v>
      </c>
      <c r="U225" s="470">
        <f t="shared" si="42"/>
        <v>211.16595502671066</v>
      </c>
      <c r="V225" s="470">
        <f t="shared" si="42"/>
        <v>214.69481749035407</v>
      </c>
      <c r="W225" s="470">
        <f t="shared" si="42"/>
        <v>213.02734882473723</v>
      </c>
      <c r="X225" s="470">
        <f t="shared" si="42"/>
        <v>270.57808089314591</v>
      </c>
      <c r="Y225" s="470">
        <f t="shared" si="42"/>
        <v>231.47777778942918</v>
      </c>
      <c r="Z225" s="470">
        <f t="shared" si="42"/>
        <v>248.63229300000003</v>
      </c>
      <c r="AA225" s="470">
        <f t="shared" si="42"/>
        <v>248.63229300000003</v>
      </c>
      <c r="AB225" s="470">
        <f t="shared" si="42"/>
        <v>210.76971932784136</v>
      </c>
      <c r="AC225" s="470">
        <f t="shared" si="42"/>
        <v>205.70175788020131</v>
      </c>
      <c r="AD225" s="470">
        <f t="shared" si="42"/>
        <v>241.8198561019727</v>
      </c>
      <c r="AE225" s="470">
        <f t="shared" si="43"/>
        <v>211.16595502671066</v>
      </c>
      <c r="AF225" s="470">
        <f t="shared" si="43"/>
        <v>227.39630358908229</v>
      </c>
      <c r="AG225" s="470">
        <f t="shared" si="43"/>
        <v>216.99491758039906</v>
      </c>
      <c r="AH225" s="470">
        <f t="shared" si="43"/>
        <v>219.38254609415398</v>
      </c>
      <c r="AI225" s="470">
        <f t="shared" si="43"/>
        <v>202.67503618021354</v>
      </c>
      <c r="AJ225" s="470">
        <f t="shared" si="43"/>
        <v>228.75109593897477</v>
      </c>
      <c r="AK225" s="470">
        <f t="shared" si="43"/>
        <v>242.76524332664616</v>
      </c>
      <c r="AL225" s="470">
        <f t="shared" si="43"/>
        <v>262.900412878807</v>
      </c>
      <c r="AN225" s="426"/>
      <c r="AO225" s="426"/>
      <c r="AP225" s="426"/>
      <c r="AQ225" s="426"/>
      <c r="AR225" s="426"/>
      <c r="AS225" s="426"/>
      <c r="AT225" s="426"/>
      <c r="AU225" s="426"/>
      <c r="AV225" s="426"/>
      <c r="AW225" s="426"/>
      <c r="AX225" s="426"/>
      <c r="AY225" s="426"/>
    </row>
    <row r="226" spans="1:51" x14ac:dyDescent="0.25">
      <c r="A226" s="424" t="s">
        <v>124</v>
      </c>
      <c r="B226" s="425" t="s">
        <v>560</v>
      </c>
      <c r="C226" s="425" t="s">
        <v>19</v>
      </c>
      <c r="D226" s="425" t="s">
        <v>105</v>
      </c>
      <c r="E226" s="425" t="s">
        <v>250</v>
      </c>
      <c r="F226" s="476"/>
      <c r="G226" s="476"/>
      <c r="H226" s="445">
        <v>2030</v>
      </c>
      <c r="I226" s="477">
        <v>334.05979880000007</v>
      </c>
      <c r="J226" s="471" t="s">
        <v>256</v>
      </c>
      <c r="K226" s="470">
        <f t="shared" si="41"/>
        <v>270.91881291326899</v>
      </c>
      <c r="L226" s="470">
        <f t="shared" si="41"/>
        <v>282.93117496374447</v>
      </c>
      <c r="M226" s="470">
        <f t="shared" si="41"/>
        <v>272.31209989341517</v>
      </c>
      <c r="N226" s="470">
        <f t="shared" si="41"/>
        <v>272.33016042361669</v>
      </c>
      <c r="O226" s="470">
        <f t="shared" si="41"/>
        <v>334.21396148995876</v>
      </c>
      <c r="P226" s="470">
        <f t="shared" si="41"/>
        <v>277.57841118656029</v>
      </c>
      <c r="Q226" s="470">
        <f t="shared" si="41"/>
        <v>285.11426572874831</v>
      </c>
      <c r="R226" s="470">
        <f t="shared" si="41"/>
        <v>275.37049495621403</v>
      </c>
      <c r="S226" s="470">
        <f t="shared" si="41"/>
        <v>287.80890950582727</v>
      </c>
      <c r="T226" s="470">
        <f t="shared" si="41"/>
        <v>335.68957583654708</v>
      </c>
      <c r="U226" s="470">
        <f t="shared" si="42"/>
        <v>283.72041136922155</v>
      </c>
      <c r="V226" s="470">
        <f t="shared" si="42"/>
        <v>288.46175478191162</v>
      </c>
      <c r="W226" s="470">
        <f t="shared" si="42"/>
        <v>286.22136098503159</v>
      </c>
      <c r="X226" s="470">
        <f t="shared" si="42"/>
        <v>363.54593432822685</v>
      </c>
      <c r="Y226" s="470">
        <f t="shared" si="42"/>
        <v>311.01116810682282</v>
      </c>
      <c r="Z226" s="470">
        <f t="shared" si="42"/>
        <v>334.05979880000007</v>
      </c>
      <c r="AA226" s="470">
        <f t="shared" si="42"/>
        <v>334.05979880000007</v>
      </c>
      <c r="AB226" s="470">
        <f t="shared" si="42"/>
        <v>283.1880331481766</v>
      </c>
      <c r="AC226" s="470">
        <f t="shared" si="42"/>
        <v>276.37877212621919</v>
      </c>
      <c r="AD226" s="470">
        <f t="shared" si="42"/>
        <v>324.90667845495824</v>
      </c>
      <c r="AE226" s="470">
        <f t="shared" si="43"/>
        <v>283.72041136922155</v>
      </c>
      <c r="AF226" s="470">
        <f t="shared" si="43"/>
        <v>305.52734123251059</v>
      </c>
      <c r="AG226" s="470">
        <f t="shared" si="43"/>
        <v>291.55214567212596</v>
      </c>
      <c r="AH226" s="470">
        <f t="shared" si="43"/>
        <v>294.76013885470945</v>
      </c>
      <c r="AI226" s="470">
        <f t="shared" si="43"/>
        <v>272.31209989341517</v>
      </c>
      <c r="AJ226" s="470">
        <f t="shared" si="43"/>
        <v>307.34762633851994</v>
      </c>
      <c r="AK226" s="470">
        <f t="shared" si="43"/>
        <v>326.17689103375022</v>
      </c>
      <c r="AL226" s="470">
        <f t="shared" si="43"/>
        <v>353.23029832947407</v>
      </c>
      <c r="AN226" s="426"/>
      <c r="AO226" s="426"/>
      <c r="AP226" s="426"/>
      <c r="AQ226" s="426"/>
      <c r="AR226" s="426"/>
      <c r="AS226" s="426"/>
      <c r="AT226" s="426"/>
      <c r="AU226" s="426"/>
      <c r="AV226" s="426"/>
      <c r="AW226" s="426"/>
      <c r="AX226" s="426"/>
      <c r="AY226" s="426"/>
    </row>
    <row r="227" spans="1:51" x14ac:dyDescent="0.25">
      <c r="B227" s="425"/>
      <c r="F227" s="476"/>
      <c r="G227" s="476"/>
      <c r="H227" s="445">
        <v>2050</v>
      </c>
      <c r="I227" s="477">
        <v>318.75935000000004</v>
      </c>
      <c r="J227" s="471" t="s">
        <v>256</v>
      </c>
      <c r="K227" s="470">
        <f t="shared" si="41"/>
        <v>258.51031766533299</v>
      </c>
      <c r="L227" s="470">
        <f t="shared" si="41"/>
        <v>269.97249519441266</v>
      </c>
      <c r="M227" s="470">
        <f t="shared" si="41"/>
        <v>259.83978997463277</v>
      </c>
      <c r="N227" s="470">
        <f t="shared" si="41"/>
        <v>259.8570233049777</v>
      </c>
      <c r="O227" s="470">
        <f t="shared" si="41"/>
        <v>318.90645180339573</v>
      </c>
      <c r="P227" s="470">
        <f t="shared" si="41"/>
        <v>264.86489617038194</v>
      </c>
      <c r="Q227" s="470">
        <f t="shared" si="41"/>
        <v>272.05559706941631</v>
      </c>
      <c r="R227" s="470">
        <f t="shared" si="41"/>
        <v>262.75810587425002</v>
      </c>
      <c r="S227" s="470">
        <f t="shared" si="41"/>
        <v>274.62682204754509</v>
      </c>
      <c r="T227" s="470">
        <f t="shared" si="41"/>
        <v>320.31448076006399</v>
      </c>
      <c r="U227" s="470">
        <f t="shared" si="42"/>
        <v>270.72558336757777</v>
      </c>
      <c r="V227" s="470">
        <f t="shared" si="42"/>
        <v>275.24976601327444</v>
      </c>
      <c r="W227" s="470">
        <f t="shared" si="42"/>
        <v>273.11198567274005</v>
      </c>
      <c r="X227" s="470">
        <f t="shared" si="42"/>
        <v>346.89497550403325</v>
      </c>
      <c r="Y227" s="470">
        <f t="shared" si="42"/>
        <v>296.76638178131947</v>
      </c>
      <c r="Z227" s="470">
        <f t="shared" si="42"/>
        <v>318.75935000000004</v>
      </c>
      <c r="AA227" s="470">
        <f t="shared" si="42"/>
        <v>318.75935000000004</v>
      </c>
      <c r="AB227" s="470">
        <f t="shared" si="42"/>
        <v>270.21758888184792</v>
      </c>
      <c r="AC227" s="470">
        <f t="shared" si="42"/>
        <v>263.7202024105145</v>
      </c>
      <c r="AD227" s="470">
        <f t="shared" si="42"/>
        <v>310.02545654099066</v>
      </c>
      <c r="AE227" s="470">
        <f t="shared" si="43"/>
        <v>270.72558336757777</v>
      </c>
      <c r="AF227" s="470">
        <f t="shared" si="43"/>
        <v>291.53372255010549</v>
      </c>
      <c r="AG227" s="470">
        <f t="shared" si="43"/>
        <v>278.19861228256292</v>
      </c>
      <c r="AH227" s="470">
        <f t="shared" si="43"/>
        <v>281.25967447968458</v>
      </c>
      <c r="AI227" s="470">
        <f t="shared" si="43"/>
        <v>259.83978997463277</v>
      </c>
      <c r="AJ227" s="470">
        <f t="shared" si="43"/>
        <v>293.27063581919839</v>
      </c>
      <c r="AK227" s="470">
        <f t="shared" si="43"/>
        <v>311.23749144441814</v>
      </c>
      <c r="AL227" s="470">
        <f t="shared" si="43"/>
        <v>337.05181138308592</v>
      </c>
      <c r="AN227" s="426"/>
      <c r="AO227" s="426"/>
      <c r="AP227" s="426"/>
      <c r="AQ227" s="426"/>
      <c r="AR227" s="426"/>
      <c r="AS227" s="426"/>
      <c r="AT227" s="426"/>
      <c r="AU227" s="426"/>
      <c r="AV227" s="426"/>
      <c r="AW227" s="426"/>
      <c r="AX227" s="426"/>
      <c r="AY227" s="426"/>
    </row>
    <row r="228" spans="1:51" x14ac:dyDescent="0.25">
      <c r="A228" s="424" t="s">
        <v>124</v>
      </c>
      <c r="B228" s="425" t="s">
        <v>561</v>
      </c>
      <c r="C228" s="425" t="s">
        <v>19</v>
      </c>
      <c r="D228" s="425" t="s">
        <v>105</v>
      </c>
      <c r="E228" s="425" t="s">
        <v>251</v>
      </c>
      <c r="F228" s="168"/>
      <c r="G228" s="168"/>
      <c r="H228" s="445">
        <v>2030</v>
      </c>
      <c r="I228" s="176">
        <v>449.92082380623623</v>
      </c>
      <c r="J228" s="471" t="s">
        <v>256</v>
      </c>
      <c r="K228" s="470">
        <f t="shared" ref="K228:Z244" si="44">$I228*K$245</f>
        <v>364.88082651190763</v>
      </c>
      <c r="L228" s="470">
        <f t="shared" si="44"/>
        <v>381.05940247053229</v>
      </c>
      <c r="M228" s="470">
        <f t="shared" si="44"/>
        <v>366.75734331565855</v>
      </c>
      <c r="N228" s="470">
        <f t="shared" si="44"/>
        <v>366.78166772899959</v>
      </c>
      <c r="O228" s="470">
        <f t="shared" si="44"/>
        <v>450.12845431046196</v>
      </c>
      <c r="P228" s="470">
        <f t="shared" si="44"/>
        <v>373.85015461454373</v>
      </c>
      <c r="Q228" s="470">
        <f t="shared" si="44"/>
        <v>383.99964849523388</v>
      </c>
      <c r="R228" s="470">
        <f t="shared" si="44"/>
        <v>370.87647297783985</v>
      </c>
      <c r="S228" s="470">
        <f t="shared" si="44"/>
        <v>387.62886803138514</v>
      </c>
      <c r="T228" s="470">
        <f t="shared" si="44"/>
        <v>452.11585185072931</v>
      </c>
      <c r="U228" s="470">
        <f t="shared" si="44"/>
        <v>382.1223675294998</v>
      </c>
      <c r="V228" s="470">
        <f t="shared" si="44"/>
        <v>388.50813780730255</v>
      </c>
      <c r="W228" s="470">
        <f t="shared" si="44"/>
        <v>385.49071450056658</v>
      </c>
      <c r="X228" s="470">
        <f t="shared" si="44"/>
        <v>489.63355318994957</v>
      </c>
      <c r="Y228" s="470">
        <f t="shared" si="44"/>
        <v>418.87830104135691</v>
      </c>
      <c r="Z228" s="470">
        <f t="shared" si="44"/>
        <v>449.92082380623623</v>
      </c>
      <c r="AA228" s="470">
        <f t="shared" ref="AA228:AL231" si="45">$I228*AA$245</f>
        <v>449.92082380623623</v>
      </c>
      <c r="AB228" s="470">
        <f t="shared" si="45"/>
        <v>381.40534606014177</v>
      </c>
      <c r="AC228" s="470">
        <f t="shared" si="45"/>
        <v>372.23444809661595</v>
      </c>
      <c r="AD228" s="470">
        <f t="shared" si="45"/>
        <v>437.5931523509098</v>
      </c>
      <c r="AE228" s="470">
        <f t="shared" si="45"/>
        <v>382.1223675294998</v>
      </c>
      <c r="AF228" s="470">
        <f t="shared" si="45"/>
        <v>411.4925338411004</v>
      </c>
      <c r="AG228" s="470">
        <f t="shared" si="45"/>
        <v>392.67036032016756</v>
      </c>
      <c r="AH228" s="470">
        <f t="shared" si="45"/>
        <v>396.99097279930299</v>
      </c>
      <c r="AI228" s="470">
        <f t="shared" si="45"/>
        <v>366.75734331565855</v>
      </c>
      <c r="AJ228" s="470">
        <f t="shared" si="45"/>
        <v>413.94414333556779</v>
      </c>
      <c r="AK228" s="470">
        <f t="shared" si="45"/>
        <v>439.30390920316216</v>
      </c>
      <c r="AL228" s="470">
        <f t="shared" si="45"/>
        <v>475.74017403054103</v>
      </c>
      <c r="AN228" s="426"/>
      <c r="AO228" s="426"/>
      <c r="AP228" s="426"/>
      <c r="AQ228" s="426"/>
      <c r="AR228" s="426"/>
      <c r="AS228" s="426"/>
      <c r="AT228" s="426"/>
      <c r="AU228" s="426"/>
      <c r="AV228" s="426"/>
      <c r="AW228" s="426"/>
      <c r="AX228" s="426"/>
      <c r="AY228" s="426"/>
    </row>
    <row r="229" spans="1:51" x14ac:dyDescent="0.25">
      <c r="B229" s="425"/>
      <c r="F229" s="168"/>
      <c r="G229" s="168"/>
      <c r="H229" s="445">
        <v>2050</v>
      </c>
      <c r="I229" s="177">
        <v>443.27174759235106</v>
      </c>
      <c r="J229" s="473" t="s">
        <v>256</v>
      </c>
      <c r="K229" s="495">
        <f t="shared" si="44"/>
        <v>359.48849902651006</v>
      </c>
      <c r="L229" s="479">
        <f t="shared" si="44"/>
        <v>375.42798272958856</v>
      </c>
      <c r="M229" s="479">
        <f t="shared" si="44"/>
        <v>361.33728405483606</v>
      </c>
      <c r="N229" s="479">
        <f t="shared" si="44"/>
        <v>361.36124899408838</v>
      </c>
      <c r="O229" s="479">
        <f t="shared" si="44"/>
        <v>443.47630966547985</v>
      </c>
      <c r="P229" s="479">
        <f t="shared" si="44"/>
        <v>368.32527548230917</v>
      </c>
      <c r="Q229" s="479">
        <f t="shared" si="44"/>
        <v>378.32477684259504</v>
      </c>
      <c r="R229" s="479">
        <f t="shared" si="44"/>
        <v>365.39553987964524</v>
      </c>
      <c r="S229" s="479">
        <f t="shared" si="44"/>
        <v>381.9003625924978</v>
      </c>
      <c r="T229" s="479">
        <f t="shared" si="44"/>
        <v>445.43433679874818</v>
      </c>
      <c r="U229" s="479">
        <f t="shared" si="44"/>
        <v>376.47523894532009</v>
      </c>
      <c r="V229" s="479">
        <f t="shared" si="44"/>
        <v>382.76663823379567</v>
      </c>
      <c r="W229" s="479">
        <f t="shared" si="44"/>
        <v>379.79380738972083</v>
      </c>
      <c r="X229" s="479">
        <f t="shared" si="44"/>
        <v>482.39758934970411</v>
      </c>
      <c r="Y229" s="479">
        <f t="shared" si="44"/>
        <v>412.68798132153398</v>
      </c>
      <c r="Z229" s="479">
        <f t="shared" si="44"/>
        <v>443.27174759235106</v>
      </c>
      <c r="AA229" s="479">
        <f t="shared" si="45"/>
        <v>443.27174759235106</v>
      </c>
      <c r="AB229" s="479">
        <f t="shared" si="45"/>
        <v>375.76881385235652</v>
      </c>
      <c r="AC229" s="479">
        <f t="shared" si="45"/>
        <v>366.73344640060691</v>
      </c>
      <c r="AD229" s="479">
        <f t="shared" si="45"/>
        <v>431.12625847380286</v>
      </c>
      <c r="AE229" s="479">
        <f t="shared" si="45"/>
        <v>376.47523894532009</v>
      </c>
      <c r="AF229" s="479">
        <f t="shared" si="45"/>
        <v>405.41136339024678</v>
      </c>
      <c r="AG229" s="479">
        <f t="shared" si="45"/>
        <v>386.86735006913068</v>
      </c>
      <c r="AH229" s="479">
        <f t="shared" si="45"/>
        <v>391.12411113231832</v>
      </c>
      <c r="AI229" s="479">
        <f t="shared" si="45"/>
        <v>361.33728405483606</v>
      </c>
      <c r="AJ229" s="479">
        <f t="shared" si="45"/>
        <v>407.82674220252994</v>
      </c>
      <c r="AK229" s="479">
        <f t="shared" si="45"/>
        <v>432.811733205086</v>
      </c>
      <c r="AL229" s="479">
        <f t="shared" si="45"/>
        <v>468.70953106457256</v>
      </c>
      <c r="AN229" s="426"/>
      <c r="AO229" s="426"/>
      <c r="AP229" s="426"/>
      <c r="AQ229" s="426"/>
      <c r="AR229" s="426"/>
      <c r="AS229" s="426"/>
      <c r="AT229" s="426"/>
      <c r="AU229" s="426"/>
      <c r="AV229" s="426"/>
      <c r="AW229" s="426"/>
      <c r="AX229" s="426"/>
      <c r="AY229" s="426"/>
    </row>
    <row r="230" spans="1:51" x14ac:dyDescent="0.25">
      <c r="A230" s="448" t="s">
        <v>119</v>
      </c>
      <c r="B230" s="449" t="s">
        <v>562</v>
      </c>
      <c r="C230" s="449" t="s">
        <v>19</v>
      </c>
      <c r="D230" s="449" t="s">
        <v>105</v>
      </c>
      <c r="E230" s="449" t="s">
        <v>252</v>
      </c>
      <c r="F230" s="169"/>
      <c r="G230" s="169"/>
      <c r="H230" s="452">
        <v>2020</v>
      </c>
      <c r="I230" s="178">
        <v>238.43199380000004</v>
      </c>
      <c r="J230" s="471" t="s">
        <v>256</v>
      </c>
      <c r="K230" s="470">
        <f t="shared" si="44"/>
        <v>193.36571761366909</v>
      </c>
      <c r="L230" s="470">
        <f t="shared" si="44"/>
        <v>201.93942640542068</v>
      </c>
      <c r="M230" s="470">
        <f t="shared" si="44"/>
        <v>194.36016290102532</v>
      </c>
      <c r="N230" s="470">
        <f t="shared" si="44"/>
        <v>194.37305343212336</v>
      </c>
      <c r="O230" s="470">
        <f t="shared" si="44"/>
        <v>238.54202594894002</v>
      </c>
      <c r="P230" s="470">
        <f t="shared" si="44"/>
        <v>198.11894233544569</v>
      </c>
      <c r="Q230" s="470">
        <f t="shared" si="44"/>
        <v>203.49758660792338</v>
      </c>
      <c r="R230" s="470">
        <f t="shared" si="44"/>
        <v>196.54306319393905</v>
      </c>
      <c r="S230" s="470">
        <f t="shared" si="44"/>
        <v>205.42086289156376</v>
      </c>
      <c r="T230" s="470">
        <f t="shared" si="44"/>
        <v>239.59523160852788</v>
      </c>
      <c r="U230" s="470">
        <f t="shared" si="44"/>
        <v>202.5027363589482</v>
      </c>
      <c r="V230" s="470">
        <f t="shared" si="44"/>
        <v>205.88682497792928</v>
      </c>
      <c r="W230" s="470">
        <f t="shared" si="44"/>
        <v>204.28776528320958</v>
      </c>
      <c r="X230" s="470">
        <f t="shared" si="44"/>
        <v>259.47744167701688</v>
      </c>
      <c r="Y230" s="470">
        <f t="shared" si="44"/>
        <v>221.98125357242697</v>
      </c>
      <c r="Z230" s="470">
        <f t="shared" si="44"/>
        <v>238.43199380000004</v>
      </c>
      <c r="AA230" s="470">
        <f t="shared" si="45"/>
        <v>238.43199380000004</v>
      </c>
      <c r="AB230" s="470">
        <f t="shared" si="45"/>
        <v>202.12275648362225</v>
      </c>
      <c r="AC230" s="470">
        <f t="shared" si="45"/>
        <v>197.26271140306486</v>
      </c>
      <c r="AD230" s="470">
        <f t="shared" si="45"/>
        <v>231.89904149266101</v>
      </c>
      <c r="AE230" s="470">
        <f t="shared" si="45"/>
        <v>202.5027363589482</v>
      </c>
      <c r="AF230" s="470">
        <f t="shared" si="45"/>
        <v>218.06722446747895</v>
      </c>
      <c r="AG230" s="470">
        <f t="shared" si="45"/>
        <v>208.09256198735707</v>
      </c>
      <c r="AH230" s="470">
        <f t="shared" si="45"/>
        <v>210.38223651080406</v>
      </c>
      <c r="AI230" s="470">
        <f t="shared" si="45"/>
        <v>194.36016290102532</v>
      </c>
      <c r="AJ230" s="470">
        <f t="shared" si="45"/>
        <v>219.36643559276041</v>
      </c>
      <c r="AK230" s="470">
        <f t="shared" si="45"/>
        <v>232.80564360042479</v>
      </c>
      <c r="AL230" s="470">
        <f t="shared" si="45"/>
        <v>252.11475491454826</v>
      </c>
      <c r="AN230" s="426"/>
      <c r="AO230" s="426"/>
      <c r="AP230" s="426"/>
      <c r="AQ230" s="426"/>
      <c r="AR230" s="426"/>
      <c r="AS230" s="426"/>
      <c r="AT230" s="426"/>
      <c r="AU230" s="426"/>
      <c r="AV230" s="426"/>
      <c r="AW230" s="426"/>
      <c r="AX230" s="426"/>
      <c r="AY230" s="426"/>
    </row>
    <row r="231" spans="1:51" x14ac:dyDescent="0.25">
      <c r="A231" s="424" t="s">
        <v>119</v>
      </c>
      <c r="B231" s="425" t="s">
        <v>563</v>
      </c>
      <c r="C231" s="425" t="s">
        <v>515</v>
      </c>
      <c r="D231" s="425" t="s">
        <v>516</v>
      </c>
      <c r="E231" s="425" t="s">
        <v>252</v>
      </c>
      <c r="F231" s="168"/>
      <c r="G231" s="168"/>
      <c r="H231" s="445">
        <v>2020</v>
      </c>
      <c r="I231" s="176">
        <v>248.88380722684926</v>
      </c>
      <c r="J231" s="471" t="s">
        <v>256</v>
      </c>
      <c r="K231" s="470">
        <f t="shared" si="44"/>
        <v>201.8420230433093</v>
      </c>
      <c r="L231" s="470">
        <f t="shared" si="44"/>
        <v>210.79156564511027</v>
      </c>
      <c r="M231" s="470">
        <f t="shared" si="44"/>
        <v>202.88006045285098</v>
      </c>
      <c r="N231" s="470">
        <f t="shared" si="44"/>
        <v>202.89351604832592</v>
      </c>
      <c r="O231" s="470">
        <f t="shared" si="44"/>
        <v>248.99866270286606</v>
      </c>
      <c r="P231" s="470">
        <f t="shared" si="44"/>
        <v>206.80360830083501</v>
      </c>
      <c r="Q231" s="470">
        <f t="shared" si="44"/>
        <v>212.41802876059938</v>
      </c>
      <c r="R231" s="470">
        <f t="shared" si="44"/>
        <v>205.15864952572807</v>
      </c>
      <c r="S231" s="470">
        <f t="shared" si="44"/>
        <v>214.42561304571439</v>
      </c>
      <c r="T231" s="470">
        <f t="shared" si="44"/>
        <v>250.09803628177832</v>
      </c>
      <c r="U231" s="470">
        <f t="shared" si="44"/>
        <v>211.37956863769651</v>
      </c>
      <c r="V231" s="470">
        <f t="shared" si="44"/>
        <v>214.91200086737268</v>
      </c>
      <c r="W231" s="470">
        <f t="shared" si="44"/>
        <v>213.24284540521319</v>
      </c>
      <c r="X231" s="470">
        <f t="shared" si="44"/>
        <v>270.85179528477641</v>
      </c>
      <c r="Y231" s="470">
        <f t="shared" si="44"/>
        <v>231.71193866053326</v>
      </c>
      <c r="Z231" s="470">
        <f t="shared" si="44"/>
        <v>248.88380722684926</v>
      </c>
      <c r="AA231" s="470">
        <f t="shared" si="45"/>
        <v>248.88380722684926</v>
      </c>
      <c r="AB231" s="470">
        <f t="shared" si="45"/>
        <v>210.98293211030148</v>
      </c>
      <c r="AC231" s="470">
        <f t="shared" si="45"/>
        <v>205.90984395771966</v>
      </c>
      <c r="AD231" s="470">
        <f t="shared" si="45"/>
        <v>242.06447892795566</v>
      </c>
      <c r="AE231" s="470">
        <f t="shared" si="45"/>
        <v>211.37956863769651</v>
      </c>
      <c r="AF231" s="470">
        <f t="shared" si="45"/>
        <v>227.62633567701218</v>
      </c>
      <c r="AG231" s="470">
        <f t="shared" si="45"/>
        <v>217.21442771830962</v>
      </c>
      <c r="AH231" s="470">
        <f t="shared" si="45"/>
        <v>219.60447153593512</v>
      </c>
      <c r="AI231" s="470">
        <f t="shared" si="45"/>
        <v>202.88006045285098</v>
      </c>
      <c r="AJ231" s="470">
        <f t="shared" si="45"/>
        <v>228.98249852285394</v>
      </c>
      <c r="AK231" s="470">
        <f t="shared" si="45"/>
        <v>243.01082249797756</v>
      </c>
      <c r="AL231" s="470">
        <f t="shared" si="45"/>
        <v>263.16636060943245</v>
      </c>
      <c r="AN231" s="426"/>
      <c r="AO231" s="426"/>
      <c r="AP231" s="426"/>
      <c r="AQ231" s="426"/>
      <c r="AR231" s="426"/>
      <c r="AS231" s="426"/>
      <c r="AT231" s="426"/>
      <c r="AU231" s="426"/>
      <c r="AV231" s="426"/>
      <c r="AW231" s="426"/>
      <c r="AX231" s="426"/>
      <c r="AY231" s="426"/>
    </row>
    <row r="232" spans="1:51" x14ac:dyDescent="0.25">
      <c r="A232" s="424" t="s">
        <v>119</v>
      </c>
      <c r="B232" s="425" t="s">
        <v>564</v>
      </c>
      <c r="C232" s="425" t="s">
        <v>0</v>
      </c>
      <c r="D232" s="425" t="s">
        <v>109</v>
      </c>
      <c r="E232" s="425" t="s">
        <v>252</v>
      </c>
      <c r="F232" s="168"/>
      <c r="G232" s="168"/>
      <c r="H232" s="445">
        <v>2020</v>
      </c>
      <c r="I232" s="176">
        <v>248.88380722684926</v>
      </c>
      <c r="J232" s="471" t="s">
        <v>256</v>
      </c>
      <c r="K232" s="470">
        <f t="shared" si="44"/>
        <v>201.8420230433093</v>
      </c>
      <c r="L232" s="470">
        <f t="shared" si="44"/>
        <v>210.79156564511027</v>
      </c>
      <c r="M232" s="470">
        <f t="shared" si="44"/>
        <v>202.88006045285098</v>
      </c>
      <c r="N232" s="470">
        <f t="shared" si="44"/>
        <v>202.89351604832592</v>
      </c>
      <c r="O232" s="470">
        <f t="shared" si="44"/>
        <v>248.99866270286606</v>
      </c>
      <c r="P232" s="470">
        <f t="shared" si="44"/>
        <v>206.80360830083501</v>
      </c>
      <c r="Q232" s="470">
        <f t="shared" si="44"/>
        <v>212.41802876059938</v>
      </c>
      <c r="R232" s="470">
        <f t="shared" si="44"/>
        <v>205.15864952572807</v>
      </c>
      <c r="S232" s="470">
        <f t="shared" si="44"/>
        <v>214.42561304571439</v>
      </c>
      <c r="T232" s="470">
        <f t="shared" si="44"/>
        <v>250.09803628177832</v>
      </c>
      <c r="U232" s="470">
        <f t="shared" si="44"/>
        <v>211.37956863769651</v>
      </c>
      <c r="V232" s="470">
        <f t="shared" si="44"/>
        <v>214.91200086737268</v>
      </c>
      <c r="W232" s="470">
        <f t="shared" si="44"/>
        <v>213.24284540521319</v>
      </c>
      <c r="X232" s="470">
        <f t="shared" si="44"/>
        <v>270.85179528477641</v>
      </c>
      <c r="Y232" s="470">
        <f t="shared" si="44"/>
        <v>231.71193866053326</v>
      </c>
      <c r="Z232" s="470">
        <f t="shared" si="44"/>
        <v>248.88380722684926</v>
      </c>
      <c r="AA232" s="470">
        <f t="shared" ref="AA232:AL244" si="46">$I232*AA$245</f>
        <v>248.88380722684926</v>
      </c>
      <c r="AB232" s="470">
        <f t="shared" si="46"/>
        <v>210.98293211030148</v>
      </c>
      <c r="AC232" s="470">
        <f t="shared" si="46"/>
        <v>205.90984395771966</v>
      </c>
      <c r="AD232" s="470">
        <f t="shared" si="46"/>
        <v>242.06447892795566</v>
      </c>
      <c r="AE232" s="470">
        <f t="shared" si="46"/>
        <v>211.37956863769651</v>
      </c>
      <c r="AF232" s="470">
        <f t="shared" si="46"/>
        <v>227.62633567701218</v>
      </c>
      <c r="AG232" s="470">
        <f t="shared" si="46"/>
        <v>217.21442771830962</v>
      </c>
      <c r="AH232" s="470">
        <f t="shared" si="46"/>
        <v>219.60447153593512</v>
      </c>
      <c r="AI232" s="470">
        <f t="shared" si="46"/>
        <v>202.88006045285098</v>
      </c>
      <c r="AJ232" s="470">
        <f t="shared" si="46"/>
        <v>228.98249852285394</v>
      </c>
      <c r="AK232" s="470">
        <f t="shared" si="46"/>
        <v>243.01082249797756</v>
      </c>
      <c r="AL232" s="470">
        <f t="shared" si="46"/>
        <v>263.16636060943245</v>
      </c>
      <c r="AN232" s="426"/>
      <c r="AO232" s="426"/>
      <c r="AP232" s="426"/>
      <c r="AQ232" s="426"/>
      <c r="AR232" s="426"/>
      <c r="AS232" s="426"/>
      <c r="AT232" s="426"/>
      <c r="AU232" s="426"/>
      <c r="AV232" s="426"/>
      <c r="AW232" s="426"/>
      <c r="AX232" s="426"/>
      <c r="AY232" s="426"/>
    </row>
    <row r="233" spans="1:51" x14ac:dyDescent="0.25">
      <c r="A233" s="424" t="s">
        <v>119</v>
      </c>
      <c r="B233" s="507" t="s">
        <v>583</v>
      </c>
      <c r="C233" s="507" t="s">
        <v>115</v>
      </c>
      <c r="D233" s="507" t="s">
        <v>368</v>
      </c>
      <c r="E233" s="425" t="s">
        <v>252</v>
      </c>
      <c r="F233" s="168"/>
      <c r="G233" s="168"/>
      <c r="H233" s="445">
        <v>2020</v>
      </c>
      <c r="I233" s="508">
        <v>248.88380722684926</v>
      </c>
      <c r="J233" s="471" t="s">
        <v>256</v>
      </c>
      <c r="K233" s="470">
        <f t="shared" ref="K233:Z233" si="47">$I233*K$245</f>
        <v>201.8420230433093</v>
      </c>
      <c r="L233" s="470">
        <f t="shared" si="47"/>
        <v>210.79156564511027</v>
      </c>
      <c r="M233" s="470">
        <f t="shared" si="47"/>
        <v>202.88006045285098</v>
      </c>
      <c r="N233" s="470">
        <f t="shared" si="47"/>
        <v>202.89351604832592</v>
      </c>
      <c r="O233" s="470">
        <f t="shared" si="47"/>
        <v>248.99866270286606</v>
      </c>
      <c r="P233" s="470">
        <f t="shared" si="47"/>
        <v>206.80360830083501</v>
      </c>
      <c r="Q233" s="470">
        <f t="shared" si="47"/>
        <v>212.41802876059938</v>
      </c>
      <c r="R233" s="470">
        <f t="shared" si="47"/>
        <v>205.15864952572807</v>
      </c>
      <c r="S233" s="470">
        <f t="shared" si="47"/>
        <v>214.42561304571439</v>
      </c>
      <c r="T233" s="470">
        <f t="shared" si="47"/>
        <v>250.09803628177832</v>
      </c>
      <c r="U233" s="470">
        <f t="shared" si="47"/>
        <v>211.37956863769651</v>
      </c>
      <c r="V233" s="470">
        <f t="shared" si="47"/>
        <v>214.91200086737268</v>
      </c>
      <c r="W233" s="470">
        <f t="shared" si="47"/>
        <v>213.24284540521319</v>
      </c>
      <c r="X233" s="470">
        <f t="shared" si="47"/>
        <v>270.85179528477641</v>
      </c>
      <c r="Y233" s="470">
        <f t="shared" si="47"/>
        <v>231.71193866053326</v>
      </c>
      <c r="Z233" s="470">
        <f t="shared" si="47"/>
        <v>248.88380722684926</v>
      </c>
      <c r="AA233" s="470">
        <f t="shared" si="46"/>
        <v>248.88380722684926</v>
      </c>
      <c r="AB233" s="470">
        <f t="shared" si="46"/>
        <v>210.98293211030148</v>
      </c>
      <c r="AC233" s="470">
        <f t="shared" si="46"/>
        <v>205.90984395771966</v>
      </c>
      <c r="AD233" s="470">
        <f t="shared" si="46"/>
        <v>242.06447892795566</v>
      </c>
      <c r="AE233" s="470">
        <f t="shared" si="46"/>
        <v>211.37956863769651</v>
      </c>
      <c r="AF233" s="470">
        <f t="shared" si="46"/>
        <v>227.62633567701218</v>
      </c>
      <c r="AG233" s="470">
        <f t="shared" si="46"/>
        <v>217.21442771830962</v>
      </c>
      <c r="AH233" s="470">
        <f t="shared" si="46"/>
        <v>219.60447153593512</v>
      </c>
      <c r="AI233" s="470">
        <f t="shared" si="46"/>
        <v>202.88006045285098</v>
      </c>
      <c r="AJ233" s="470">
        <f t="shared" si="46"/>
        <v>228.98249852285394</v>
      </c>
      <c r="AK233" s="470">
        <f t="shared" si="46"/>
        <v>243.01082249797756</v>
      </c>
      <c r="AL233" s="470">
        <f t="shared" si="46"/>
        <v>263.16636060943245</v>
      </c>
      <c r="AN233" s="426"/>
      <c r="AO233" s="426"/>
      <c r="AP233" s="426"/>
      <c r="AQ233" s="426"/>
      <c r="AR233" s="426"/>
      <c r="AS233" s="426"/>
      <c r="AT233" s="426"/>
      <c r="AU233" s="426"/>
      <c r="AV233" s="426"/>
      <c r="AW233" s="426"/>
      <c r="AX233" s="426"/>
      <c r="AY233" s="426"/>
    </row>
    <row r="234" spans="1:51" x14ac:dyDescent="0.25">
      <c r="A234" s="456" t="s">
        <v>119</v>
      </c>
      <c r="B234" s="432" t="s">
        <v>565</v>
      </c>
      <c r="C234" s="432" t="s">
        <v>18</v>
      </c>
      <c r="D234" s="432" t="s">
        <v>104</v>
      </c>
      <c r="E234" s="425" t="s">
        <v>252</v>
      </c>
      <c r="F234" s="171"/>
      <c r="G234" s="171"/>
      <c r="H234" s="458">
        <v>2020</v>
      </c>
      <c r="I234" s="179">
        <v>248.88380722684926</v>
      </c>
      <c r="J234" s="473" t="s">
        <v>256</v>
      </c>
      <c r="K234" s="495">
        <f t="shared" si="44"/>
        <v>201.8420230433093</v>
      </c>
      <c r="L234" s="479">
        <f t="shared" si="44"/>
        <v>210.79156564511027</v>
      </c>
      <c r="M234" s="479">
        <f t="shared" si="44"/>
        <v>202.88006045285098</v>
      </c>
      <c r="N234" s="479">
        <f t="shared" si="44"/>
        <v>202.89351604832592</v>
      </c>
      <c r="O234" s="479">
        <f t="shared" si="44"/>
        <v>248.99866270286606</v>
      </c>
      <c r="P234" s="479">
        <f t="shared" si="44"/>
        <v>206.80360830083501</v>
      </c>
      <c r="Q234" s="479">
        <f t="shared" si="44"/>
        <v>212.41802876059938</v>
      </c>
      <c r="R234" s="479">
        <f t="shared" si="44"/>
        <v>205.15864952572807</v>
      </c>
      <c r="S234" s="479">
        <f t="shared" si="44"/>
        <v>214.42561304571439</v>
      </c>
      <c r="T234" s="479">
        <f t="shared" si="44"/>
        <v>250.09803628177832</v>
      </c>
      <c r="U234" s="479">
        <f t="shared" si="44"/>
        <v>211.37956863769651</v>
      </c>
      <c r="V234" s="479">
        <f t="shared" si="44"/>
        <v>214.91200086737268</v>
      </c>
      <c r="W234" s="479">
        <f t="shared" si="44"/>
        <v>213.24284540521319</v>
      </c>
      <c r="X234" s="479">
        <f t="shared" si="44"/>
        <v>270.85179528477641</v>
      </c>
      <c r="Y234" s="479">
        <f t="shared" si="44"/>
        <v>231.71193866053326</v>
      </c>
      <c r="Z234" s="479">
        <f t="shared" si="44"/>
        <v>248.88380722684926</v>
      </c>
      <c r="AA234" s="479">
        <f t="shared" si="46"/>
        <v>248.88380722684926</v>
      </c>
      <c r="AB234" s="479">
        <f t="shared" si="46"/>
        <v>210.98293211030148</v>
      </c>
      <c r="AC234" s="479">
        <f t="shared" si="46"/>
        <v>205.90984395771966</v>
      </c>
      <c r="AD234" s="479">
        <f t="shared" si="46"/>
        <v>242.06447892795566</v>
      </c>
      <c r="AE234" s="479">
        <f t="shared" si="46"/>
        <v>211.37956863769651</v>
      </c>
      <c r="AF234" s="479">
        <f t="shared" si="46"/>
        <v>227.62633567701218</v>
      </c>
      <c r="AG234" s="479">
        <f t="shared" si="46"/>
        <v>217.21442771830962</v>
      </c>
      <c r="AH234" s="479">
        <f t="shared" si="46"/>
        <v>219.60447153593512</v>
      </c>
      <c r="AI234" s="479">
        <f t="shared" si="46"/>
        <v>202.88006045285098</v>
      </c>
      <c r="AJ234" s="479">
        <f t="shared" si="46"/>
        <v>228.98249852285394</v>
      </c>
      <c r="AK234" s="479">
        <f t="shared" si="46"/>
        <v>243.01082249797756</v>
      </c>
      <c r="AL234" s="479">
        <f t="shared" si="46"/>
        <v>263.16636060943245</v>
      </c>
      <c r="AN234" s="426"/>
      <c r="AO234" s="426"/>
      <c r="AP234" s="426"/>
      <c r="AQ234" s="426"/>
      <c r="AR234" s="426"/>
      <c r="AS234" s="426"/>
      <c r="AT234" s="426"/>
      <c r="AU234" s="426"/>
      <c r="AV234" s="426"/>
      <c r="AW234" s="426"/>
      <c r="AX234" s="426"/>
      <c r="AY234" s="426"/>
    </row>
    <row r="235" spans="1:51" x14ac:dyDescent="0.25">
      <c r="A235" s="424" t="s">
        <v>94</v>
      </c>
      <c r="B235" s="425" t="s">
        <v>566</v>
      </c>
      <c r="C235" s="425" t="s">
        <v>19</v>
      </c>
      <c r="D235" s="425" t="s">
        <v>105</v>
      </c>
      <c r="E235" s="449" t="s">
        <v>253</v>
      </c>
      <c r="F235" s="168"/>
      <c r="G235" s="168"/>
      <c r="H235" s="445">
        <v>2020</v>
      </c>
      <c r="I235" s="176">
        <v>5.7376683000000011</v>
      </c>
      <c r="J235" s="471" t="s">
        <v>375</v>
      </c>
      <c r="K235" s="470">
        <f t="shared" si="44"/>
        <v>4.6531857179759948</v>
      </c>
      <c r="L235" s="470">
        <f t="shared" si="44"/>
        <v>4.8595049134994275</v>
      </c>
      <c r="M235" s="470">
        <f t="shared" si="44"/>
        <v>4.6771162195433895</v>
      </c>
      <c r="N235" s="470">
        <f t="shared" si="44"/>
        <v>4.6774264194895991</v>
      </c>
      <c r="O235" s="470">
        <f t="shared" si="44"/>
        <v>5.7403161324611229</v>
      </c>
      <c r="P235" s="470">
        <f t="shared" si="44"/>
        <v>4.7675681310668754</v>
      </c>
      <c r="Q235" s="470">
        <f t="shared" si="44"/>
        <v>4.8970007472494936</v>
      </c>
      <c r="R235" s="470">
        <f t="shared" si="44"/>
        <v>4.7296459057365006</v>
      </c>
      <c r="S235" s="470">
        <f t="shared" si="44"/>
        <v>4.9432827968558124</v>
      </c>
      <c r="T235" s="470">
        <f t="shared" si="44"/>
        <v>5.7656606536811523</v>
      </c>
      <c r="U235" s="470">
        <f t="shared" si="44"/>
        <v>4.8730605006164005</v>
      </c>
      <c r="V235" s="470">
        <f t="shared" si="44"/>
        <v>4.9544957882389404</v>
      </c>
      <c r="W235" s="470">
        <f t="shared" si="44"/>
        <v>4.9160157421093214</v>
      </c>
      <c r="X235" s="470">
        <f t="shared" si="44"/>
        <v>6.2441095590725988</v>
      </c>
      <c r="Y235" s="470">
        <f t="shared" si="44"/>
        <v>5.3417948720637511</v>
      </c>
      <c r="Z235" s="470">
        <f t="shared" si="44"/>
        <v>5.7376683000000011</v>
      </c>
      <c r="AA235" s="470">
        <f t="shared" si="46"/>
        <v>5.7376683000000011</v>
      </c>
      <c r="AB235" s="470">
        <f t="shared" si="46"/>
        <v>4.8639165998732627</v>
      </c>
      <c r="AC235" s="470">
        <f t="shared" si="46"/>
        <v>4.746963643389261</v>
      </c>
      <c r="AD235" s="470">
        <f t="shared" si="46"/>
        <v>5.5804582177378323</v>
      </c>
      <c r="AE235" s="470">
        <f t="shared" si="46"/>
        <v>4.8730605006164005</v>
      </c>
      <c r="AF235" s="470">
        <f t="shared" si="46"/>
        <v>5.2476070059018998</v>
      </c>
      <c r="AG235" s="470">
        <f t="shared" si="46"/>
        <v>5.0075750210861329</v>
      </c>
      <c r="AH235" s="470">
        <f t="shared" si="46"/>
        <v>5.0626741406343223</v>
      </c>
      <c r="AI235" s="470">
        <f t="shared" si="46"/>
        <v>4.6771162195433895</v>
      </c>
      <c r="AJ235" s="470">
        <f t="shared" si="46"/>
        <v>5.2788714447455716</v>
      </c>
      <c r="AK235" s="470">
        <f t="shared" si="46"/>
        <v>5.6022748459995269</v>
      </c>
      <c r="AL235" s="470">
        <f t="shared" si="46"/>
        <v>6.0669326048955465</v>
      </c>
      <c r="AN235" s="426"/>
      <c r="AO235" s="426"/>
      <c r="AP235" s="426"/>
      <c r="AQ235" s="426"/>
      <c r="AR235" s="426"/>
      <c r="AS235" s="426"/>
      <c r="AT235" s="426"/>
      <c r="AU235" s="426"/>
      <c r="AV235" s="426"/>
      <c r="AW235" s="426"/>
      <c r="AX235" s="426"/>
      <c r="AY235" s="426"/>
    </row>
    <row r="236" spans="1:51" x14ac:dyDescent="0.25">
      <c r="A236" s="424" t="s">
        <v>94</v>
      </c>
      <c r="B236" s="425" t="s">
        <v>567</v>
      </c>
      <c r="C236" s="425" t="s">
        <v>19</v>
      </c>
      <c r="D236" s="425" t="s">
        <v>105</v>
      </c>
      <c r="E236" s="425" t="s">
        <v>303</v>
      </c>
      <c r="F236" s="168"/>
      <c r="G236" s="168"/>
      <c r="H236" s="445">
        <v>2030</v>
      </c>
      <c r="I236" s="176">
        <v>5.9786250037715636</v>
      </c>
      <c r="J236" s="471" t="s">
        <v>375</v>
      </c>
      <c r="K236" s="470">
        <f t="shared" si="44"/>
        <v>4.848598947534839</v>
      </c>
      <c r="L236" s="470">
        <f t="shared" si="44"/>
        <v>5.063582637183548</v>
      </c>
      <c r="M236" s="470">
        <f t="shared" si="44"/>
        <v>4.8735344243771701</v>
      </c>
      <c r="N236" s="470">
        <f t="shared" si="44"/>
        <v>4.8738576513498018</v>
      </c>
      <c r="O236" s="470">
        <f t="shared" si="44"/>
        <v>5.9813840334906327</v>
      </c>
      <c r="P236" s="470">
        <f t="shared" si="44"/>
        <v>4.9677849163188608</v>
      </c>
      <c r="Q236" s="470">
        <f t="shared" si="44"/>
        <v>5.1026531301912046</v>
      </c>
      <c r="R236" s="470">
        <f t="shared" si="44"/>
        <v>4.9282701251694947</v>
      </c>
      <c r="S236" s="470">
        <f t="shared" si="44"/>
        <v>5.150878821279365</v>
      </c>
      <c r="T236" s="470">
        <f t="shared" si="44"/>
        <v>6.0077929125599727</v>
      </c>
      <c r="U236" s="470">
        <f t="shared" si="44"/>
        <v>5.0777074990334974</v>
      </c>
      <c r="V236" s="470">
        <f t="shared" si="44"/>
        <v>5.1625627087306922</v>
      </c>
      <c r="W236" s="470">
        <f t="shared" si="44"/>
        <v>5.1224666707745028</v>
      </c>
      <c r="X236" s="470">
        <f t="shared" si="44"/>
        <v>6.5063345568722513</v>
      </c>
      <c r="Y236" s="470">
        <f t="shared" si="44"/>
        <v>5.5661266419216071</v>
      </c>
      <c r="Z236" s="470">
        <f t="shared" si="44"/>
        <v>5.9786250037715636</v>
      </c>
      <c r="AA236" s="470">
        <f t="shared" si="46"/>
        <v>5.9786250037715636</v>
      </c>
      <c r="AB236" s="470">
        <f t="shared" si="46"/>
        <v>5.0681795948820971</v>
      </c>
      <c r="AC236" s="470">
        <f t="shared" si="46"/>
        <v>4.9463151312461875</v>
      </c>
      <c r="AD236" s="470">
        <f t="shared" si="46"/>
        <v>5.8148127930417122</v>
      </c>
      <c r="AE236" s="470">
        <f t="shared" si="46"/>
        <v>5.0777074990334974</v>
      </c>
      <c r="AF236" s="470">
        <f t="shared" si="46"/>
        <v>5.467983301762481</v>
      </c>
      <c r="AG236" s="470">
        <f t="shared" si="46"/>
        <v>5.2178710347071586</v>
      </c>
      <c r="AH236" s="470">
        <f t="shared" si="46"/>
        <v>5.2752840736966391</v>
      </c>
      <c r="AI236" s="470">
        <f t="shared" si="46"/>
        <v>4.8735344243771701</v>
      </c>
      <c r="AJ236" s="470">
        <f t="shared" si="46"/>
        <v>5.5005607088251489</v>
      </c>
      <c r="AK236" s="470">
        <f t="shared" si="46"/>
        <v>5.8375456232444201</v>
      </c>
      <c r="AL236" s="470">
        <f t="shared" si="46"/>
        <v>6.3217169538757503</v>
      </c>
      <c r="AN236" s="426"/>
      <c r="AO236" s="426"/>
      <c r="AP236" s="426"/>
      <c r="AQ236" s="426"/>
      <c r="AR236" s="426"/>
      <c r="AS236" s="426"/>
      <c r="AT236" s="426"/>
      <c r="AU236" s="426"/>
      <c r="AV236" s="426"/>
      <c r="AW236" s="426"/>
      <c r="AX236" s="426"/>
      <c r="AY236" s="426"/>
    </row>
    <row r="237" spans="1:51" x14ac:dyDescent="0.25">
      <c r="C237" s="424"/>
      <c r="D237" s="424"/>
      <c r="E237" s="424"/>
      <c r="F237" s="168"/>
      <c r="G237" s="168"/>
      <c r="H237" s="445">
        <v>2050</v>
      </c>
      <c r="I237" s="176">
        <v>5.24</v>
      </c>
      <c r="J237" s="471" t="s">
        <v>375</v>
      </c>
      <c r="K237" s="470">
        <f t="shared" si="44"/>
        <v>4.2495822148161135</v>
      </c>
      <c r="L237" s="470">
        <f t="shared" si="44"/>
        <v>4.4380058963563647</v>
      </c>
      <c r="M237" s="470">
        <f t="shared" si="44"/>
        <v>4.2714370557822869</v>
      </c>
      <c r="N237" s="470">
        <f t="shared" si="44"/>
        <v>4.2717203499068601</v>
      </c>
      <c r="O237" s="470">
        <f t="shared" si="44"/>
        <v>5.2424181673409533</v>
      </c>
      <c r="P237" s="470">
        <f t="shared" si="44"/>
        <v>4.3540434372601187</v>
      </c>
      <c r="Q237" s="470">
        <f t="shared" si="44"/>
        <v>4.4722494528983736</v>
      </c>
      <c r="R237" s="470">
        <f t="shared" si="44"/>
        <v>4.3194104730765392</v>
      </c>
      <c r="S237" s="470">
        <f t="shared" si="44"/>
        <v>4.5145171350397604</v>
      </c>
      <c r="T237" s="470">
        <f t="shared" si="44"/>
        <v>5.2655643800965688</v>
      </c>
      <c r="U237" s="470">
        <f t="shared" si="44"/>
        <v>4.4503857121245458</v>
      </c>
      <c r="V237" s="470">
        <f t="shared" si="44"/>
        <v>4.5247575448674935</v>
      </c>
      <c r="W237" s="470">
        <f t="shared" si="44"/>
        <v>4.4896151436033414</v>
      </c>
      <c r="X237" s="470">
        <f t="shared" si="44"/>
        <v>5.7025140490502757</v>
      </c>
      <c r="Y237" s="470">
        <f t="shared" si="44"/>
        <v>4.8784634569436598</v>
      </c>
      <c r="Z237" s="470">
        <f t="shared" si="44"/>
        <v>5.24</v>
      </c>
      <c r="AA237" s="470">
        <f t="shared" si="46"/>
        <v>5.24</v>
      </c>
      <c r="AB237" s="470">
        <f t="shared" si="46"/>
        <v>4.4420349261625827</v>
      </c>
      <c r="AC237" s="470">
        <f t="shared" si="46"/>
        <v>4.3352261216215169</v>
      </c>
      <c r="AD237" s="470">
        <f t="shared" si="46"/>
        <v>5.0964258531547104</v>
      </c>
      <c r="AE237" s="470">
        <f t="shared" si="46"/>
        <v>4.4503857121245458</v>
      </c>
      <c r="AF237" s="470">
        <f t="shared" si="46"/>
        <v>4.7924451664321461</v>
      </c>
      <c r="AG237" s="470">
        <f t="shared" si="46"/>
        <v>4.5732328427719207</v>
      </c>
      <c r="AH237" s="470">
        <f t="shared" si="46"/>
        <v>4.6235528284065923</v>
      </c>
      <c r="AI237" s="470">
        <f t="shared" si="46"/>
        <v>4.2714370557822869</v>
      </c>
      <c r="AJ237" s="470">
        <f t="shared" si="46"/>
        <v>4.82099782074659</v>
      </c>
      <c r="AK237" s="470">
        <f t="shared" si="46"/>
        <v>5.1163501719047639</v>
      </c>
      <c r="AL237" s="470">
        <f t="shared" si="46"/>
        <v>5.5407048974324047</v>
      </c>
      <c r="AN237" s="426"/>
      <c r="AO237" s="426"/>
      <c r="AP237" s="426"/>
      <c r="AQ237" s="426"/>
      <c r="AR237" s="426"/>
      <c r="AS237" s="426"/>
      <c r="AT237" s="426"/>
      <c r="AU237" s="426"/>
      <c r="AV237" s="426"/>
      <c r="AW237" s="426"/>
      <c r="AX237" s="426"/>
      <c r="AY237" s="426"/>
    </row>
    <row r="238" spans="1:51" x14ac:dyDescent="0.25">
      <c r="A238" s="424" t="s">
        <v>94</v>
      </c>
      <c r="B238" s="425" t="s">
        <v>568</v>
      </c>
      <c r="C238" s="425" t="s">
        <v>19</v>
      </c>
      <c r="D238" s="425" t="s">
        <v>105</v>
      </c>
      <c r="E238" s="425" t="s">
        <v>305</v>
      </c>
      <c r="F238" s="168"/>
      <c r="G238" s="168"/>
      <c r="H238" s="445">
        <v>2030</v>
      </c>
      <c r="I238" s="176">
        <v>11.05</v>
      </c>
      <c r="J238" s="471" t="s">
        <v>375</v>
      </c>
      <c r="K238" s="470">
        <f t="shared" si="44"/>
        <v>8.9614281438393242</v>
      </c>
      <c r="L238" s="470">
        <f t="shared" si="44"/>
        <v>9.3587719760950048</v>
      </c>
      <c r="M238" s="470">
        <f t="shared" si="44"/>
        <v>9.0075151653424186</v>
      </c>
      <c r="N238" s="470">
        <f t="shared" si="44"/>
        <v>9.0081125699371754</v>
      </c>
      <c r="O238" s="470">
        <f t="shared" si="44"/>
        <v>11.055099379602582</v>
      </c>
      <c r="P238" s="470">
        <f t="shared" si="44"/>
        <v>9.1817137369702895</v>
      </c>
      <c r="Q238" s="470">
        <f t="shared" si="44"/>
        <v>9.4309840562074481</v>
      </c>
      <c r="R238" s="470">
        <f t="shared" si="44"/>
        <v>9.1086804823465179</v>
      </c>
      <c r="S238" s="470">
        <f t="shared" si="44"/>
        <v>9.5201172408758303</v>
      </c>
      <c r="T238" s="470">
        <f t="shared" si="44"/>
        <v>11.103909618333413</v>
      </c>
      <c r="U238" s="470">
        <f t="shared" si="44"/>
        <v>9.3848782669801984</v>
      </c>
      <c r="V238" s="470">
        <f t="shared" si="44"/>
        <v>9.5417119982415652</v>
      </c>
      <c r="W238" s="470">
        <f t="shared" si="44"/>
        <v>9.4676044535910169</v>
      </c>
      <c r="X238" s="470">
        <f t="shared" si="44"/>
        <v>12.025339740840753</v>
      </c>
      <c r="Y238" s="470">
        <f t="shared" si="44"/>
        <v>10.287599465501419</v>
      </c>
      <c r="Z238" s="470">
        <f t="shared" si="44"/>
        <v>11.05</v>
      </c>
      <c r="AA238" s="470">
        <f t="shared" si="46"/>
        <v>11.05</v>
      </c>
      <c r="AB238" s="470">
        <f t="shared" si="46"/>
        <v>9.3672683080336903</v>
      </c>
      <c r="AC238" s="470">
        <f t="shared" si="46"/>
        <v>9.1420321839537717</v>
      </c>
      <c r="AD238" s="470">
        <f t="shared" si="46"/>
        <v>10.747233907893044</v>
      </c>
      <c r="AE238" s="470">
        <f t="shared" si="46"/>
        <v>9.3848782669801984</v>
      </c>
      <c r="AF238" s="470">
        <f t="shared" si="46"/>
        <v>10.106205933029623</v>
      </c>
      <c r="AG238" s="470">
        <f t="shared" si="46"/>
        <v>9.6439356703491832</v>
      </c>
      <c r="AH238" s="470">
        <f t="shared" si="46"/>
        <v>9.7500493805139019</v>
      </c>
      <c r="AI238" s="470">
        <f t="shared" si="46"/>
        <v>9.0075151653424186</v>
      </c>
      <c r="AJ238" s="470">
        <f t="shared" si="46"/>
        <v>10.16641716016218</v>
      </c>
      <c r="AK238" s="470">
        <f t="shared" si="46"/>
        <v>10.789249885409856</v>
      </c>
      <c r="AL238" s="470">
        <f t="shared" si="46"/>
        <v>11.684120060425204</v>
      </c>
      <c r="AN238" s="426"/>
      <c r="AO238" s="426"/>
      <c r="AP238" s="426"/>
      <c r="AQ238" s="426"/>
      <c r="AR238" s="426"/>
      <c r="AS238" s="426"/>
      <c r="AT238" s="426"/>
      <c r="AU238" s="426"/>
      <c r="AV238" s="426"/>
      <c r="AW238" s="426"/>
      <c r="AX238" s="426"/>
      <c r="AY238" s="426"/>
    </row>
    <row r="239" spans="1:51" x14ac:dyDescent="0.25">
      <c r="B239" s="425"/>
      <c r="E239" s="432"/>
      <c r="F239" s="168"/>
      <c r="G239" s="168"/>
      <c r="H239" s="445">
        <v>2050</v>
      </c>
      <c r="I239" s="176">
        <v>10.712250036905628</v>
      </c>
      <c r="J239" s="473" t="s">
        <v>375</v>
      </c>
      <c r="K239" s="495">
        <f t="shared" si="44"/>
        <v>8.68751664837737</v>
      </c>
      <c r="L239" s="479">
        <f t="shared" si="44"/>
        <v>9.0727154250058888</v>
      </c>
      <c r="M239" s="479">
        <f t="shared" si="44"/>
        <v>8.7321949920694397</v>
      </c>
      <c r="N239" s="479">
        <f t="shared" si="44"/>
        <v>8.7327741366298248</v>
      </c>
      <c r="O239" s="479">
        <f t="shared" si="44"/>
        <v>10.717193550872683</v>
      </c>
      <c r="P239" s="479">
        <f t="shared" si="44"/>
        <v>8.9010690785264153</v>
      </c>
      <c r="Q239" s="479">
        <f t="shared" si="44"/>
        <v>9.1427202990194232</v>
      </c>
      <c r="R239" s="479">
        <f t="shared" si="44"/>
        <v>8.8302681296993715</v>
      </c>
      <c r="S239" s="479">
        <f t="shared" si="44"/>
        <v>9.2291290737482363</v>
      </c>
      <c r="T239" s="479">
        <f t="shared" si="44"/>
        <v>10.764511875003516</v>
      </c>
      <c r="U239" s="479">
        <f t="shared" si="44"/>
        <v>9.0980237612500847</v>
      </c>
      <c r="V239" s="479">
        <f t="shared" si="44"/>
        <v>9.2500637742358442</v>
      </c>
      <c r="W239" s="479">
        <f t="shared" si="44"/>
        <v>9.178221371709343</v>
      </c>
      <c r="X239" s="479">
        <f t="shared" si="44"/>
        <v>11.657777926029327</v>
      </c>
      <c r="Y239" s="479">
        <f t="shared" si="44"/>
        <v>9.9731527379174558</v>
      </c>
      <c r="Z239" s="479">
        <f t="shared" si="44"/>
        <v>10.712250036905628</v>
      </c>
      <c r="AA239" s="479">
        <f t="shared" si="46"/>
        <v>10.712250036905628</v>
      </c>
      <c r="AB239" s="479">
        <f t="shared" si="46"/>
        <v>9.0809520613971788</v>
      </c>
      <c r="AC239" s="479">
        <f t="shared" si="46"/>
        <v>8.8626004162851793</v>
      </c>
      <c r="AD239" s="479">
        <f t="shared" si="46"/>
        <v>10.418738174340332</v>
      </c>
      <c r="AE239" s="479">
        <f t="shared" si="46"/>
        <v>9.0980237612500847</v>
      </c>
      <c r="AF239" s="479">
        <f t="shared" si="46"/>
        <v>9.7973036089658319</v>
      </c>
      <c r="AG239" s="479">
        <f t="shared" si="46"/>
        <v>9.3491629177025821</v>
      </c>
      <c r="AH239" s="479">
        <f t="shared" si="46"/>
        <v>9.4520331978499321</v>
      </c>
      <c r="AI239" s="479">
        <f t="shared" si="46"/>
        <v>8.7321949920694397</v>
      </c>
      <c r="AJ239" s="479">
        <f t="shared" si="46"/>
        <v>9.8556744433615666</v>
      </c>
      <c r="AK239" s="479">
        <f t="shared" si="46"/>
        <v>10.459469907978802</v>
      </c>
      <c r="AL239" s="479">
        <f t="shared" si="46"/>
        <v>11.326987832443409</v>
      </c>
      <c r="AN239" s="426"/>
      <c r="AO239" s="426"/>
      <c r="AP239" s="426"/>
      <c r="AQ239" s="426"/>
      <c r="AR239" s="426"/>
      <c r="AS239" s="426"/>
      <c r="AT239" s="426"/>
      <c r="AU239" s="426"/>
      <c r="AV239" s="426"/>
      <c r="AW239" s="426"/>
      <c r="AX239" s="426"/>
      <c r="AY239" s="426"/>
    </row>
    <row r="240" spans="1:51" x14ac:dyDescent="0.25">
      <c r="A240" s="448" t="s">
        <v>148</v>
      </c>
      <c r="B240" s="449" t="s">
        <v>569</v>
      </c>
      <c r="C240" s="449" t="s">
        <v>19</v>
      </c>
      <c r="D240" s="449" t="s">
        <v>105</v>
      </c>
      <c r="E240" s="449" t="s">
        <v>264</v>
      </c>
      <c r="F240" s="169"/>
      <c r="G240" s="169"/>
      <c r="H240" s="452">
        <v>2020</v>
      </c>
      <c r="I240" s="196">
        <v>701.62059303095839</v>
      </c>
      <c r="J240" s="480" t="s">
        <v>256</v>
      </c>
      <c r="K240" s="470">
        <f t="shared" si="44"/>
        <v>569.00656368188845</v>
      </c>
      <c r="L240" s="470">
        <f t="shared" si="44"/>
        <v>594.23594062527525</v>
      </c>
      <c r="M240" s="470">
        <f t="shared" si="44"/>
        <v>571.93286262831657</v>
      </c>
      <c r="N240" s="470">
        <f t="shared" si="44"/>
        <v>571.97079487863812</v>
      </c>
      <c r="O240" s="470">
        <f t="shared" si="44"/>
        <v>701.94437852786825</v>
      </c>
      <c r="P240" s="470">
        <f t="shared" si="44"/>
        <v>582.99361422385437</v>
      </c>
      <c r="Q240" s="470">
        <f t="shared" si="44"/>
        <v>598.82105216124728</v>
      </c>
      <c r="R240" s="470">
        <f t="shared" si="44"/>
        <v>578.3563621496362</v>
      </c>
      <c r="S240" s="470">
        <f t="shared" si="44"/>
        <v>604.48057052195031</v>
      </c>
      <c r="T240" s="470">
        <f t="shared" si="44"/>
        <v>705.0435883599323</v>
      </c>
      <c r="U240" s="470">
        <f t="shared" si="44"/>
        <v>595.89356155674204</v>
      </c>
      <c r="V240" s="470">
        <f t="shared" si="44"/>
        <v>605.85173128840336</v>
      </c>
      <c r="W240" s="470">
        <f t="shared" si="44"/>
        <v>601.14626708697472</v>
      </c>
      <c r="X240" s="470">
        <f t="shared" si="44"/>
        <v>763.5498642866462</v>
      </c>
      <c r="Y240" s="470">
        <f t="shared" si="44"/>
        <v>653.21191292760875</v>
      </c>
      <c r="Z240" s="470">
        <f t="shared" si="44"/>
        <v>701.62059303095839</v>
      </c>
      <c r="AA240" s="470">
        <f t="shared" si="46"/>
        <v>701.62059303095839</v>
      </c>
      <c r="AB240" s="470">
        <f t="shared" si="46"/>
        <v>594.77541586992766</v>
      </c>
      <c r="AC240" s="470">
        <f t="shared" si="46"/>
        <v>580.47403098766995</v>
      </c>
      <c r="AD240" s="470">
        <f t="shared" si="46"/>
        <v>682.3964369138771</v>
      </c>
      <c r="AE240" s="470">
        <f t="shared" si="46"/>
        <v>595.89356155674204</v>
      </c>
      <c r="AF240" s="470">
        <f t="shared" si="46"/>
        <v>641.69431674436498</v>
      </c>
      <c r="AG240" s="470">
        <f t="shared" si="46"/>
        <v>612.3424311477653</v>
      </c>
      <c r="AH240" s="470">
        <f t="shared" si="46"/>
        <v>619.08012927034326</v>
      </c>
      <c r="AI240" s="470">
        <f t="shared" si="46"/>
        <v>571.93286262831657</v>
      </c>
      <c r="AJ240" s="470">
        <f t="shared" si="46"/>
        <v>645.51743320480546</v>
      </c>
      <c r="AK240" s="470">
        <f t="shared" si="46"/>
        <v>685.06424461180654</v>
      </c>
      <c r="AL240" s="470">
        <f t="shared" si="46"/>
        <v>741.88409464619451</v>
      </c>
      <c r="AN240" s="426"/>
      <c r="AO240" s="426"/>
      <c r="AP240" s="426"/>
      <c r="AQ240" s="426"/>
      <c r="AR240" s="426"/>
      <c r="AS240" s="426"/>
      <c r="AT240" s="426"/>
      <c r="AU240" s="426"/>
      <c r="AV240" s="426"/>
      <c r="AW240" s="426"/>
      <c r="AX240" s="426"/>
      <c r="AY240" s="426"/>
    </row>
    <row r="241" spans="1:51" x14ac:dyDescent="0.25">
      <c r="A241" s="424" t="s">
        <v>148</v>
      </c>
      <c r="B241" s="425" t="s">
        <v>570</v>
      </c>
      <c r="C241" s="425" t="s">
        <v>19</v>
      </c>
      <c r="D241" s="425" t="s">
        <v>105</v>
      </c>
      <c r="E241" s="425" t="s">
        <v>306</v>
      </c>
      <c r="F241" s="168"/>
      <c r="G241" s="168"/>
      <c r="H241" s="445">
        <v>2030</v>
      </c>
      <c r="I241" s="195">
        <v>817.21249560119702</v>
      </c>
      <c r="J241" s="471" t="s">
        <v>256</v>
      </c>
      <c r="K241" s="470">
        <f t="shared" si="44"/>
        <v>662.75032195273639</v>
      </c>
      <c r="L241" s="470">
        <f t="shared" si="44"/>
        <v>692.13623550652903</v>
      </c>
      <c r="M241" s="470">
        <f t="shared" si="44"/>
        <v>666.15872827467024</v>
      </c>
      <c r="N241" s="470">
        <f t="shared" si="44"/>
        <v>666.20290985835936</v>
      </c>
      <c r="O241" s="470">
        <f t="shared" si="44"/>
        <v>817.58962471712857</v>
      </c>
      <c r="P241" s="470">
        <f t="shared" si="44"/>
        <v>679.04173727468617</v>
      </c>
      <c r="Q241" s="470">
        <f t="shared" si="44"/>
        <v>697.47674357903963</v>
      </c>
      <c r="R241" s="470">
        <f t="shared" si="44"/>
        <v>673.64049851695142</v>
      </c>
      <c r="S241" s="470">
        <f t="shared" si="44"/>
        <v>704.06866686263515</v>
      </c>
      <c r="T241" s="470">
        <f t="shared" si="44"/>
        <v>821.19942897089436</v>
      </c>
      <c r="U241" s="470">
        <f t="shared" si="44"/>
        <v>694.0669492735135</v>
      </c>
      <c r="V241" s="470">
        <f t="shared" si="44"/>
        <v>705.6657261892193</v>
      </c>
      <c r="W241" s="470">
        <f t="shared" si="44"/>
        <v>700.18503736507887</v>
      </c>
      <c r="X241" s="470">
        <f t="shared" si="44"/>
        <v>889.34460634069899</v>
      </c>
      <c r="Y241" s="470">
        <f t="shared" si="44"/>
        <v>760.82849166949825</v>
      </c>
      <c r="Z241" s="470">
        <f t="shared" si="44"/>
        <v>817.21249560119702</v>
      </c>
      <c r="AA241" s="470">
        <f t="shared" si="46"/>
        <v>817.21249560119702</v>
      </c>
      <c r="AB241" s="470">
        <f t="shared" si="46"/>
        <v>692.76458922843574</v>
      </c>
      <c r="AC241" s="470">
        <f t="shared" si="46"/>
        <v>676.10705302401118</v>
      </c>
      <c r="AD241" s="470">
        <f t="shared" si="46"/>
        <v>794.82116223340086</v>
      </c>
      <c r="AE241" s="470">
        <f t="shared" si="46"/>
        <v>694.0669492735135</v>
      </c>
      <c r="AF241" s="470">
        <f t="shared" si="46"/>
        <v>747.41337299463896</v>
      </c>
      <c r="AG241" s="470">
        <f t="shared" si="46"/>
        <v>713.22576801660261</v>
      </c>
      <c r="AH241" s="470">
        <f t="shared" si="46"/>
        <v>721.07350103933675</v>
      </c>
      <c r="AI241" s="470">
        <f t="shared" si="46"/>
        <v>666.15872827467024</v>
      </c>
      <c r="AJ241" s="470">
        <f t="shared" si="46"/>
        <v>751.86634740081161</v>
      </c>
      <c r="AK241" s="470">
        <f t="shared" si="46"/>
        <v>797.92849090685218</v>
      </c>
      <c r="AL241" s="470">
        <f t="shared" si="46"/>
        <v>864.10940393521173</v>
      </c>
      <c r="AN241" s="426"/>
      <c r="AO241" s="426"/>
      <c r="AP241" s="426"/>
      <c r="AQ241" s="426"/>
      <c r="AR241" s="426"/>
      <c r="AS241" s="426"/>
      <c r="AT241" s="426"/>
      <c r="AU241" s="426"/>
      <c r="AV241" s="426"/>
      <c r="AW241" s="426"/>
      <c r="AX241" s="426"/>
      <c r="AY241" s="426"/>
    </row>
    <row r="242" spans="1:51" x14ac:dyDescent="0.25">
      <c r="C242" s="424"/>
      <c r="D242" s="424"/>
      <c r="E242" s="424"/>
      <c r="F242" s="168"/>
      <c r="G242" s="168"/>
      <c r="H242" s="445">
        <v>2050</v>
      </c>
      <c r="I242" s="195">
        <v>791.85432263585949</v>
      </c>
      <c r="J242" s="471" t="s">
        <v>256</v>
      </c>
      <c r="K242" s="470">
        <f t="shared" si="44"/>
        <v>642.18512332034527</v>
      </c>
      <c r="L242" s="470">
        <f t="shared" si="44"/>
        <v>670.65918948725562</v>
      </c>
      <c r="M242" s="470">
        <f t="shared" si="44"/>
        <v>645.48776650538025</v>
      </c>
      <c r="N242" s="470">
        <f t="shared" si="44"/>
        <v>645.53057713078488</v>
      </c>
      <c r="O242" s="470">
        <f t="shared" si="44"/>
        <v>792.21974940337668</v>
      </c>
      <c r="P242" s="470">
        <f t="shared" si="44"/>
        <v>657.97101464479408</v>
      </c>
      <c r="Q242" s="470">
        <f t="shared" si="44"/>
        <v>675.83398114187685</v>
      </c>
      <c r="R242" s="470">
        <f t="shared" si="44"/>
        <v>652.73737678325574</v>
      </c>
      <c r="S242" s="470">
        <f t="shared" si="44"/>
        <v>682.22135648757444</v>
      </c>
      <c r="T242" s="470">
        <f t="shared" si="44"/>
        <v>795.71754112535825</v>
      </c>
      <c r="U242" s="470">
        <f t="shared" si="44"/>
        <v>672.52999304249806</v>
      </c>
      <c r="V242" s="470">
        <f t="shared" si="44"/>
        <v>683.76885892796622</v>
      </c>
      <c r="W242" s="470">
        <f t="shared" si="44"/>
        <v>678.45823634231317</v>
      </c>
      <c r="X242" s="470">
        <f t="shared" si="44"/>
        <v>861.74816786873635</v>
      </c>
      <c r="Y242" s="470">
        <f t="shared" si="44"/>
        <v>737.2199191225028</v>
      </c>
      <c r="Z242" s="470">
        <f t="shared" si="44"/>
        <v>791.85432263585949</v>
      </c>
      <c r="AA242" s="470">
        <f t="shared" si="46"/>
        <v>791.85432263585949</v>
      </c>
      <c r="AB242" s="470">
        <f t="shared" si="46"/>
        <v>671.26804533994311</v>
      </c>
      <c r="AC242" s="470">
        <f t="shared" si="46"/>
        <v>655.12739389501735</v>
      </c>
      <c r="AD242" s="470">
        <f t="shared" si="46"/>
        <v>770.15779423925676</v>
      </c>
      <c r="AE242" s="470">
        <f t="shared" si="46"/>
        <v>672.52999304249806</v>
      </c>
      <c r="AF242" s="470">
        <f t="shared" si="46"/>
        <v>724.22107271653169</v>
      </c>
      <c r="AG242" s="470">
        <f t="shared" si="46"/>
        <v>691.09431201702762</v>
      </c>
      <c r="AH242" s="470">
        <f t="shared" si="46"/>
        <v>698.69852921927759</v>
      </c>
      <c r="AI242" s="470">
        <f t="shared" si="46"/>
        <v>645.48776650538025</v>
      </c>
      <c r="AJ242" s="470">
        <f t="shared" si="46"/>
        <v>728.5358709496652</v>
      </c>
      <c r="AK242" s="470">
        <f t="shared" si="46"/>
        <v>773.16870224074626</v>
      </c>
      <c r="AL242" s="470">
        <f t="shared" si="46"/>
        <v>837.29601593158895</v>
      </c>
      <c r="AN242" s="426"/>
      <c r="AO242" s="426"/>
      <c r="AP242" s="426"/>
      <c r="AQ242" s="426"/>
      <c r="AR242" s="426"/>
      <c r="AS242" s="426"/>
      <c r="AT242" s="426"/>
      <c r="AU242" s="426"/>
      <c r="AV242" s="426"/>
      <c r="AW242" s="426"/>
      <c r="AX242" s="426"/>
      <c r="AY242" s="426"/>
    </row>
    <row r="243" spans="1:51" x14ac:dyDescent="0.25">
      <c r="A243" s="424" t="s">
        <v>148</v>
      </c>
      <c r="B243" s="425" t="s">
        <v>571</v>
      </c>
      <c r="C243" s="425" t="s">
        <v>19</v>
      </c>
      <c r="D243" s="425" t="s">
        <v>105</v>
      </c>
      <c r="E243" s="425" t="s">
        <v>304</v>
      </c>
      <c r="F243" s="168"/>
      <c r="G243" s="168"/>
      <c r="H243" s="445">
        <v>2030</v>
      </c>
      <c r="I243" s="195">
        <v>1029.3236145890269</v>
      </c>
      <c r="J243" s="471" t="s">
        <v>256</v>
      </c>
      <c r="K243" s="470">
        <f t="shared" si="44"/>
        <v>834.77010035262686</v>
      </c>
      <c r="L243" s="470">
        <f t="shared" si="44"/>
        <v>871.78325778720364</v>
      </c>
      <c r="M243" s="470">
        <f t="shared" si="44"/>
        <v>839.06317361590345</v>
      </c>
      <c r="N243" s="470">
        <f t="shared" si="44"/>
        <v>839.11882272512048</v>
      </c>
      <c r="O243" s="470">
        <f t="shared" si="44"/>
        <v>1029.7986292356052</v>
      </c>
      <c r="P243" s="470">
        <f t="shared" si="44"/>
        <v>855.29002460271306</v>
      </c>
      <c r="Q243" s="470">
        <f t="shared" si="44"/>
        <v>878.50991835899845</v>
      </c>
      <c r="R243" s="470">
        <f t="shared" si="44"/>
        <v>848.48687042764152</v>
      </c>
      <c r="S243" s="470">
        <f t="shared" si="44"/>
        <v>886.81280449679844</v>
      </c>
      <c r="T243" s="470">
        <f t="shared" si="44"/>
        <v>1034.3453741550054</v>
      </c>
      <c r="U243" s="470">
        <f t="shared" si="44"/>
        <v>874.21509685484693</v>
      </c>
      <c r="V243" s="470">
        <f t="shared" si="44"/>
        <v>888.82438763778225</v>
      </c>
      <c r="W243" s="470">
        <f t="shared" si="44"/>
        <v>881.92116178004278</v>
      </c>
      <c r="X243" s="470">
        <f t="shared" si="44"/>
        <v>1120.177933819301</v>
      </c>
      <c r="Y243" s="470">
        <f t="shared" si="44"/>
        <v>958.30489296597841</v>
      </c>
      <c r="Z243" s="470">
        <f t="shared" si="44"/>
        <v>1029.3236145890269</v>
      </c>
      <c r="AA243" s="470">
        <f t="shared" si="46"/>
        <v>1029.3236145890269</v>
      </c>
      <c r="AB243" s="470">
        <f t="shared" si="46"/>
        <v>872.57470349778066</v>
      </c>
      <c r="AC243" s="470">
        <f t="shared" si="46"/>
        <v>851.59363007027252</v>
      </c>
      <c r="AD243" s="470">
        <f t="shared" si="46"/>
        <v>1001.1205115752235</v>
      </c>
      <c r="AE243" s="470">
        <f t="shared" si="46"/>
        <v>874.21509685484693</v>
      </c>
      <c r="AF243" s="470">
        <f t="shared" si="46"/>
        <v>941.4078208839021</v>
      </c>
      <c r="AG243" s="470">
        <f t="shared" si="46"/>
        <v>898.34667177084805</v>
      </c>
      <c r="AH243" s="470">
        <f t="shared" si="46"/>
        <v>908.23131862190701</v>
      </c>
      <c r="AI243" s="470">
        <f t="shared" si="46"/>
        <v>839.06317361590345</v>
      </c>
      <c r="AJ243" s="470">
        <f t="shared" si="46"/>
        <v>947.01658449937042</v>
      </c>
      <c r="AK243" s="470">
        <f t="shared" si="46"/>
        <v>1005.0343611542368</v>
      </c>
      <c r="AL243" s="470">
        <f t="shared" si="46"/>
        <v>1088.3928229763828</v>
      </c>
      <c r="AM243" s="426"/>
      <c r="AN243" s="426"/>
      <c r="AO243" s="426"/>
      <c r="AP243" s="426"/>
      <c r="AQ243" s="426"/>
      <c r="AR243" s="426"/>
      <c r="AS243" s="426"/>
      <c r="AT243" s="426"/>
      <c r="AU243" s="426"/>
      <c r="AV243" s="426"/>
      <c r="AW243" s="426"/>
      <c r="AX243" s="426"/>
      <c r="AY243" s="426"/>
    </row>
    <row r="244" spans="1:51" x14ac:dyDescent="0.25">
      <c r="A244" s="456"/>
      <c r="B244" s="432"/>
      <c r="C244" s="432"/>
      <c r="D244" s="432"/>
      <c r="E244" s="432"/>
      <c r="F244" s="171"/>
      <c r="G244" s="171"/>
      <c r="H244" s="445">
        <v>2050</v>
      </c>
      <c r="I244" s="194">
        <v>1014.1119355556916</v>
      </c>
      <c r="J244" s="473" t="s">
        <v>256</v>
      </c>
      <c r="K244" s="470">
        <f t="shared" si="44"/>
        <v>822.43359640652898</v>
      </c>
      <c r="L244" s="470">
        <f t="shared" si="44"/>
        <v>858.89976136670316</v>
      </c>
      <c r="M244" s="470">
        <f t="shared" si="44"/>
        <v>826.66322523734345</v>
      </c>
      <c r="N244" s="470">
        <f t="shared" si="44"/>
        <v>826.71805194593162</v>
      </c>
      <c r="O244" s="470">
        <f t="shared" si="44"/>
        <v>1014.5799302813846</v>
      </c>
      <c r="P244" s="470">
        <f t="shared" si="44"/>
        <v>842.65027054454492</v>
      </c>
      <c r="Q244" s="470">
        <f t="shared" si="44"/>
        <v>865.52701316157493</v>
      </c>
      <c r="R244" s="470">
        <f t="shared" si="44"/>
        <v>835.94765559373559</v>
      </c>
      <c r="S244" s="470">
        <f t="shared" si="44"/>
        <v>873.70719654856998</v>
      </c>
      <c r="T244" s="470">
        <f t="shared" si="44"/>
        <v>1019.0594819261138</v>
      </c>
      <c r="U244" s="470">
        <f t="shared" si="44"/>
        <v>861.29566192595769</v>
      </c>
      <c r="V244" s="470">
        <f t="shared" si="44"/>
        <v>875.68905185988399</v>
      </c>
      <c r="W244" s="470">
        <f t="shared" si="44"/>
        <v>868.88784411826884</v>
      </c>
      <c r="X244" s="470">
        <f t="shared" si="44"/>
        <v>1103.623580117538</v>
      </c>
      <c r="Y244" s="470">
        <f t="shared" si="44"/>
        <v>944.14275169061921</v>
      </c>
      <c r="Z244" s="470">
        <f t="shared" ref="Z244" si="48">$I244*Z$245</f>
        <v>1014.1119355556916</v>
      </c>
      <c r="AA244" s="470">
        <f t="shared" si="46"/>
        <v>1014.1119355556916</v>
      </c>
      <c r="AB244" s="470">
        <f t="shared" si="46"/>
        <v>859.67951083525202</v>
      </c>
      <c r="AC244" s="470">
        <f t="shared" si="46"/>
        <v>839.00850253228839</v>
      </c>
      <c r="AD244" s="470">
        <f t="shared" si="46"/>
        <v>986.32562716770803</v>
      </c>
      <c r="AE244" s="470">
        <f t="shared" si="46"/>
        <v>861.29566192595769</v>
      </c>
      <c r="AF244" s="470">
        <f t="shared" si="46"/>
        <v>927.49539003340124</v>
      </c>
      <c r="AG244" s="470">
        <f t="shared" si="46"/>
        <v>885.07061258211638</v>
      </c>
      <c r="AH244" s="470">
        <f t="shared" si="46"/>
        <v>894.80918090828288</v>
      </c>
      <c r="AI244" s="470">
        <f t="shared" si="46"/>
        <v>826.66322523734345</v>
      </c>
      <c r="AJ244" s="470">
        <f t="shared" si="46"/>
        <v>933.02126551662127</v>
      </c>
      <c r="AK244" s="470">
        <f t="shared" si="46"/>
        <v>990.1816366051595</v>
      </c>
      <c r="AL244" s="470">
        <f t="shared" si="46"/>
        <v>1072.3081999767319</v>
      </c>
      <c r="AM244" s="426"/>
      <c r="AN244" s="426"/>
      <c r="AO244" s="426"/>
      <c r="AP244" s="426"/>
      <c r="AQ244" s="426"/>
      <c r="AR244" s="426"/>
      <c r="AS244" s="426"/>
      <c r="AT244" s="426"/>
      <c r="AU244" s="426"/>
      <c r="AV244" s="426"/>
      <c r="AW244" s="426"/>
      <c r="AX244" s="426"/>
      <c r="AY244" s="426"/>
    </row>
    <row r="245" spans="1:51" ht="18.75" x14ac:dyDescent="0.25">
      <c r="A245" s="172"/>
      <c r="B245" s="172"/>
      <c r="C245" s="170" t="s">
        <v>301</v>
      </c>
      <c r="D245" s="173"/>
      <c r="E245" s="174"/>
      <c r="F245" s="481"/>
      <c r="G245" s="481"/>
      <c r="H245" s="481"/>
      <c r="I245" s="481"/>
      <c r="J245" s="481"/>
      <c r="K245" s="482">
        <v>0.81098897229315148</v>
      </c>
      <c r="L245" s="482">
        <v>0.84694769014434435</v>
      </c>
      <c r="M245" s="482">
        <v>0.81515974346990205</v>
      </c>
      <c r="N245" s="482">
        <v>0.8152138072341335</v>
      </c>
      <c r="O245" s="482">
        <v>1.0004614823169757</v>
      </c>
      <c r="P245" s="482">
        <v>0.83092432008780892</v>
      </c>
      <c r="Q245" s="482">
        <v>0.85348272001877357</v>
      </c>
      <c r="R245" s="482">
        <v>0.82431497577796542</v>
      </c>
      <c r="S245" s="482">
        <v>0.86154907157247329</v>
      </c>
      <c r="T245" s="482">
        <v>1.0048786984917115</v>
      </c>
      <c r="U245" s="482">
        <v>0.84931025040544772</v>
      </c>
      <c r="V245" s="482">
        <v>0.86350334825715513</v>
      </c>
      <c r="W245" s="482">
        <v>0.85679678313040863</v>
      </c>
      <c r="X245" s="482">
        <v>1.0882660398950907</v>
      </c>
      <c r="Y245" s="482">
        <v>0.93100447651596552</v>
      </c>
      <c r="Z245" s="482">
        <v>1</v>
      </c>
      <c r="AA245" s="482">
        <v>1</v>
      </c>
      <c r="AB245" s="482">
        <v>0.84771658896232494</v>
      </c>
      <c r="AC245" s="482">
        <v>0.82733322931708342</v>
      </c>
      <c r="AD245" s="482">
        <v>0.97260035365547903</v>
      </c>
      <c r="AE245" s="482">
        <v>0.84931025040544772</v>
      </c>
      <c r="AF245" s="482">
        <v>0.91458877221987522</v>
      </c>
      <c r="AG245" s="482">
        <v>0.87275435930761835</v>
      </c>
      <c r="AH245" s="482">
        <v>0.88235741000125811</v>
      </c>
      <c r="AI245" s="482">
        <v>0.81515974346990205</v>
      </c>
      <c r="AJ245" s="482">
        <v>0.9200377520508759</v>
      </c>
      <c r="AK245" s="482">
        <v>0.97640270456197786</v>
      </c>
      <c r="AL245" s="482">
        <v>1.0573864308077108</v>
      </c>
      <c r="AM245" s="426"/>
      <c r="AN245" s="426"/>
      <c r="AO245" s="426"/>
      <c r="AP245" s="426"/>
      <c r="AQ245" s="426"/>
      <c r="AR245" s="426"/>
      <c r="AS245" s="426"/>
      <c r="AT245" s="426"/>
      <c r="AU245" s="426"/>
      <c r="AV245" s="426"/>
      <c r="AW245" s="426"/>
      <c r="AX245" s="426"/>
      <c r="AY245" s="426"/>
    </row>
    <row r="246" spans="1:51" x14ac:dyDescent="0.25">
      <c r="B246" s="425"/>
      <c r="AM246" s="426"/>
      <c r="AN246" s="426"/>
      <c r="AO246" s="426"/>
      <c r="AP246" s="426"/>
      <c r="AQ246" s="426"/>
      <c r="AR246" s="426"/>
      <c r="AS246" s="426"/>
      <c r="AT246" s="426"/>
      <c r="AU246" s="426"/>
      <c r="AV246" s="426"/>
      <c r="AW246" s="426"/>
      <c r="AX246" s="426"/>
      <c r="AY246" s="426"/>
    </row>
    <row r="247" spans="1:51" x14ac:dyDescent="0.25">
      <c r="AM247" s="426"/>
      <c r="AN247" s="426"/>
      <c r="AO247" s="426"/>
      <c r="AP247" s="426"/>
      <c r="AQ247" s="426"/>
      <c r="AR247" s="426"/>
      <c r="AS247" s="426"/>
      <c r="AT247" s="426"/>
      <c r="AU247" s="426"/>
      <c r="AV247" s="426"/>
      <c r="AW247" s="426"/>
      <c r="AX247" s="426"/>
      <c r="AY247" s="426"/>
    </row>
    <row r="248" spans="1:51" x14ac:dyDescent="0.25">
      <c r="K248" s="483"/>
      <c r="L248" s="483"/>
      <c r="M248" s="483"/>
      <c r="N248" s="483"/>
      <c r="O248" s="483"/>
      <c r="P248" s="483"/>
      <c r="Q248" s="483"/>
      <c r="R248" s="483"/>
      <c r="S248" s="483"/>
      <c r="T248" s="483"/>
      <c r="U248" s="483"/>
      <c r="V248" s="483"/>
      <c r="W248" s="483"/>
      <c r="X248" s="483"/>
      <c r="Y248" s="483"/>
      <c r="Z248" s="483"/>
      <c r="AA248" s="483"/>
      <c r="AB248" s="483"/>
      <c r="AC248" s="483"/>
      <c r="AD248" s="483"/>
      <c r="AE248" s="483"/>
      <c r="AF248" s="483"/>
      <c r="AG248" s="483"/>
      <c r="AH248" s="483"/>
      <c r="AI248" s="483"/>
      <c r="AJ248" s="483"/>
      <c r="AK248" s="483"/>
      <c r="AL248" s="483"/>
      <c r="AN248" s="426"/>
      <c r="AO248" s="426"/>
      <c r="AP248" s="426"/>
      <c r="AQ248" s="426"/>
      <c r="AR248" s="426"/>
      <c r="AS248" s="426"/>
      <c r="AT248" s="426"/>
      <c r="AU248" s="426"/>
      <c r="AV248" s="426"/>
      <c r="AW248" s="426"/>
      <c r="AX248" s="426"/>
      <c r="AY248" s="426"/>
    </row>
    <row r="249" spans="1:51" x14ac:dyDescent="0.25">
      <c r="AN249" s="426"/>
      <c r="AO249" s="426"/>
      <c r="AP249" s="426"/>
      <c r="AQ249" s="426"/>
      <c r="AR249" s="426"/>
      <c r="AS249" s="426"/>
      <c r="AT249" s="426"/>
      <c r="AU249" s="426"/>
      <c r="AV249" s="426"/>
      <c r="AW249" s="426"/>
      <c r="AX249" s="426"/>
      <c r="AY249" s="426"/>
    </row>
    <row r="250" spans="1:51" x14ac:dyDescent="0.25">
      <c r="AN250" s="426"/>
      <c r="AO250" s="426"/>
      <c r="AP250" s="426"/>
      <c r="AQ250" s="426"/>
      <c r="AR250" s="426"/>
      <c r="AS250" s="426"/>
      <c r="AT250" s="426"/>
      <c r="AU250" s="426"/>
      <c r="AV250" s="426"/>
      <c r="AW250" s="426"/>
      <c r="AX250" s="426"/>
      <c r="AY250" s="426"/>
    </row>
    <row r="251" spans="1:51" x14ac:dyDescent="0.25">
      <c r="AM251" s="426"/>
      <c r="AN251" s="426"/>
      <c r="AO251" s="426"/>
      <c r="AP251" s="426"/>
      <c r="AQ251" s="426"/>
      <c r="AR251" s="426"/>
      <c r="AS251" s="426"/>
      <c r="AT251" s="426"/>
      <c r="AU251" s="426"/>
      <c r="AV251" s="426"/>
      <c r="AW251" s="426"/>
      <c r="AX251" s="426"/>
      <c r="AY251" s="426"/>
    </row>
    <row r="252" spans="1:51" x14ac:dyDescent="0.25">
      <c r="AM252" s="426"/>
      <c r="AN252" s="426"/>
      <c r="AO252" s="426"/>
      <c r="AP252" s="426"/>
      <c r="AQ252" s="426"/>
      <c r="AR252" s="426"/>
      <c r="AS252" s="426"/>
      <c r="AT252" s="426"/>
      <c r="AU252" s="426"/>
      <c r="AV252" s="426"/>
      <c r="AW252" s="426"/>
      <c r="AX252" s="426"/>
      <c r="AY252" s="426"/>
    </row>
    <row r="253" spans="1:51" x14ac:dyDescent="0.25">
      <c r="AM253" s="426"/>
      <c r="AN253" s="426"/>
      <c r="AO253" s="426"/>
      <c r="AP253" s="426"/>
      <c r="AQ253" s="426"/>
      <c r="AR253" s="426"/>
      <c r="AS253" s="426"/>
      <c r="AT253" s="426"/>
      <c r="AU253" s="426"/>
      <c r="AV253" s="426"/>
      <c r="AW253" s="426"/>
      <c r="AX253" s="426"/>
      <c r="AY253" s="426"/>
    </row>
    <row r="254" spans="1:51" x14ac:dyDescent="0.25">
      <c r="AM254" s="426"/>
      <c r="AN254" s="426"/>
      <c r="AO254" s="426"/>
      <c r="AP254" s="426"/>
      <c r="AQ254" s="426"/>
      <c r="AR254" s="426"/>
      <c r="AS254" s="426"/>
      <c r="AT254" s="426"/>
      <c r="AU254" s="426"/>
      <c r="AV254" s="426"/>
      <c r="AW254" s="426"/>
      <c r="AX254" s="426"/>
      <c r="AY254" s="426"/>
    </row>
    <row r="255" spans="1:51" x14ac:dyDescent="0.25">
      <c r="AM255" s="426"/>
      <c r="AN255" s="426"/>
      <c r="AO255" s="426"/>
      <c r="AP255" s="426"/>
      <c r="AQ255" s="426"/>
      <c r="AR255" s="426"/>
      <c r="AS255" s="426"/>
      <c r="AT255" s="426"/>
      <c r="AU255" s="426"/>
      <c r="AV255" s="426"/>
      <c r="AW255" s="426"/>
      <c r="AX255" s="426"/>
      <c r="AY255" s="426"/>
    </row>
    <row r="256" spans="1:51" x14ac:dyDescent="0.25">
      <c r="AM256" s="426"/>
      <c r="AN256" s="426"/>
      <c r="AO256" s="426"/>
      <c r="AP256" s="426"/>
      <c r="AQ256" s="426"/>
      <c r="AR256" s="426"/>
      <c r="AS256" s="426"/>
      <c r="AT256" s="426"/>
      <c r="AU256" s="426"/>
      <c r="AV256" s="426"/>
      <c r="AW256" s="426"/>
      <c r="AX256" s="426"/>
      <c r="AY256" s="426"/>
    </row>
    <row r="257" spans="1:51" x14ac:dyDescent="0.25">
      <c r="AM257" s="426"/>
      <c r="AN257" s="426"/>
      <c r="AO257" s="426"/>
      <c r="AP257" s="426"/>
      <c r="AQ257" s="426"/>
      <c r="AR257" s="426"/>
      <c r="AS257" s="426"/>
      <c r="AT257" s="426"/>
      <c r="AU257" s="426"/>
      <c r="AV257" s="426"/>
      <c r="AW257" s="426"/>
      <c r="AX257" s="426"/>
      <c r="AY257" s="426"/>
    </row>
    <row r="258" spans="1:51" ht="15.75" x14ac:dyDescent="0.25">
      <c r="A258"/>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s="426"/>
      <c r="AO258" s="426"/>
      <c r="AP258" s="426"/>
      <c r="AQ258" s="426"/>
      <c r="AR258" s="426"/>
      <c r="AS258" s="426"/>
      <c r="AT258" s="426"/>
      <c r="AU258" s="426"/>
      <c r="AV258" s="426"/>
      <c r="AW258" s="426"/>
      <c r="AX258" s="426"/>
      <c r="AY258" s="426"/>
    </row>
    <row r="259" spans="1:51" ht="15.75" x14ac:dyDescent="0.25">
      <c r="A259"/>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s="426"/>
      <c r="AO259" s="426"/>
      <c r="AP259" s="426"/>
      <c r="AQ259" s="426"/>
      <c r="AR259" s="426"/>
      <c r="AS259" s="426"/>
      <c r="AT259" s="426"/>
      <c r="AU259" s="426"/>
      <c r="AV259" s="426"/>
      <c r="AW259" s="426"/>
      <c r="AX259" s="426"/>
      <c r="AY259" s="426"/>
    </row>
    <row r="260" spans="1:51" ht="15.75" x14ac:dyDescent="0.25">
      <c r="A260"/>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s="426"/>
      <c r="AO260" s="426"/>
      <c r="AP260" s="426"/>
      <c r="AQ260" s="426"/>
      <c r="AR260" s="426"/>
      <c r="AS260" s="426"/>
      <c r="AT260" s="426"/>
      <c r="AU260" s="426"/>
      <c r="AV260" s="426"/>
      <c r="AW260" s="426"/>
      <c r="AX260" s="426"/>
      <c r="AY260" s="426"/>
    </row>
    <row r="261" spans="1:51" ht="15.75" x14ac:dyDescent="0.25">
      <c r="A261"/>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s="426"/>
      <c r="AO261" s="426"/>
      <c r="AP261" s="426"/>
      <c r="AQ261" s="426"/>
      <c r="AR261" s="426"/>
      <c r="AS261" s="426"/>
      <c r="AT261" s="426"/>
      <c r="AU261" s="426"/>
      <c r="AV261" s="426"/>
      <c r="AW261" s="426"/>
      <c r="AX261" s="426"/>
      <c r="AY261" s="426"/>
    </row>
    <row r="262" spans="1:51" ht="15.75" x14ac:dyDescent="0.25">
      <c r="A262"/>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s="426"/>
      <c r="AS262" s="426"/>
      <c r="AT262" s="426"/>
      <c r="AU262" s="426"/>
      <c r="AV262" s="426"/>
      <c r="AW262" s="426"/>
      <c r="AX262" s="426"/>
      <c r="AY262" s="426"/>
    </row>
    <row r="263" spans="1:51" ht="15.75" x14ac:dyDescent="0.25">
      <c r="A263"/>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s="426"/>
      <c r="AS263" s="426"/>
      <c r="AT263" s="426"/>
      <c r="AU263" s="426"/>
      <c r="AV263" s="426"/>
      <c r="AW263" s="426"/>
      <c r="AX263" s="426"/>
      <c r="AY263" s="426"/>
    </row>
    <row r="264" spans="1:51" ht="15.75" x14ac:dyDescent="0.25">
      <c r="A264"/>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s="426"/>
      <c r="AS264" s="426"/>
      <c r="AT264" s="426"/>
      <c r="AU264" s="426"/>
      <c r="AV264" s="426"/>
      <c r="AW264" s="426"/>
      <c r="AX264" s="426"/>
      <c r="AY264" s="426"/>
    </row>
    <row r="265" spans="1:51" ht="15.75" x14ac:dyDescent="0.25">
      <c r="A265"/>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s="426"/>
      <c r="AS265" s="426"/>
      <c r="AT265" s="426"/>
      <c r="AU265" s="426"/>
      <c r="AV265" s="426"/>
      <c r="AW265" s="426"/>
      <c r="AX265" s="426"/>
      <c r="AY265" s="426"/>
    </row>
    <row r="266" spans="1:51" ht="15.75" x14ac:dyDescent="0.25">
      <c r="A266"/>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s="426"/>
      <c r="AS266" s="426"/>
      <c r="AT266" s="426"/>
      <c r="AU266" s="426"/>
      <c r="AV266" s="426"/>
      <c r="AW266" s="426"/>
      <c r="AX266" s="426"/>
      <c r="AY266" s="426"/>
    </row>
    <row r="267" spans="1:51" ht="15.75" x14ac:dyDescent="0.25">
      <c r="A267"/>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s="426"/>
      <c r="AS267" s="426"/>
      <c r="AT267" s="426"/>
      <c r="AU267" s="426"/>
      <c r="AV267" s="426"/>
      <c r="AW267" s="426"/>
      <c r="AX267" s="426"/>
      <c r="AY267" s="426"/>
    </row>
    <row r="268" spans="1:51" ht="15.75" x14ac:dyDescent="0.25">
      <c r="A268"/>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s="426"/>
      <c r="AS268" s="426"/>
      <c r="AT268" s="426"/>
      <c r="AU268" s="426"/>
      <c r="AV268" s="426"/>
      <c r="AW268" s="426"/>
      <c r="AX268" s="426"/>
      <c r="AY268" s="426"/>
    </row>
    <row r="269" spans="1:51" ht="15.75" x14ac:dyDescent="0.25">
      <c r="A269"/>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s="426"/>
      <c r="AS269" s="426"/>
      <c r="AT269" s="426"/>
      <c r="AU269" s="426"/>
      <c r="AV269" s="426"/>
      <c r="AW269" s="426"/>
      <c r="AX269" s="426"/>
      <c r="AY269" s="426"/>
    </row>
    <row r="270" spans="1:51" ht="15.75" x14ac:dyDescent="0.25">
      <c r="A270"/>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s="426"/>
      <c r="AS270" s="426"/>
      <c r="AT270" s="426"/>
      <c r="AU270" s="426"/>
      <c r="AV270" s="426"/>
      <c r="AW270" s="426"/>
      <c r="AX270" s="426"/>
      <c r="AY270" s="426"/>
    </row>
    <row r="271" spans="1:51" ht="15.75" x14ac:dyDescent="0.25">
      <c r="A271"/>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s="426"/>
      <c r="AS271" s="426"/>
      <c r="AT271" s="426"/>
      <c r="AU271" s="426"/>
      <c r="AV271" s="426"/>
      <c r="AW271" s="426"/>
      <c r="AX271" s="426"/>
      <c r="AY271" s="426"/>
    </row>
    <row r="272" spans="1:51" ht="15.75" x14ac:dyDescent="0.25">
      <c r="A272"/>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s="426"/>
      <c r="AS272" s="426"/>
      <c r="AT272" s="426"/>
      <c r="AU272" s="426"/>
      <c r="AV272" s="426"/>
      <c r="AW272" s="426"/>
      <c r="AX272" s="426"/>
      <c r="AY272" s="426"/>
    </row>
    <row r="273" spans="1:51" ht="15.75" x14ac:dyDescent="0.25">
      <c r="A273"/>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s="426"/>
      <c r="AS273" s="426"/>
      <c r="AT273" s="426"/>
      <c r="AU273" s="426"/>
      <c r="AV273" s="426"/>
      <c r="AW273" s="426"/>
      <c r="AX273" s="426"/>
      <c r="AY273" s="426"/>
    </row>
    <row r="274" spans="1:51" ht="15.75" x14ac:dyDescent="0.25">
      <c r="A274"/>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s="426"/>
      <c r="AS274" s="426"/>
      <c r="AT274" s="426"/>
      <c r="AU274" s="426"/>
      <c r="AV274" s="426"/>
      <c r="AW274" s="426"/>
      <c r="AX274" s="426"/>
      <c r="AY274" s="426"/>
    </row>
    <row r="275" spans="1:51" ht="15.75" x14ac:dyDescent="0.25">
      <c r="A275"/>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s="426"/>
      <c r="AS275" s="426"/>
      <c r="AT275" s="426"/>
      <c r="AU275" s="426"/>
      <c r="AV275" s="426"/>
      <c r="AW275" s="426"/>
      <c r="AX275" s="426"/>
      <c r="AY275" s="426"/>
    </row>
    <row r="276" spans="1:51" ht="15.75" x14ac:dyDescent="0.25">
      <c r="A276"/>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s="426"/>
      <c r="AS276" s="426"/>
      <c r="AT276" s="426"/>
      <c r="AU276" s="426"/>
      <c r="AV276" s="426"/>
      <c r="AW276" s="426"/>
      <c r="AX276" s="426"/>
      <c r="AY276" s="426"/>
    </row>
    <row r="277" spans="1:51" ht="15.75" x14ac:dyDescent="0.25">
      <c r="A277"/>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s="426"/>
      <c r="AS277" s="426"/>
      <c r="AT277" s="426"/>
      <c r="AU277" s="426"/>
      <c r="AV277" s="426"/>
      <c r="AW277" s="426"/>
      <c r="AX277" s="426"/>
      <c r="AY277" s="426"/>
    </row>
    <row r="278" spans="1:51" ht="15.75" x14ac:dyDescent="0.25">
      <c r="A278"/>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s="426"/>
      <c r="AS278" s="426"/>
      <c r="AT278" s="426"/>
      <c r="AU278" s="426"/>
      <c r="AV278" s="426"/>
      <c r="AW278" s="426"/>
      <c r="AX278" s="426"/>
      <c r="AY278" s="426"/>
    </row>
    <row r="279" spans="1:51" ht="15.75" x14ac:dyDescent="0.25">
      <c r="A279"/>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s="426"/>
      <c r="AS279" s="426"/>
      <c r="AT279" s="426"/>
      <c r="AU279" s="426"/>
      <c r="AV279" s="426"/>
      <c r="AW279" s="426"/>
      <c r="AX279" s="426"/>
      <c r="AY279" s="426"/>
    </row>
    <row r="280" spans="1:51" ht="15.75" x14ac:dyDescent="0.25">
      <c r="A280"/>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s="426"/>
      <c r="AS280" s="426"/>
      <c r="AT280" s="426"/>
      <c r="AU280" s="426"/>
      <c r="AV280" s="426"/>
      <c r="AW280" s="426"/>
      <c r="AX280" s="426"/>
      <c r="AY280" s="426"/>
    </row>
    <row r="281" spans="1:51" ht="15.75" x14ac:dyDescent="0.25">
      <c r="A281"/>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s="426"/>
      <c r="AS281" s="426"/>
      <c r="AT281" s="426"/>
      <c r="AU281" s="426"/>
      <c r="AV281" s="426"/>
      <c r="AW281" s="426"/>
      <c r="AX281" s="426"/>
      <c r="AY281" s="426"/>
    </row>
    <row r="282" spans="1:51" ht="15.75" x14ac:dyDescent="0.25">
      <c r="A282"/>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s="426"/>
      <c r="AS282" s="426"/>
      <c r="AT282" s="426"/>
      <c r="AU282" s="426"/>
      <c r="AV282" s="426"/>
      <c r="AW282" s="426"/>
      <c r="AX282" s="426"/>
      <c r="AY282" s="426"/>
    </row>
    <row r="283" spans="1:51" ht="15.75" x14ac:dyDescent="0.25">
      <c r="A283"/>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s="426"/>
      <c r="AS283" s="426"/>
      <c r="AT283" s="426"/>
      <c r="AU283" s="426"/>
      <c r="AV283" s="426"/>
      <c r="AW283" s="426"/>
      <c r="AX283" s="426"/>
      <c r="AY283" s="426"/>
    </row>
    <row r="284" spans="1:51" ht="15.75" x14ac:dyDescent="0.25">
      <c r="A284"/>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s="426"/>
      <c r="AS284" s="426"/>
      <c r="AT284" s="426"/>
      <c r="AU284" s="426"/>
      <c r="AV284" s="426"/>
      <c r="AW284" s="426"/>
      <c r="AX284" s="426"/>
      <c r="AY284" s="426"/>
    </row>
    <row r="285" spans="1:51" ht="15.75" x14ac:dyDescent="0.25">
      <c r="A285"/>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s="426"/>
      <c r="AS285" s="426"/>
      <c r="AT285" s="426"/>
      <c r="AU285" s="426"/>
      <c r="AV285" s="426"/>
      <c r="AW285" s="426"/>
      <c r="AX285" s="426"/>
      <c r="AY285" s="426"/>
    </row>
    <row r="286" spans="1:51" ht="15.75" x14ac:dyDescent="0.25">
      <c r="A286"/>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s="426"/>
      <c r="AS286" s="426"/>
      <c r="AT286" s="426"/>
      <c r="AU286" s="426"/>
      <c r="AV286" s="426"/>
      <c r="AW286" s="426"/>
      <c r="AX286" s="426"/>
      <c r="AY286" s="426"/>
    </row>
    <row r="287" spans="1:51" ht="15.75" x14ac:dyDescent="0.25">
      <c r="A287"/>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s="426"/>
      <c r="AS287" s="426"/>
      <c r="AT287" s="426"/>
      <c r="AU287" s="426"/>
      <c r="AV287" s="426"/>
      <c r="AW287" s="426"/>
      <c r="AX287" s="426"/>
      <c r="AY287" s="426"/>
    </row>
    <row r="288" spans="1:51" ht="15.75" x14ac:dyDescent="0.25">
      <c r="A288"/>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s="426"/>
      <c r="AS288" s="426"/>
      <c r="AT288" s="426"/>
      <c r="AU288" s="426"/>
      <c r="AV288" s="426"/>
      <c r="AW288" s="426"/>
      <c r="AX288" s="426"/>
      <c r="AY288" s="426"/>
    </row>
    <row r="289" spans="1:51" ht="15.75" x14ac:dyDescent="0.25">
      <c r="A289"/>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s="426"/>
      <c r="AS289" s="426"/>
      <c r="AT289" s="426"/>
      <c r="AU289" s="426"/>
      <c r="AV289" s="426"/>
      <c r="AW289" s="426"/>
      <c r="AX289" s="426"/>
      <c r="AY289" s="426"/>
    </row>
    <row r="290" spans="1:51" ht="15.75" x14ac:dyDescent="0.25">
      <c r="A290"/>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s="426"/>
      <c r="AS290" s="426"/>
      <c r="AT290" s="426"/>
      <c r="AU290" s="426"/>
      <c r="AV290" s="426"/>
      <c r="AW290" s="426"/>
      <c r="AX290" s="426"/>
      <c r="AY290" s="426"/>
    </row>
    <row r="291" spans="1:51" ht="15.75" x14ac:dyDescent="0.25">
      <c r="A291"/>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s="426"/>
      <c r="AS291" s="426"/>
      <c r="AT291" s="426"/>
      <c r="AU291" s="426"/>
      <c r="AV291" s="426"/>
      <c r="AW291" s="426"/>
      <c r="AX291" s="426"/>
      <c r="AY291" s="426"/>
    </row>
    <row r="292" spans="1:51" ht="15.75" x14ac:dyDescent="0.25">
      <c r="A292"/>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s="426"/>
      <c r="AS292" s="426"/>
      <c r="AT292" s="426"/>
      <c r="AU292" s="426"/>
      <c r="AV292" s="426"/>
      <c r="AW292" s="426"/>
      <c r="AX292" s="426"/>
      <c r="AY292" s="426"/>
    </row>
    <row r="293" spans="1:51" ht="15.75" x14ac:dyDescent="0.25">
      <c r="A293"/>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s="426"/>
      <c r="AS293" s="426"/>
      <c r="AT293" s="426"/>
      <c r="AU293" s="426"/>
      <c r="AV293" s="426"/>
      <c r="AW293" s="426"/>
      <c r="AX293" s="426"/>
      <c r="AY293" s="426"/>
    </row>
    <row r="294" spans="1:51" ht="15.75" x14ac:dyDescent="0.25">
      <c r="A294"/>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s="426"/>
      <c r="AS294" s="426"/>
      <c r="AT294" s="426"/>
      <c r="AU294" s="426"/>
      <c r="AV294" s="426"/>
      <c r="AW294" s="426"/>
      <c r="AX294" s="426"/>
      <c r="AY294" s="426"/>
    </row>
    <row r="295" spans="1:51" ht="15.75" x14ac:dyDescent="0.25">
      <c r="A29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s="426"/>
      <c r="AS295" s="426"/>
      <c r="AT295" s="426"/>
      <c r="AU295" s="426"/>
      <c r="AV295" s="426"/>
      <c r="AW295" s="426"/>
      <c r="AX295" s="426"/>
      <c r="AY295" s="426"/>
    </row>
    <row r="296" spans="1:51" ht="15.75" x14ac:dyDescent="0.25">
      <c r="A296"/>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s="426"/>
      <c r="AS296" s="426"/>
      <c r="AT296" s="426"/>
      <c r="AU296" s="426"/>
      <c r="AV296" s="426"/>
      <c r="AW296" s="426"/>
      <c r="AX296" s="426"/>
      <c r="AY296" s="426"/>
    </row>
    <row r="297" spans="1:51" ht="15.75" x14ac:dyDescent="0.25">
      <c r="A297"/>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s="426"/>
      <c r="AS297" s="426"/>
      <c r="AT297" s="426"/>
      <c r="AU297" s="426"/>
      <c r="AV297" s="426"/>
      <c r="AW297" s="426"/>
      <c r="AX297" s="426"/>
      <c r="AY297" s="426"/>
    </row>
    <row r="298" spans="1:51" ht="15.75" x14ac:dyDescent="0.25">
      <c r="A298"/>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s="426"/>
      <c r="AS298" s="426"/>
      <c r="AT298" s="426"/>
      <c r="AU298" s="426"/>
      <c r="AV298" s="426"/>
      <c r="AW298" s="426"/>
      <c r="AX298" s="426"/>
      <c r="AY298" s="426"/>
    </row>
    <row r="299" spans="1:51" ht="15.75" x14ac:dyDescent="0.25">
      <c r="A299"/>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s="426"/>
      <c r="AS299" s="426"/>
      <c r="AT299" s="426"/>
      <c r="AU299" s="426"/>
      <c r="AV299" s="426"/>
      <c r="AW299" s="426"/>
      <c r="AX299" s="426"/>
      <c r="AY299" s="426"/>
    </row>
    <row r="300" spans="1:51" ht="15.75" x14ac:dyDescent="0.25">
      <c r="A300"/>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s="426"/>
      <c r="AS300" s="426"/>
      <c r="AT300" s="426"/>
      <c r="AU300" s="426"/>
      <c r="AV300" s="426"/>
      <c r="AW300" s="426"/>
      <c r="AX300" s="426"/>
      <c r="AY300" s="426"/>
    </row>
    <row r="301" spans="1:51" ht="15.75" x14ac:dyDescent="0.25">
      <c r="A301"/>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s="426"/>
      <c r="AS301" s="426"/>
      <c r="AT301" s="426"/>
      <c r="AU301" s="426"/>
      <c r="AV301" s="426"/>
      <c r="AW301" s="426"/>
      <c r="AX301" s="426"/>
      <c r="AY301" s="426"/>
    </row>
    <row r="302" spans="1:51" ht="15.75" x14ac:dyDescent="0.25">
      <c r="A302"/>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s="426"/>
      <c r="AS302" s="426"/>
      <c r="AT302" s="426"/>
      <c r="AU302" s="426"/>
      <c r="AV302" s="426"/>
      <c r="AW302" s="426"/>
      <c r="AX302" s="426"/>
      <c r="AY302" s="426"/>
    </row>
    <row r="303" spans="1:51" ht="15.75" x14ac:dyDescent="0.25">
      <c r="A303"/>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s="426"/>
      <c r="AS303" s="426"/>
      <c r="AT303" s="426"/>
      <c r="AU303" s="426"/>
      <c r="AV303" s="426"/>
      <c r="AW303" s="426"/>
      <c r="AX303" s="426"/>
      <c r="AY303" s="426"/>
    </row>
    <row r="304" spans="1:51" ht="15.75" x14ac:dyDescent="0.25">
      <c r="A304"/>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s="426"/>
      <c r="AS304" s="426"/>
      <c r="AT304" s="426"/>
      <c r="AU304" s="426"/>
      <c r="AV304" s="426"/>
      <c r="AW304" s="426"/>
      <c r="AX304" s="426"/>
      <c r="AY304" s="426"/>
    </row>
    <row r="305" spans="1:51" ht="15.75" x14ac:dyDescent="0.25">
      <c r="A305"/>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s="426"/>
      <c r="AS305" s="426"/>
      <c r="AT305" s="426"/>
      <c r="AU305" s="426"/>
      <c r="AV305" s="426"/>
      <c r="AW305" s="426"/>
      <c r="AX305" s="426"/>
      <c r="AY305" s="426"/>
    </row>
    <row r="306" spans="1:51" ht="15.75" x14ac:dyDescent="0.25">
      <c r="A306"/>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s="426"/>
      <c r="AS306" s="426"/>
      <c r="AT306" s="426"/>
      <c r="AU306" s="426"/>
      <c r="AV306" s="426"/>
      <c r="AW306" s="426"/>
      <c r="AX306" s="426"/>
      <c r="AY306" s="426"/>
    </row>
    <row r="307" spans="1:51" ht="15.75" x14ac:dyDescent="0.25">
      <c r="A307"/>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s="426"/>
      <c r="AS307" s="426"/>
      <c r="AT307" s="426"/>
      <c r="AU307" s="426"/>
      <c r="AV307" s="426"/>
      <c r="AW307" s="426"/>
      <c r="AX307" s="426"/>
      <c r="AY307" s="426"/>
    </row>
    <row r="308" spans="1:51" ht="15.75" x14ac:dyDescent="0.25">
      <c r="A308"/>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s="426"/>
      <c r="AS308" s="426"/>
      <c r="AT308" s="426"/>
      <c r="AU308" s="426"/>
      <c r="AV308" s="426"/>
      <c r="AW308" s="426"/>
      <c r="AX308" s="426"/>
      <c r="AY308" s="426"/>
    </row>
    <row r="309" spans="1:51" ht="15.75" x14ac:dyDescent="0.25">
      <c r="A309"/>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s="426"/>
      <c r="AS309" s="426"/>
      <c r="AT309" s="426"/>
      <c r="AU309" s="426"/>
      <c r="AV309" s="426"/>
      <c r="AW309" s="426"/>
      <c r="AX309" s="426"/>
      <c r="AY309" s="426"/>
    </row>
    <row r="310" spans="1:51" ht="15.75" x14ac:dyDescent="0.25">
      <c r="A310"/>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s="426"/>
      <c r="AS310" s="426"/>
      <c r="AT310" s="426"/>
      <c r="AU310" s="426"/>
      <c r="AV310" s="426"/>
      <c r="AW310" s="426"/>
      <c r="AX310" s="426"/>
      <c r="AY310" s="426"/>
    </row>
    <row r="311" spans="1:51" ht="15.75" x14ac:dyDescent="0.25">
      <c r="A311"/>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s="426"/>
      <c r="AS311" s="426"/>
      <c r="AT311" s="426"/>
      <c r="AU311" s="426"/>
      <c r="AV311" s="426"/>
      <c r="AW311" s="426"/>
      <c r="AX311" s="426"/>
      <c r="AY311" s="426"/>
    </row>
    <row r="312" spans="1:51" ht="15.75" x14ac:dyDescent="0.25">
      <c r="A312"/>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s="426"/>
      <c r="AS312" s="426"/>
      <c r="AT312" s="426"/>
      <c r="AU312" s="426"/>
      <c r="AV312" s="426"/>
      <c r="AW312" s="426"/>
      <c r="AX312" s="426"/>
      <c r="AY312" s="426"/>
    </row>
    <row r="313" spans="1:51" ht="15.75" x14ac:dyDescent="0.25">
      <c r="A313"/>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s="426"/>
      <c r="AS313" s="426"/>
      <c r="AT313" s="426"/>
      <c r="AU313" s="426"/>
      <c r="AV313" s="426"/>
      <c r="AW313" s="426"/>
      <c r="AX313" s="426"/>
      <c r="AY313" s="426"/>
    </row>
    <row r="314" spans="1:51" ht="15.75" x14ac:dyDescent="0.25">
      <c r="A314"/>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s="426"/>
      <c r="AS314" s="426"/>
      <c r="AT314" s="426"/>
      <c r="AU314" s="426"/>
      <c r="AV314" s="426"/>
      <c r="AW314" s="426"/>
      <c r="AX314" s="426"/>
      <c r="AY314" s="426"/>
    </row>
    <row r="315" spans="1:51" ht="15.75" x14ac:dyDescent="0.25">
      <c r="A315"/>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s="426"/>
      <c r="AS315" s="426"/>
      <c r="AT315" s="426"/>
      <c r="AU315" s="426"/>
      <c r="AV315" s="426"/>
      <c r="AW315" s="426"/>
      <c r="AX315" s="426"/>
      <c r="AY315" s="426"/>
    </row>
    <row r="316" spans="1:51" ht="15.75" x14ac:dyDescent="0.25">
      <c r="A316"/>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s="426"/>
      <c r="AS316" s="426"/>
      <c r="AT316" s="426"/>
      <c r="AU316" s="426"/>
      <c r="AV316" s="426"/>
      <c r="AW316" s="426"/>
      <c r="AX316" s="426"/>
      <c r="AY316" s="426"/>
    </row>
    <row r="317" spans="1:51" ht="15.75" x14ac:dyDescent="0.25">
      <c r="A317"/>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s="426"/>
      <c r="AS317" s="426"/>
      <c r="AT317" s="426"/>
      <c r="AU317" s="426"/>
      <c r="AV317" s="426"/>
      <c r="AW317" s="426"/>
      <c r="AX317" s="426"/>
      <c r="AY317" s="426"/>
    </row>
    <row r="318" spans="1:51" ht="15.75" x14ac:dyDescent="0.25">
      <c r="A318"/>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s="426"/>
      <c r="AS318" s="426"/>
      <c r="AT318" s="426"/>
      <c r="AU318" s="426"/>
      <c r="AV318" s="426"/>
      <c r="AW318" s="426"/>
      <c r="AX318" s="426"/>
      <c r="AY318" s="426"/>
    </row>
    <row r="319" spans="1:51" ht="15.75" x14ac:dyDescent="0.25">
      <c r="A319"/>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s="426"/>
      <c r="AS319" s="426"/>
      <c r="AT319" s="426"/>
      <c r="AU319" s="426"/>
      <c r="AV319" s="426"/>
      <c r="AW319" s="426"/>
      <c r="AX319" s="426"/>
      <c r="AY319" s="426"/>
    </row>
    <row r="320" spans="1:51" ht="15.75" x14ac:dyDescent="0.25">
      <c r="A320"/>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s="426"/>
      <c r="AS320" s="426"/>
      <c r="AT320" s="426"/>
      <c r="AU320" s="426"/>
      <c r="AV320" s="426"/>
      <c r="AW320" s="426"/>
      <c r="AX320" s="426"/>
      <c r="AY320" s="426"/>
    </row>
    <row r="321" spans="1:51" ht="15.75" x14ac:dyDescent="0.25">
      <c r="A321"/>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s="426"/>
      <c r="AS321" s="426"/>
      <c r="AT321" s="426"/>
      <c r="AU321" s="426"/>
      <c r="AV321" s="426"/>
      <c r="AW321" s="426"/>
      <c r="AX321" s="426"/>
      <c r="AY321" s="426"/>
    </row>
    <row r="322" spans="1:51" ht="15.75" x14ac:dyDescent="0.25">
      <c r="A322"/>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s="426"/>
      <c r="AS322" s="426"/>
      <c r="AT322" s="426"/>
      <c r="AU322" s="426"/>
      <c r="AV322" s="426"/>
      <c r="AW322" s="426"/>
      <c r="AX322" s="426"/>
      <c r="AY322" s="426"/>
    </row>
    <row r="323" spans="1:51" ht="15.75" x14ac:dyDescent="0.25">
      <c r="A323"/>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s="426"/>
      <c r="AS323" s="426"/>
      <c r="AT323" s="426"/>
      <c r="AU323" s="426"/>
      <c r="AV323" s="426"/>
      <c r="AW323" s="426"/>
      <c r="AX323" s="426"/>
      <c r="AY323" s="426"/>
    </row>
    <row r="324" spans="1:51" ht="15.75" x14ac:dyDescent="0.25">
      <c r="A324"/>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s="426"/>
      <c r="AS324" s="426"/>
      <c r="AT324" s="426"/>
      <c r="AU324" s="426"/>
      <c r="AV324" s="426"/>
      <c r="AW324" s="426"/>
      <c r="AX324" s="426"/>
      <c r="AY324" s="426"/>
    </row>
    <row r="325" spans="1:51" ht="15.75" x14ac:dyDescent="0.25">
      <c r="A325"/>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s="426"/>
      <c r="AS325" s="426"/>
      <c r="AT325" s="426"/>
      <c r="AU325" s="426"/>
      <c r="AV325" s="426"/>
      <c r="AW325" s="426"/>
      <c r="AX325" s="426"/>
      <c r="AY325" s="426"/>
    </row>
    <row r="326" spans="1:51" ht="15.75" x14ac:dyDescent="0.25">
      <c r="A326"/>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s="426"/>
      <c r="AS326" s="426"/>
      <c r="AT326" s="426"/>
      <c r="AU326" s="426"/>
      <c r="AV326" s="426"/>
      <c r="AW326" s="426"/>
      <c r="AX326" s="426"/>
      <c r="AY326" s="426"/>
    </row>
    <row r="327" spans="1:51" ht="15.75" x14ac:dyDescent="0.25">
      <c r="A327"/>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s="426"/>
      <c r="AS327" s="426"/>
      <c r="AT327" s="426"/>
      <c r="AU327" s="426"/>
      <c r="AV327" s="426"/>
      <c r="AW327" s="426"/>
      <c r="AX327" s="426"/>
      <c r="AY327" s="426"/>
    </row>
    <row r="328" spans="1:51" ht="15.75" x14ac:dyDescent="0.25">
      <c r="A328"/>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s="426"/>
      <c r="AS328" s="426"/>
      <c r="AT328" s="426"/>
      <c r="AU328" s="426"/>
      <c r="AV328" s="426"/>
      <c r="AW328" s="426"/>
      <c r="AX328" s="426"/>
      <c r="AY328" s="426"/>
    </row>
    <row r="329" spans="1:51" ht="15.75" x14ac:dyDescent="0.25">
      <c r="A329"/>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s="426"/>
      <c r="AS329" s="426"/>
      <c r="AT329" s="426"/>
      <c r="AU329" s="426"/>
      <c r="AV329" s="426"/>
      <c r="AW329" s="426"/>
      <c r="AX329" s="426"/>
      <c r="AY329" s="426"/>
    </row>
    <row r="330" spans="1:51" ht="15.75" x14ac:dyDescent="0.25">
      <c r="A330"/>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s="426"/>
      <c r="AS330" s="426"/>
      <c r="AT330" s="426"/>
      <c r="AU330" s="426"/>
      <c r="AV330" s="426"/>
      <c r="AW330" s="426"/>
      <c r="AX330" s="426"/>
      <c r="AY330" s="426"/>
    </row>
    <row r="331" spans="1:51" ht="15.75" x14ac:dyDescent="0.25">
      <c r="A331"/>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s="426"/>
      <c r="AS331" s="426"/>
      <c r="AT331" s="426"/>
      <c r="AU331" s="426"/>
      <c r="AV331" s="426"/>
      <c r="AW331" s="426"/>
      <c r="AX331" s="426"/>
      <c r="AY331" s="426"/>
    </row>
    <row r="332" spans="1:51" ht="15.75" x14ac:dyDescent="0.25">
      <c r="A332"/>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s="426"/>
      <c r="AS332" s="426"/>
      <c r="AT332" s="426"/>
      <c r="AU332" s="426"/>
      <c r="AV332" s="426"/>
      <c r="AW332" s="426"/>
      <c r="AX332" s="426"/>
      <c r="AY332" s="426"/>
    </row>
    <row r="333" spans="1:51" ht="15.75" x14ac:dyDescent="0.25">
      <c r="A333"/>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s="426"/>
      <c r="AS333" s="426"/>
      <c r="AT333" s="426"/>
      <c r="AU333" s="426"/>
      <c r="AV333" s="426"/>
      <c r="AW333" s="426"/>
      <c r="AX333" s="426"/>
      <c r="AY333" s="426"/>
    </row>
    <row r="334" spans="1:51" ht="15.75" x14ac:dyDescent="0.25">
      <c r="A334"/>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s="426"/>
      <c r="AS334" s="426"/>
      <c r="AT334" s="426"/>
      <c r="AU334" s="426"/>
      <c r="AV334" s="426"/>
      <c r="AW334" s="426"/>
      <c r="AX334" s="426"/>
      <c r="AY334" s="426"/>
    </row>
    <row r="335" spans="1:51" ht="15.75" x14ac:dyDescent="0.25">
      <c r="A335"/>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s="426"/>
      <c r="AS335" s="426"/>
      <c r="AT335" s="426"/>
      <c r="AU335" s="426"/>
      <c r="AV335" s="426"/>
      <c r="AW335" s="426"/>
      <c r="AX335" s="426"/>
      <c r="AY335" s="426"/>
    </row>
    <row r="336" spans="1:51" ht="15.75" x14ac:dyDescent="0.25">
      <c r="A336"/>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s="426"/>
      <c r="AS336" s="426"/>
      <c r="AT336" s="426"/>
      <c r="AU336" s="426"/>
      <c r="AV336" s="426"/>
      <c r="AW336" s="426"/>
      <c r="AX336" s="426"/>
      <c r="AY336" s="426"/>
    </row>
    <row r="337" spans="1:51" ht="15.75" x14ac:dyDescent="0.25">
      <c r="A337"/>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s="426"/>
      <c r="AS337" s="426"/>
      <c r="AT337" s="426"/>
      <c r="AU337" s="426"/>
      <c r="AV337" s="426"/>
      <c r="AW337" s="426"/>
      <c r="AX337" s="426"/>
      <c r="AY337" s="426"/>
    </row>
    <row r="338" spans="1:51" ht="15.75" x14ac:dyDescent="0.25">
      <c r="A338"/>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s="426"/>
      <c r="AS338" s="426"/>
      <c r="AT338" s="426"/>
      <c r="AU338" s="426"/>
      <c r="AV338" s="426"/>
      <c r="AW338" s="426"/>
      <c r="AX338" s="426"/>
      <c r="AY338" s="426"/>
    </row>
    <row r="339" spans="1:51" ht="15.75" x14ac:dyDescent="0.25">
      <c r="A339"/>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s="426"/>
      <c r="AS339" s="426"/>
      <c r="AT339" s="426"/>
      <c r="AU339" s="426"/>
      <c r="AV339" s="426"/>
      <c r="AW339" s="426"/>
      <c r="AX339" s="426"/>
      <c r="AY339" s="426"/>
    </row>
    <row r="340" spans="1:51" ht="15.75" x14ac:dyDescent="0.25">
      <c r="A340"/>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s="426"/>
      <c r="AS340" s="426"/>
      <c r="AT340" s="426"/>
      <c r="AU340" s="426"/>
      <c r="AV340" s="426"/>
      <c r="AW340" s="426"/>
      <c r="AX340" s="426"/>
      <c r="AY340" s="426"/>
    </row>
    <row r="341" spans="1:51" ht="15.75" x14ac:dyDescent="0.25">
      <c r="A341"/>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s="426"/>
      <c r="AS341" s="426"/>
      <c r="AT341" s="426"/>
      <c r="AU341" s="426"/>
      <c r="AV341" s="426"/>
      <c r="AW341" s="426"/>
      <c r="AX341" s="426"/>
      <c r="AY341" s="426"/>
    </row>
    <row r="342" spans="1:51" ht="15.75" x14ac:dyDescent="0.25">
      <c r="A342"/>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s="426"/>
      <c r="AS342" s="426"/>
      <c r="AT342" s="426"/>
      <c r="AU342" s="426"/>
      <c r="AV342" s="426"/>
      <c r="AW342" s="426"/>
      <c r="AX342" s="426"/>
      <c r="AY342" s="426"/>
    </row>
    <row r="343" spans="1:51" ht="15.75" x14ac:dyDescent="0.25">
      <c r="A343"/>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s="426"/>
      <c r="AS343" s="426"/>
      <c r="AT343" s="426"/>
      <c r="AU343" s="426"/>
      <c r="AV343" s="426"/>
      <c r="AW343" s="426"/>
      <c r="AX343" s="426"/>
      <c r="AY343" s="426"/>
    </row>
    <row r="344" spans="1:51" ht="15.75" x14ac:dyDescent="0.25">
      <c r="A344"/>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s="426"/>
      <c r="AS344" s="426"/>
      <c r="AT344" s="426"/>
      <c r="AU344" s="426"/>
      <c r="AV344" s="426"/>
      <c r="AW344" s="426"/>
      <c r="AX344" s="426"/>
      <c r="AY344" s="426"/>
    </row>
    <row r="345" spans="1:51" ht="15.75" x14ac:dyDescent="0.25">
      <c r="A345"/>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s="426"/>
      <c r="AS345" s="426"/>
      <c r="AT345" s="426"/>
      <c r="AU345" s="426"/>
      <c r="AV345" s="426"/>
      <c r="AW345" s="426"/>
      <c r="AX345" s="426"/>
      <c r="AY345" s="426"/>
    </row>
    <row r="346" spans="1:51" ht="15.75" x14ac:dyDescent="0.25">
      <c r="A346"/>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s="426"/>
      <c r="AS346" s="426"/>
      <c r="AT346" s="426"/>
      <c r="AU346" s="426"/>
      <c r="AV346" s="426"/>
      <c r="AW346" s="426"/>
      <c r="AX346" s="426"/>
      <c r="AY346" s="426"/>
    </row>
    <row r="347" spans="1:51" ht="15.75" x14ac:dyDescent="0.25">
      <c r="A347"/>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s="426"/>
      <c r="AS347" s="426"/>
      <c r="AT347" s="426"/>
      <c r="AU347" s="426"/>
      <c r="AV347" s="426"/>
      <c r="AW347" s="426"/>
      <c r="AX347" s="426"/>
      <c r="AY347" s="426"/>
    </row>
    <row r="348" spans="1:51" ht="15.75" x14ac:dyDescent="0.25">
      <c r="A348"/>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s="426"/>
      <c r="AS348" s="426"/>
      <c r="AT348" s="426"/>
      <c r="AU348" s="426"/>
      <c r="AV348" s="426"/>
      <c r="AW348" s="426"/>
      <c r="AX348" s="426"/>
      <c r="AY348" s="426"/>
    </row>
    <row r="349" spans="1:51" ht="15.75" x14ac:dyDescent="0.25">
      <c r="A349"/>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s="426"/>
      <c r="AS349" s="426"/>
      <c r="AT349" s="426"/>
      <c r="AU349" s="426"/>
      <c r="AV349" s="426"/>
      <c r="AW349" s="426"/>
      <c r="AX349" s="426"/>
      <c r="AY349" s="426"/>
    </row>
    <row r="350" spans="1:51" ht="15.75" x14ac:dyDescent="0.25">
      <c r="A350"/>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s="426"/>
      <c r="AS350" s="426"/>
      <c r="AT350" s="426"/>
      <c r="AU350" s="426"/>
      <c r="AV350" s="426"/>
      <c r="AW350" s="426"/>
      <c r="AX350" s="426"/>
      <c r="AY350" s="426"/>
    </row>
    <row r="351" spans="1:51" ht="15.75" x14ac:dyDescent="0.25">
      <c r="A351"/>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s="426"/>
      <c r="AS351" s="426"/>
      <c r="AT351" s="426"/>
      <c r="AU351" s="426"/>
      <c r="AV351" s="426"/>
      <c r="AW351" s="426"/>
      <c r="AX351" s="426"/>
      <c r="AY351" s="426"/>
    </row>
    <row r="352" spans="1:51" ht="15.75" x14ac:dyDescent="0.25">
      <c r="A352"/>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s="426"/>
      <c r="AS352" s="426"/>
      <c r="AT352" s="426"/>
      <c r="AU352" s="426"/>
      <c r="AV352" s="426"/>
      <c r="AW352" s="426"/>
      <c r="AX352" s="426"/>
      <c r="AY352" s="426"/>
    </row>
    <row r="353" spans="1:51" ht="15.75" x14ac:dyDescent="0.25">
      <c r="A353"/>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s="426"/>
      <c r="AS353" s="426"/>
      <c r="AT353" s="426"/>
      <c r="AU353" s="426"/>
      <c r="AV353" s="426"/>
      <c r="AW353" s="426"/>
      <c r="AX353" s="426"/>
      <c r="AY353" s="426"/>
    </row>
    <row r="354" spans="1:51" ht="15.75" x14ac:dyDescent="0.25">
      <c r="A354"/>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s="426"/>
      <c r="AS354" s="426"/>
      <c r="AT354" s="426"/>
      <c r="AU354" s="426"/>
      <c r="AV354" s="426"/>
      <c r="AW354" s="426"/>
      <c r="AX354" s="426"/>
      <c r="AY354" s="426"/>
    </row>
    <row r="355" spans="1:51" ht="15.75" x14ac:dyDescent="0.25">
      <c r="A355"/>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s="426"/>
      <c r="AS355" s="426"/>
      <c r="AT355" s="426"/>
      <c r="AU355" s="426"/>
      <c r="AV355" s="426"/>
      <c r="AW355" s="426"/>
      <c r="AX355" s="426"/>
      <c r="AY355" s="426"/>
    </row>
    <row r="356" spans="1:51" ht="15.75" x14ac:dyDescent="0.25">
      <c r="A356"/>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s="426"/>
      <c r="AS356" s="426"/>
      <c r="AT356" s="426"/>
      <c r="AU356" s="426"/>
      <c r="AV356" s="426"/>
      <c r="AW356" s="426"/>
      <c r="AX356" s="426"/>
      <c r="AY356" s="426"/>
    </row>
    <row r="357" spans="1:51" ht="15.75" x14ac:dyDescent="0.25">
      <c r="A357"/>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row>
    <row r="358" spans="1:51" ht="15.75" x14ac:dyDescent="0.25">
      <c r="A358"/>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row>
    <row r="359" spans="1:51" ht="15.75" x14ac:dyDescent="0.25">
      <c r="A359"/>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row>
    <row r="360" spans="1:51" ht="15.75" x14ac:dyDescent="0.25">
      <c r="A360"/>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row>
    <row r="361" spans="1:51" ht="15.75" x14ac:dyDescent="0.25">
      <c r="A361"/>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row>
    <row r="362" spans="1:51" ht="15.75" x14ac:dyDescent="0.25">
      <c r="A362"/>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row>
    <row r="363" spans="1:51" ht="15.75" x14ac:dyDescent="0.25">
      <c r="A363"/>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row>
    <row r="364" spans="1:51" ht="15.75" x14ac:dyDescent="0.25">
      <c r="A364"/>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row>
    <row r="365" spans="1:51" ht="15.75" x14ac:dyDescent="0.25">
      <c r="A365"/>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row>
    <row r="366" spans="1:51" ht="15.75" x14ac:dyDescent="0.25">
      <c r="A366"/>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row>
    <row r="367" spans="1:51" ht="15.75" x14ac:dyDescent="0.25">
      <c r="A367"/>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row>
    <row r="368" spans="1:51" ht="15.75" x14ac:dyDescent="0.25">
      <c r="A368"/>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row>
    <row r="369" spans="1:43" ht="15.75" x14ac:dyDescent="0.25">
      <c r="A369"/>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row>
    <row r="370" spans="1:43" ht="15.75" x14ac:dyDescent="0.25">
      <c r="A370"/>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row>
    <row r="371" spans="1:43" ht="15.75" x14ac:dyDescent="0.25">
      <c r="A371"/>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row>
    <row r="372" spans="1:43" ht="15.75" x14ac:dyDescent="0.25">
      <c r="A372"/>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row>
    <row r="373" spans="1:43" ht="15.75" x14ac:dyDescent="0.25">
      <c r="A373"/>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row>
    <row r="374" spans="1:43" ht="15.75" x14ac:dyDescent="0.25">
      <c r="A374"/>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row>
    <row r="375" spans="1:43" ht="15.75" x14ac:dyDescent="0.25">
      <c r="A375"/>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row>
    <row r="376" spans="1:43" ht="15.75" x14ac:dyDescent="0.25">
      <c r="A376"/>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row>
    <row r="377" spans="1:43" ht="15.75" x14ac:dyDescent="0.25">
      <c r="A377"/>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row>
    <row r="378" spans="1:43" ht="15.75" x14ac:dyDescent="0.25">
      <c r="A378"/>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row>
    <row r="379" spans="1:43" ht="15.75" x14ac:dyDescent="0.25">
      <c r="A379"/>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row>
    <row r="380" spans="1:43" ht="15.75" x14ac:dyDescent="0.25">
      <c r="A380"/>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row>
    <row r="381" spans="1:43" ht="15.75" x14ac:dyDescent="0.25">
      <c r="A381"/>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row>
    <row r="382" spans="1:43" ht="15.75" x14ac:dyDescent="0.25">
      <c r="A382"/>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row>
    <row r="383" spans="1:43" ht="15.75" x14ac:dyDescent="0.25">
      <c r="A383"/>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row>
    <row r="384" spans="1:43" ht="15.75" x14ac:dyDescent="0.25">
      <c r="A384"/>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row>
    <row r="385" spans="1:43" ht="15.75" x14ac:dyDescent="0.25">
      <c r="A385"/>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row>
    <row r="386" spans="1:43" ht="15.75" x14ac:dyDescent="0.25">
      <c r="A386"/>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row>
    <row r="387" spans="1:43" ht="15.75" x14ac:dyDescent="0.25">
      <c r="A387"/>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row>
    <row r="388" spans="1:43" ht="15.75" x14ac:dyDescent="0.25">
      <c r="A388"/>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row>
    <row r="389" spans="1:43" ht="15.75" x14ac:dyDescent="0.25">
      <c r="A389"/>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row>
    <row r="390" spans="1:43" ht="15.75" x14ac:dyDescent="0.25">
      <c r="A390"/>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row>
    <row r="391" spans="1:43" ht="15.75" x14ac:dyDescent="0.25">
      <c r="A391"/>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row>
    <row r="392" spans="1:43" ht="15.75" x14ac:dyDescent="0.25">
      <c r="A392"/>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row>
    <row r="393" spans="1:43" ht="15.75" x14ac:dyDescent="0.25">
      <c r="A393"/>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row>
    <row r="394" spans="1:43" ht="15.75" x14ac:dyDescent="0.25">
      <c r="A394"/>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row>
    <row r="395" spans="1:43" ht="15.75" x14ac:dyDescent="0.25">
      <c r="A395"/>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row>
    <row r="396" spans="1:43" ht="15.75" x14ac:dyDescent="0.25">
      <c r="A396"/>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row>
    <row r="397" spans="1:43" ht="15.75" x14ac:dyDescent="0.25">
      <c r="A397"/>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row>
    <row r="398" spans="1:43" ht="15.75" x14ac:dyDescent="0.25">
      <c r="A398"/>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row>
    <row r="399" spans="1:43" ht="15.75" x14ac:dyDescent="0.25">
      <c r="A399"/>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row>
    <row r="400" spans="1:43" ht="15.75" x14ac:dyDescent="0.25">
      <c r="A400"/>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row>
    <row r="401" spans="1:43" ht="15.75" x14ac:dyDescent="0.25">
      <c r="A401"/>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row>
    <row r="402" spans="1:43" ht="15.75" x14ac:dyDescent="0.25">
      <c r="A402"/>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row>
    <row r="403" spans="1:43" ht="15.75" x14ac:dyDescent="0.25">
      <c r="A403"/>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row>
    <row r="404" spans="1:43" ht="15.75" x14ac:dyDescent="0.25">
      <c r="A404"/>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row>
    <row r="405" spans="1:43" ht="15.75" x14ac:dyDescent="0.25">
      <c r="A405"/>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row>
    <row r="406" spans="1:43" ht="15.75" x14ac:dyDescent="0.25">
      <c r="A406"/>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row>
    <row r="407" spans="1:43" ht="15.75" x14ac:dyDescent="0.25">
      <c r="A407"/>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row>
    <row r="408" spans="1:43" ht="15.75" x14ac:dyDescent="0.25">
      <c r="A408"/>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row>
    <row r="409" spans="1:43" ht="15.75" x14ac:dyDescent="0.25">
      <c r="A409"/>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row>
    <row r="410" spans="1:43" ht="15.75" x14ac:dyDescent="0.25">
      <c r="A410"/>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row>
    <row r="411" spans="1:43" ht="15.75" x14ac:dyDescent="0.25">
      <c r="A411"/>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row>
    <row r="412" spans="1:43" ht="15.75" x14ac:dyDescent="0.25">
      <c r="A412"/>
      <c r="B41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row>
    <row r="413" spans="1:43" ht="15.75" x14ac:dyDescent="0.25">
      <c r="A413"/>
      <c r="B41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row>
    <row r="414" spans="1:43" ht="15.75" x14ac:dyDescent="0.25">
      <c r="A414"/>
      <c r="B414"/>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row>
    <row r="415" spans="1:43" ht="15.75" x14ac:dyDescent="0.25">
      <c r="A415"/>
      <c r="B415"/>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row>
    <row r="416" spans="1:43" ht="15.75" x14ac:dyDescent="0.25">
      <c r="A416"/>
      <c r="B416"/>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row>
    <row r="417" spans="1:43" ht="15.75" x14ac:dyDescent="0.25">
      <c r="A417"/>
      <c r="B417"/>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row>
    <row r="418" spans="1:43" ht="15.75" x14ac:dyDescent="0.25">
      <c r="A418"/>
      <c r="B418"/>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row>
    <row r="419" spans="1:43" ht="15.75" x14ac:dyDescent="0.25">
      <c r="A419"/>
      <c r="B419"/>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row>
    <row r="420" spans="1:43" ht="15.75" x14ac:dyDescent="0.25">
      <c r="A420"/>
      <c r="B420"/>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row>
    <row r="421" spans="1:43" ht="15.75" x14ac:dyDescent="0.25">
      <c r="A421"/>
      <c r="B421"/>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row>
    <row r="422" spans="1:43" ht="15.75" x14ac:dyDescent="0.25">
      <c r="A422"/>
      <c r="B422"/>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row>
    <row r="423" spans="1:43" ht="15.75" x14ac:dyDescent="0.25">
      <c r="A423"/>
      <c r="B42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row>
    <row r="424" spans="1:43" ht="15.75" x14ac:dyDescent="0.25">
      <c r="A424"/>
      <c r="B424"/>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row>
    <row r="425" spans="1:43" ht="15.75" x14ac:dyDescent="0.25">
      <c r="A425"/>
      <c r="B425"/>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row>
    <row r="426" spans="1:43" ht="15.75" x14ac:dyDescent="0.25">
      <c r="A426"/>
      <c r="B426"/>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row>
    <row r="427" spans="1:43" ht="15.75" x14ac:dyDescent="0.25">
      <c r="A427"/>
      <c r="B427"/>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row>
    <row r="428" spans="1:43" ht="15.75" x14ac:dyDescent="0.25">
      <c r="A428"/>
      <c r="B428"/>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row>
    <row r="429" spans="1:43" ht="15.75" x14ac:dyDescent="0.25">
      <c r="A429"/>
      <c r="B429"/>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row>
    <row r="430" spans="1:43" ht="15.75" x14ac:dyDescent="0.25">
      <c r="A430"/>
      <c r="B430"/>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row>
    <row r="431" spans="1:43" ht="15.75" x14ac:dyDescent="0.25">
      <c r="A431"/>
      <c r="B431"/>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row>
    <row r="432" spans="1:43" ht="15.75" x14ac:dyDescent="0.25">
      <c r="A432"/>
      <c r="B432"/>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row>
    <row r="433" spans="1:43" ht="15.75" x14ac:dyDescent="0.25">
      <c r="A433"/>
      <c r="B43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row>
    <row r="434" spans="1:43" ht="15.75" x14ac:dyDescent="0.25">
      <c r="A434"/>
      <c r="B434"/>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row>
    <row r="435" spans="1:43" ht="15.75" x14ac:dyDescent="0.25">
      <c r="A435"/>
      <c r="B435"/>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row>
    <row r="436" spans="1:43" ht="15.75" x14ac:dyDescent="0.25">
      <c r="A436"/>
      <c r="B436"/>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row>
    <row r="437" spans="1:43" ht="15.75" x14ac:dyDescent="0.25">
      <c r="A437"/>
      <c r="B437"/>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row>
    <row r="438" spans="1:43" ht="15.75" x14ac:dyDescent="0.25">
      <c r="A438"/>
      <c r="B438"/>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row>
    <row r="439" spans="1:43" ht="15.75" x14ac:dyDescent="0.25">
      <c r="AN439"/>
      <c r="AO439"/>
      <c r="AP439"/>
      <c r="AQ439"/>
    </row>
    <row r="440" spans="1:43" ht="15.75" x14ac:dyDescent="0.25">
      <c r="AN440"/>
      <c r="AO440"/>
      <c r="AP440"/>
      <c r="AQ440"/>
    </row>
    <row r="441" spans="1:43" ht="15.75" x14ac:dyDescent="0.25">
      <c r="AN441"/>
      <c r="AO441"/>
      <c r="AP441"/>
      <c r="AQ441"/>
    </row>
    <row r="442" spans="1:43" ht="15.75" x14ac:dyDescent="0.25">
      <c r="AN442"/>
      <c r="AO442"/>
      <c r="AP442"/>
      <c r="AQ442"/>
    </row>
    <row r="443" spans="1:43" ht="15.75" x14ac:dyDescent="0.25">
      <c r="A443"/>
      <c r="B44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row>
    <row r="444" spans="1:43" ht="15.75" x14ac:dyDescent="0.25">
      <c r="A444"/>
      <c r="B444"/>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row>
    <row r="445" spans="1:43" ht="15.75" x14ac:dyDescent="0.25">
      <c r="A445"/>
      <c r="B445"/>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row>
    <row r="446" spans="1:43" ht="15.75" x14ac:dyDescent="0.25">
      <c r="A446"/>
      <c r="B446"/>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row>
    <row r="447" spans="1:43" ht="15.75" x14ac:dyDescent="0.25">
      <c r="A447"/>
      <c r="B447"/>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row>
    <row r="448" spans="1:43" ht="15.75" x14ac:dyDescent="0.25">
      <c r="A448"/>
      <c r="B448"/>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row>
    <row r="449" spans="1:43" ht="15.75" x14ac:dyDescent="0.25">
      <c r="A449"/>
      <c r="B449"/>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row>
    <row r="450" spans="1:43" ht="15.75" x14ac:dyDescent="0.25">
      <c r="A450"/>
      <c r="B450"/>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row>
    <row r="451" spans="1:43" ht="15.75" x14ac:dyDescent="0.25">
      <c r="A451"/>
      <c r="B451"/>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row>
    <row r="452" spans="1:43" ht="15.75" x14ac:dyDescent="0.25">
      <c r="A452"/>
      <c r="B452"/>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row>
    <row r="453" spans="1:43" x14ac:dyDescent="0.25">
      <c r="AM453" s="426"/>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tabColor theme="9" tint="0.59999389629810485"/>
  </sheetPr>
  <dimension ref="B1:S123"/>
  <sheetViews>
    <sheetView showGridLines="0" topLeftCell="E1" workbookViewId="0">
      <pane ySplit="1" topLeftCell="A68" activePane="bottomLeft" state="frozen"/>
      <selection pane="bottomLeft" activeCell="E77" sqref="A77:XFD78"/>
    </sheetView>
  </sheetViews>
  <sheetFormatPr defaultColWidth="9" defaultRowHeight="15" x14ac:dyDescent="0.25"/>
  <cols>
    <col min="1" max="1" width="1.875" style="3" bestFit="1" customWidth="1"/>
    <col min="2" max="2" width="20.25" style="3" customWidth="1"/>
    <col min="3" max="3" width="10.625" style="3" customWidth="1"/>
    <col min="4" max="4" width="53.75" style="3" customWidth="1"/>
    <col min="5" max="5" width="4.375" style="3" bestFit="1" customWidth="1"/>
    <col min="6" max="6" width="7.625" style="3" bestFit="1" customWidth="1"/>
    <col min="7" max="7" width="8.125" style="3" bestFit="1" customWidth="1"/>
    <col min="8" max="8" width="6.75" style="3" bestFit="1" customWidth="1"/>
    <col min="9" max="9" width="7" style="3" bestFit="1" customWidth="1"/>
    <col min="10" max="10" width="9" style="3"/>
    <col min="11" max="11" width="12.625" style="3" customWidth="1"/>
    <col min="12" max="12" width="16.375" style="3" customWidth="1"/>
    <col min="13" max="13" width="48.625" style="3" bestFit="1" customWidth="1"/>
    <col min="14" max="14" width="12.125" style="3" customWidth="1"/>
    <col min="15" max="15" width="11.625" style="3" customWidth="1"/>
    <col min="16" max="16" width="17.5" style="3" customWidth="1"/>
    <col min="17" max="17" width="15.75" style="3" customWidth="1"/>
    <col min="18" max="16384" width="9" style="3"/>
  </cols>
  <sheetData>
    <row r="1" spans="2:18" ht="26.25" x14ac:dyDescent="0.25">
      <c r="B1" s="4" t="s">
        <v>41</v>
      </c>
      <c r="K1" s="4" t="s">
        <v>42</v>
      </c>
    </row>
    <row r="3" spans="2:18" x14ac:dyDescent="0.25">
      <c r="B3" s="73" t="s">
        <v>43</v>
      </c>
      <c r="C3" s="50"/>
      <c r="D3" s="50"/>
      <c r="E3" s="50"/>
      <c r="F3" s="50"/>
      <c r="G3" s="50"/>
      <c r="H3" s="50"/>
      <c r="I3" s="50"/>
      <c r="K3" s="73" t="s">
        <v>44</v>
      </c>
      <c r="L3" s="50"/>
      <c r="M3" s="50"/>
      <c r="N3" s="50"/>
      <c r="O3" s="50"/>
      <c r="P3" s="50"/>
      <c r="Q3" s="50"/>
      <c r="R3" s="50"/>
    </row>
    <row r="4" spans="2:18" ht="15.75" thickBot="1" x14ac:dyDescent="0.3">
      <c r="B4" s="74" t="s">
        <v>45</v>
      </c>
      <c r="C4" s="74" t="s">
        <v>38</v>
      </c>
      <c r="D4" s="74" t="s">
        <v>39</v>
      </c>
      <c r="E4" s="74" t="s">
        <v>46</v>
      </c>
      <c r="F4" s="74" t="s">
        <v>47</v>
      </c>
      <c r="G4" s="74" t="s">
        <v>48</v>
      </c>
      <c r="H4" s="74" t="s">
        <v>49</v>
      </c>
      <c r="I4" s="74" t="s">
        <v>50</v>
      </c>
      <c r="K4" s="74" t="s">
        <v>51</v>
      </c>
      <c r="L4" s="74" t="s">
        <v>35</v>
      </c>
      <c r="M4" s="74" t="s">
        <v>36</v>
      </c>
      <c r="N4" s="74" t="s">
        <v>52</v>
      </c>
      <c r="O4" s="74" t="s">
        <v>53</v>
      </c>
      <c r="P4" s="74" t="s">
        <v>54</v>
      </c>
      <c r="Q4" s="74" t="s">
        <v>55</v>
      </c>
      <c r="R4" s="74" t="s">
        <v>56</v>
      </c>
    </row>
    <row r="5" spans="2:18" ht="25.5" x14ac:dyDescent="0.25">
      <c r="B5" s="1" t="s">
        <v>65</v>
      </c>
      <c r="C5" s="1" t="s">
        <v>57</v>
      </c>
      <c r="D5" s="1" t="s">
        <v>27</v>
      </c>
      <c r="E5" s="1"/>
      <c r="F5" s="1"/>
      <c r="G5" s="1"/>
      <c r="H5" s="1"/>
      <c r="I5" s="1"/>
      <c r="J5" s="5"/>
      <c r="K5" s="1" t="s">
        <v>66</v>
      </c>
      <c r="L5" s="1" t="s">
        <v>58</v>
      </c>
      <c r="M5" s="1" t="s">
        <v>27</v>
      </c>
      <c r="N5" s="1" t="s">
        <v>59</v>
      </c>
      <c r="O5" s="1" t="s">
        <v>60</v>
      </c>
      <c r="P5" s="1" t="s">
        <v>61</v>
      </c>
      <c r="Q5" s="1" t="s">
        <v>62</v>
      </c>
      <c r="R5" s="1" t="s">
        <v>63</v>
      </c>
    </row>
    <row r="6" spans="2:18" x14ac:dyDescent="0.25">
      <c r="B6" s="2" t="s">
        <v>81</v>
      </c>
      <c r="C6" s="2"/>
      <c r="D6" s="2"/>
      <c r="E6" s="2"/>
      <c r="F6" s="2"/>
      <c r="G6" s="2"/>
      <c r="H6" s="2"/>
      <c r="I6" s="2"/>
      <c r="K6" s="6" t="s">
        <v>193</v>
      </c>
      <c r="L6" s="2"/>
      <c r="M6" s="6"/>
      <c r="N6" s="6"/>
      <c r="O6" s="6"/>
      <c r="P6" s="6"/>
      <c r="Q6" s="6"/>
      <c r="R6" s="6"/>
    </row>
    <row r="7" spans="2:18" s="46" customFormat="1" x14ac:dyDescent="0.25">
      <c r="B7" s="46" t="s">
        <v>68</v>
      </c>
      <c r="C7" s="49" t="str">
        <f>Legend!B63</f>
        <v>RSDBGS</v>
      </c>
      <c r="D7" s="49" t="str">
        <f>Legend!A63&amp;" ("&amp;Legend!$C$4&amp;")"</f>
        <v>Biogas (RSD)</v>
      </c>
      <c r="E7" s="46" t="s">
        <v>12</v>
      </c>
      <c r="K7" s="46" t="s">
        <v>75</v>
      </c>
      <c r="L7" s="51" t="str">
        <f>"FT-"&amp;Legend!B63</f>
        <v>FT-RSDBGS</v>
      </c>
      <c r="M7" s="51" t="str">
        <f>Legend!$C$4&amp;" fuel Tech: "&amp;Legend!A63</f>
        <v>RSD fuel Tech: Biogas</v>
      </c>
      <c r="N7" s="46" t="s">
        <v>12</v>
      </c>
      <c r="O7" s="46" t="s">
        <v>185</v>
      </c>
    </row>
    <row r="8" spans="2:18" s="46" customFormat="1" x14ac:dyDescent="0.25">
      <c r="B8" s="46" t="s">
        <v>68</v>
      </c>
      <c r="C8" s="49" t="str">
        <f>Legend!B64</f>
        <v>RSDBIO</v>
      </c>
      <c r="D8" s="49" t="str">
        <f>Legend!A64&amp;" ("&amp;Legend!$C$4&amp;")"</f>
        <v>Biomass (RSD)</v>
      </c>
      <c r="E8" s="46" t="s">
        <v>12</v>
      </c>
      <c r="K8" s="46" t="s">
        <v>75</v>
      </c>
      <c r="L8" s="46" t="str">
        <f>"FT-"&amp;Legend!B64</f>
        <v>FT-RSDBIO</v>
      </c>
      <c r="M8" s="46" t="str">
        <f>Legend!$C$4&amp;" fuel Tech: "&amp;Legend!A64</f>
        <v>RSD fuel Tech: Biomass</v>
      </c>
      <c r="N8" s="46" t="s">
        <v>12</v>
      </c>
      <c r="O8" s="46" t="s">
        <v>185</v>
      </c>
    </row>
    <row r="9" spans="2:18" s="46" customFormat="1" x14ac:dyDescent="0.25">
      <c r="B9" s="46" t="s">
        <v>68</v>
      </c>
      <c r="C9" s="49" t="str">
        <f>Legend!B65</f>
        <v>RSDCOA</v>
      </c>
      <c r="D9" s="49" t="str">
        <f>Legend!A65&amp;" ("&amp;Legend!$C$4&amp;")"</f>
        <v>Coal (RSD)</v>
      </c>
      <c r="E9" s="46" t="s">
        <v>12</v>
      </c>
      <c r="K9" s="46" t="s">
        <v>75</v>
      </c>
      <c r="L9" s="46" t="str">
        <f>"FT-"&amp;Legend!B65</f>
        <v>FT-RSDCOA</v>
      </c>
      <c r="M9" s="46" t="str">
        <f>Legend!$C$4&amp;" fuel Tech: "&amp;Legend!A65</f>
        <v>RSD fuel Tech: Coal</v>
      </c>
      <c r="N9" s="46" t="s">
        <v>12</v>
      </c>
      <c r="O9" s="46" t="s">
        <v>185</v>
      </c>
    </row>
    <row r="10" spans="2:18" s="46" customFormat="1" x14ac:dyDescent="0.25">
      <c r="B10" s="46" t="s">
        <v>68</v>
      </c>
      <c r="C10" s="49" t="str">
        <f>Legend!B66</f>
        <v>RSDELC</v>
      </c>
      <c r="D10" s="49" t="str">
        <f>Legend!A66&amp;" ("&amp;Legend!$C$4&amp;")"</f>
        <v>Electricity (RSD)</v>
      </c>
      <c r="E10" s="46" t="s">
        <v>12</v>
      </c>
      <c r="G10" s="46" t="s">
        <v>186</v>
      </c>
      <c r="I10" s="46" t="s">
        <v>13</v>
      </c>
      <c r="K10" s="46" t="s">
        <v>75</v>
      </c>
      <c r="L10" s="46" t="str">
        <f>"FT-"&amp;Legend!B66</f>
        <v>FT-RSDELC</v>
      </c>
      <c r="M10" s="46" t="str">
        <f>Legend!$C$4&amp;" fuel Tech: "&amp;Legend!A66</f>
        <v>RSD fuel Tech: Electricity</v>
      </c>
      <c r="N10" s="46" t="s">
        <v>12</v>
      </c>
      <c r="O10" s="46" t="s">
        <v>185</v>
      </c>
      <c r="P10" s="46" t="s">
        <v>186</v>
      </c>
    </row>
    <row r="11" spans="2:18" s="46" customFormat="1" x14ac:dyDescent="0.25">
      <c r="B11" s="46" t="s">
        <v>68</v>
      </c>
      <c r="C11" s="49" t="str">
        <f>Legend!B67</f>
        <v>RSDGEO</v>
      </c>
      <c r="D11" s="49" t="str">
        <f>Legend!A67&amp;" ("&amp;Legend!$C$4&amp;")"</f>
        <v>Geothermal (RSD)</v>
      </c>
      <c r="E11" s="46" t="s">
        <v>12</v>
      </c>
      <c r="K11" s="46" t="s">
        <v>75</v>
      </c>
      <c r="L11" s="46" t="str">
        <f>"FT-"&amp;Legend!B67</f>
        <v>FT-RSDGEO</v>
      </c>
      <c r="M11" s="46" t="str">
        <f>Legend!$C$4&amp;" fuel Tech: "&amp;Legend!A67</f>
        <v>RSD fuel Tech: Geothermal</v>
      </c>
      <c r="N11" s="46" t="s">
        <v>12</v>
      </c>
      <c r="O11" s="46" t="s">
        <v>185</v>
      </c>
    </row>
    <row r="12" spans="2:18" s="46" customFormat="1" x14ac:dyDescent="0.25">
      <c r="B12" s="46" t="s">
        <v>68</v>
      </c>
      <c r="C12" s="49" t="str">
        <f>Legend!B68</f>
        <v>RSDHET</v>
      </c>
      <c r="D12" s="49" t="str">
        <f>Legend!A68&amp;" ("&amp;Legend!$C$4&amp;")"</f>
        <v>Heat (RSD)</v>
      </c>
      <c r="E12" s="46" t="s">
        <v>12</v>
      </c>
      <c r="G12" s="46" t="s">
        <v>186</v>
      </c>
      <c r="I12" s="46" t="s">
        <v>69</v>
      </c>
      <c r="K12" s="46" t="s">
        <v>75</v>
      </c>
      <c r="L12" s="46" t="str">
        <f>"FT-"&amp;Legend!B68</f>
        <v>FT-RSDHET</v>
      </c>
      <c r="M12" s="46" t="str">
        <f>Legend!$C$4&amp;" fuel Tech: "&amp;Legend!A68</f>
        <v>RSD fuel Tech: Heat</v>
      </c>
      <c r="N12" s="46" t="s">
        <v>12</v>
      </c>
      <c r="O12" s="46" t="s">
        <v>185</v>
      </c>
      <c r="P12" s="46" t="s">
        <v>186</v>
      </c>
    </row>
    <row r="13" spans="2:18" s="46" customFormat="1" x14ac:dyDescent="0.25">
      <c r="B13" s="46" t="s">
        <v>68</v>
      </c>
      <c r="C13" s="49" t="str">
        <f>Legend!B75</f>
        <v>RSDH2G</v>
      </c>
      <c r="D13" s="49" t="str">
        <f>Legend!A75&amp;" ("&amp;Legend!$C$4&amp;")"</f>
        <v>Hydrogen (RSD)</v>
      </c>
      <c r="E13" s="46" t="s">
        <v>12</v>
      </c>
      <c r="K13" s="46" t="s">
        <v>75</v>
      </c>
      <c r="L13" s="46" t="str">
        <f>"FT-"&amp;Legend!B69</f>
        <v>FT-RSDBLQ</v>
      </c>
      <c r="M13" s="46" t="str">
        <f>Legend!$C$4&amp;" fuel Tech: "&amp;Legend!A69</f>
        <v>RSD fuel Tech: Liquid biofuels</v>
      </c>
      <c r="N13" s="46" t="s">
        <v>12</v>
      </c>
      <c r="O13" s="46" t="s">
        <v>185</v>
      </c>
    </row>
    <row r="14" spans="2:18" s="46" customFormat="1" x14ac:dyDescent="0.25">
      <c r="B14" s="46" t="s">
        <v>68</v>
      </c>
      <c r="C14" s="49" t="str">
        <f>Legend!B76</f>
        <v>RSDH2B</v>
      </c>
      <c r="D14" s="49" t="str">
        <f>Legend!A76&amp;" ("&amp;Legend!$C$4&amp;")"</f>
        <v>Natural gas blend H2 (RSD)</v>
      </c>
      <c r="E14" s="46" t="s">
        <v>12</v>
      </c>
      <c r="K14" s="46" t="s">
        <v>75</v>
      </c>
      <c r="L14" s="46" t="str">
        <f>"FT-"&amp;Legend!B70</f>
        <v>FT-RSDLPG</v>
      </c>
      <c r="M14" s="46" t="str">
        <f>Legend!$C$4&amp;" fuel Tech: "&amp;Legend!A70</f>
        <v>RSD fuel Tech: LPG</v>
      </c>
      <c r="N14" s="46" t="s">
        <v>12</v>
      </c>
      <c r="O14" s="46" t="s">
        <v>185</v>
      </c>
    </row>
    <row r="15" spans="2:18" s="46" customFormat="1" x14ac:dyDescent="0.25">
      <c r="B15" s="46" t="s">
        <v>68</v>
      </c>
      <c r="C15" s="49" t="str">
        <f>Legend!B77</f>
        <v>RSDEFUM</v>
      </c>
      <c r="D15" s="49" t="str">
        <f>Legend!A77&amp;" ("&amp;Legend!$C$4&amp;")"</f>
        <v>Synthetic methane (RSD)</v>
      </c>
      <c r="E15" s="46" t="s">
        <v>12</v>
      </c>
      <c r="K15" s="46" t="s">
        <v>75</v>
      </c>
      <c r="L15" s="46" t="str">
        <f>"FT-"&amp;Legend!B71</f>
        <v>FT-RSDGAS</v>
      </c>
      <c r="M15" s="46" t="str">
        <f>Legend!$C$4&amp;" fuel Tech: "&amp;Legend!A71</f>
        <v>RSD fuel Tech: Natural gas</v>
      </c>
      <c r="N15" s="46" t="s">
        <v>12</v>
      </c>
      <c r="O15" s="46" t="s">
        <v>185</v>
      </c>
    </row>
    <row r="16" spans="2:18" s="46" customFormat="1" x14ac:dyDescent="0.25">
      <c r="B16" s="46" t="s">
        <v>68</v>
      </c>
      <c r="C16" s="49" t="str">
        <f>Legend!B69</f>
        <v>RSDBLQ</v>
      </c>
      <c r="D16" s="49" t="str">
        <f>Legend!A69&amp;" ("&amp;Legend!$C$4&amp;")"</f>
        <v>Liquid biofuels (RSD)</v>
      </c>
      <c r="E16" s="46" t="s">
        <v>12</v>
      </c>
      <c r="K16" s="46" t="s">
        <v>75</v>
      </c>
      <c r="L16" s="46" t="str">
        <f>"FT-"&amp;Legend!B72</f>
        <v>FT-RSDGAM</v>
      </c>
      <c r="M16" s="46" t="str">
        <f>Legend!$C$4&amp;" fuel Tech: "&amp;Legend!A72</f>
        <v>RSD fuel Tech: Manufactured gas</v>
      </c>
      <c r="N16" s="46" t="s">
        <v>12</v>
      </c>
      <c r="O16" s="46" t="s">
        <v>185</v>
      </c>
    </row>
    <row r="17" spans="2:18" s="46" customFormat="1" x14ac:dyDescent="0.25">
      <c r="B17" s="46" t="s">
        <v>68</v>
      </c>
      <c r="C17" s="49" t="str">
        <f>Legend!B70</f>
        <v>RSDLPG</v>
      </c>
      <c r="D17" s="49" t="str">
        <f>Legend!A70&amp;" ("&amp;Legend!$C$4&amp;")"</f>
        <v>LPG (RSD)</v>
      </c>
      <c r="E17" s="46" t="s">
        <v>12</v>
      </c>
      <c r="K17" s="46" t="s">
        <v>75</v>
      </c>
      <c r="L17" s="46" t="str">
        <f>"FT-"&amp;Legend!B73</f>
        <v>FT-RSDOIL</v>
      </c>
      <c r="M17" s="46" t="str">
        <f>Legend!$C$4&amp;" fuel Tech: "&amp;Legend!A73</f>
        <v>RSD fuel Tech: Oil</v>
      </c>
      <c r="N17" s="46" t="s">
        <v>12</v>
      </c>
      <c r="O17" s="46" t="s">
        <v>185</v>
      </c>
    </row>
    <row r="18" spans="2:18" s="46" customFormat="1" x14ac:dyDescent="0.25">
      <c r="B18" s="46" t="s">
        <v>68</v>
      </c>
      <c r="C18" s="49" t="str">
        <f>Legend!B71</f>
        <v>RSDGAS</v>
      </c>
      <c r="D18" s="49" t="str">
        <f>Legend!A71&amp;" ("&amp;Legend!$C$4&amp;")"</f>
        <v>Natural gas (RSD)</v>
      </c>
      <c r="E18" s="46" t="s">
        <v>12</v>
      </c>
      <c r="K18" s="46" t="s">
        <v>75</v>
      </c>
      <c r="L18" s="46" t="str">
        <f>"FT-"&amp;Legend!B74</f>
        <v>FT-RSDSOL</v>
      </c>
      <c r="M18" s="46" t="str">
        <f>Legend!$C$4&amp;" fuel Tech: "&amp;Legend!A74</f>
        <v>RSD fuel Tech: Solar</v>
      </c>
      <c r="N18" s="46" t="s">
        <v>12</v>
      </c>
      <c r="O18" s="46" t="s">
        <v>185</v>
      </c>
    </row>
    <row r="19" spans="2:18" s="46" customFormat="1" x14ac:dyDescent="0.25">
      <c r="B19" s="46" t="s">
        <v>68</v>
      </c>
      <c r="C19" s="49" t="str">
        <f>Legend!B72</f>
        <v>RSDGAM</v>
      </c>
      <c r="D19" s="49" t="str">
        <f>Legend!A72&amp;" ("&amp;Legend!$C$4&amp;")"</f>
        <v>Manufactured gas (RSD)</v>
      </c>
      <c r="E19" s="46" t="s">
        <v>12</v>
      </c>
      <c r="K19" s="198" t="s">
        <v>296</v>
      </c>
      <c r="L19" s="226"/>
      <c r="M19" s="198"/>
      <c r="N19" s="198"/>
      <c r="O19" s="198"/>
      <c r="P19" s="198"/>
      <c r="Q19" s="198"/>
      <c r="R19" s="198"/>
    </row>
    <row r="20" spans="2:18" s="46" customFormat="1" x14ac:dyDescent="0.25">
      <c r="B20" s="46" t="s">
        <v>68</v>
      </c>
      <c r="C20" s="49" t="str">
        <f>Legend!B73</f>
        <v>RSDOIL</v>
      </c>
      <c r="D20" s="49" t="str">
        <f>Legend!A73&amp;" ("&amp;Legend!$C$4&amp;")"</f>
        <v>Oil (RSD)</v>
      </c>
      <c r="E20" s="46" t="s">
        <v>12</v>
      </c>
      <c r="K20" s="46" t="s">
        <v>74</v>
      </c>
      <c r="L20" s="46" t="str">
        <f>'RSD_BY Techs'!I6</f>
        <v>R-THL-STV_BIO00</v>
      </c>
      <c r="M20" s="46" t="str">
        <f>'RSD_BY Techs'!J6</f>
        <v>RSD Thermal uses technology: Biomass - Existing</v>
      </c>
      <c r="N20" s="46" t="str">
        <f>'Key Inputs_BY Techs'!F60</f>
        <v>PJ</v>
      </c>
      <c r="O20" s="46" t="str">
        <f>'Key Inputs_BY Techs'!F111</f>
        <v>GW</v>
      </c>
    </row>
    <row r="21" spans="2:18" s="46" customFormat="1" x14ac:dyDescent="0.25">
      <c r="B21" s="46" t="s">
        <v>68</v>
      </c>
      <c r="C21" s="49" t="str">
        <f>Legend!B74</f>
        <v>RSDSOL</v>
      </c>
      <c r="D21" s="49" t="str">
        <f>Legend!A74&amp;" ("&amp;Legend!$C$4&amp;")"</f>
        <v>Solar (RSD)</v>
      </c>
      <c r="E21" s="46" t="s">
        <v>12</v>
      </c>
      <c r="K21" s="46" t="s">
        <v>74</v>
      </c>
      <c r="L21" s="46" t="str">
        <f>'RSD_BY Techs'!I7</f>
        <v>R-THL-STV_COA00</v>
      </c>
      <c r="M21" s="46" t="str">
        <f>'RSD_BY Techs'!J7</f>
        <v>RSD Thermal uses technology: Coal - Existing</v>
      </c>
      <c r="N21" s="46" t="str">
        <f>'Key Inputs_BY Techs'!F61</f>
        <v>PJ</v>
      </c>
      <c r="O21" s="46" t="str">
        <f>'Key Inputs_BY Techs'!F112</f>
        <v>GW</v>
      </c>
    </row>
    <row r="22" spans="2:18" s="46" customFormat="1" x14ac:dyDescent="0.25">
      <c r="B22" s="78" t="s">
        <v>79</v>
      </c>
      <c r="C22" s="78"/>
      <c r="D22" s="79"/>
      <c r="E22" s="79"/>
      <c r="F22" s="79"/>
      <c r="G22" s="79"/>
      <c r="H22" s="79"/>
      <c r="I22" s="79"/>
      <c r="K22" s="46" t="s">
        <v>74</v>
      </c>
      <c r="L22" s="46" t="str">
        <f>'RSD_BY Techs'!I8</f>
        <v>R-THL-RST_ELC00</v>
      </c>
      <c r="M22" s="46" t="str">
        <f>'RSD_BY Techs'!J8</f>
        <v>RSD Thermal uses technology: Electricity - Existing</v>
      </c>
      <c r="N22" s="46" t="str">
        <f>'Key Inputs_BY Techs'!F62</f>
        <v>PJ</v>
      </c>
      <c r="O22" s="46" t="str">
        <f>'Key Inputs_BY Techs'!F113</f>
        <v>GW</v>
      </c>
    </row>
    <row r="23" spans="2:18" s="46" customFormat="1" x14ac:dyDescent="0.25">
      <c r="B23" s="46" t="s">
        <v>64</v>
      </c>
      <c r="C23" s="49" t="str">
        <f>"R-"&amp;Legend!B46</f>
        <v>R-THL</v>
      </c>
      <c r="D23" s="49" t="str">
        <f>"Demand for "&amp;Legend!A46&amp;" ("&amp;Legend!$C$4&amp;")"</f>
        <v>Demand for Thermal uses in Low Thermal Energy Intensity Zone (RSD)</v>
      </c>
      <c r="E23" s="46" t="s">
        <v>12</v>
      </c>
      <c r="K23" s="46" t="s">
        <v>74</v>
      </c>
      <c r="L23" s="46" t="str">
        <f>'RSD_BY Techs'!I9</f>
        <v>R-THL-HPA_ELC00</v>
      </c>
      <c r="M23" s="46" t="str">
        <f>'RSD_BY Techs'!J9</f>
        <v>RSD Thermal uses technology: Electricity (Heat Pump) - Existing</v>
      </c>
      <c r="N23" s="46" t="str">
        <f>'Key Inputs_BY Techs'!F63</f>
        <v>PJ</v>
      </c>
      <c r="O23" s="46" t="str">
        <f>'Key Inputs_BY Techs'!F114</f>
        <v>GW</v>
      </c>
    </row>
    <row r="24" spans="2:18" s="46" customFormat="1" x14ac:dyDescent="0.25">
      <c r="B24" s="46" t="s">
        <v>64</v>
      </c>
      <c r="C24" s="49" t="str">
        <f>"R-"&amp;Legend!B47</f>
        <v>R-THH</v>
      </c>
      <c r="D24" s="49" t="str">
        <f>"Demand for "&amp;Legend!A47&amp;" ("&amp;Legend!$C$4&amp;")"</f>
        <v>Demand for Thermal uses in High Thermal Energy Intensity Zone (RSD)</v>
      </c>
      <c r="E24" s="46" t="s">
        <v>12</v>
      </c>
      <c r="K24" s="46" t="s">
        <v>74</v>
      </c>
      <c r="L24" s="46" t="str">
        <f>'RSD_BY Techs'!I10</f>
        <v>R-THL-BLR_GAS00</v>
      </c>
      <c r="M24" s="46" t="str">
        <f>'RSD_BY Techs'!J10</f>
        <v>RSD Thermal uses technology: Natural gas, Biogas, Manufactured gas - Existing</v>
      </c>
      <c r="N24" s="46" t="str">
        <f>'Key Inputs_BY Techs'!F64</f>
        <v>PJ</v>
      </c>
      <c r="O24" s="46" t="str">
        <f>'Key Inputs_BY Techs'!F115</f>
        <v>GW</v>
      </c>
    </row>
    <row r="25" spans="2:18" s="46" customFormat="1" x14ac:dyDescent="0.25">
      <c r="B25" s="46" t="s">
        <v>64</v>
      </c>
      <c r="C25" s="49" t="str">
        <f>"R-"&amp;Legend!B49</f>
        <v>R-ACL</v>
      </c>
      <c r="D25" s="49" t="str">
        <f>"Demand for "&amp;Legend!A49&amp;" ("&amp;Legend!$C$4&amp;")"</f>
        <v>Demand for Air conditioning in Low Thermal Energy Intensity Zone (RSD)</v>
      </c>
      <c r="E25" s="46" t="s">
        <v>12</v>
      </c>
      <c r="K25" s="46" t="s">
        <v>74</v>
      </c>
      <c r="L25" s="46" t="str">
        <f>'RSD_BY Techs'!I11</f>
        <v>R-THL-HEX_GEO00</v>
      </c>
      <c r="M25" s="46" t="str">
        <f>'RSD_BY Techs'!J11</f>
        <v>RSD Thermal uses technology: Geothermal - Existing</v>
      </c>
      <c r="N25" s="46" t="str">
        <f>'Key Inputs_BY Techs'!F65</f>
        <v>PJ</v>
      </c>
      <c r="O25" s="46" t="str">
        <f>'Key Inputs_BY Techs'!F116</f>
        <v>GW</v>
      </c>
    </row>
    <row r="26" spans="2:18" s="46" customFormat="1" x14ac:dyDescent="0.25">
      <c r="B26" s="46" t="s">
        <v>64</v>
      </c>
      <c r="C26" s="49" t="str">
        <f>"R-"&amp;Legend!B50</f>
        <v>R-ACH</v>
      </c>
      <c r="D26" s="49" t="str">
        <f>"Demand for "&amp;Legend!A50&amp;" ("&amp;Legend!$C$4&amp;")"</f>
        <v>Demand for Air conditioning in High Thermal Energy Intensity Zone (RSD)</v>
      </c>
      <c r="E26" s="46" t="s">
        <v>12</v>
      </c>
      <c r="K26" s="46" t="s">
        <v>74</v>
      </c>
      <c r="L26" s="46" t="str">
        <f>'RSD_BY Techs'!I12</f>
        <v>R-THL-HEX_HET00</v>
      </c>
      <c r="M26" s="46" t="str">
        <f>'RSD_BY Techs'!J12</f>
        <v>RSD Thermal uses technology: Heat - Existing</v>
      </c>
      <c r="N26" s="46" t="str">
        <f>'Key Inputs_BY Techs'!F66</f>
        <v>PJ</v>
      </c>
      <c r="O26" s="46" t="str">
        <f>'Key Inputs_BY Techs'!F117</f>
        <v>GW</v>
      </c>
    </row>
    <row r="27" spans="2:18" s="46" customFormat="1" x14ac:dyDescent="0.25">
      <c r="B27" s="46" t="s">
        <v>64</v>
      </c>
      <c r="C27" s="49" t="str">
        <f>"R-"&amp;Legend!B51</f>
        <v>R-CK</v>
      </c>
      <c r="D27" s="49" t="str">
        <f>"Demand for "&amp;Legend!A51&amp;" ("&amp;Legend!$C$4&amp;")"</f>
        <v>Demand for Cooking (RSD)</v>
      </c>
      <c r="E27" s="46" t="s">
        <v>12</v>
      </c>
      <c r="K27" s="46" t="s">
        <v>74</v>
      </c>
      <c r="L27" s="46" t="str">
        <f>'RSD_BY Techs'!I13</f>
        <v>R-THL-BLR_LPG00</v>
      </c>
      <c r="M27" s="46" t="str">
        <f>'RSD_BY Techs'!J13</f>
        <v>RSD Thermal uses technology: LPG - Existing</v>
      </c>
      <c r="N27" s="46" t="str">
        <f>'Key Inputs_BY Techs'!F67</f>
        <v>PJ</v>
      </c>
      <c r="O27" s="46" t="str">
        <f>'Key Inputs_BY Techs'!F118</f>
        <v>GW</v>
      </c>
    </row>
    <row r="28" spans="2:18" s="46" customFormat="1" x14ac:dyDescent="0.25">
      <c r="B28" s="46" t="s">
        <v>64</v>
      </c>
      <c r="C28" s="49" t="str">
        <f>"R-"&amp;Legend!B52</f>
        <v>R-LIG</v>
      </c>
      <c r="D28" s="49" t="str">
        <f>"Demand for "&amp;Legend!A52&amp;" ("&amp;Legend!$C$4&amp;")"</f>
        <v>Demand for Lighting (RSD)</v>
      </c>
      <c r="E28" s="46" t="s">
        <v>178</v>
      </c>
      <c r="K28" s="46" t="s">
        <v>74</v>
      </c>
      <c r="L28" s="46" t="str">
        <f>'RSD_BY Techs'!I14</f>
        <v>R-THL-BLR_OIL00</v>
      </c>
      <c r="M28" s="46" t="str">
        <f>'RSD_BY Techs'!J14</f>
        <v>RSD Thermal uses technology: Oil, Liquid biofuels - Existing</v>
      </c>
      <c r="N28" s="46" t="str">
        <f>'Key Inputs_BY Techs'!F68</f>
        <v>PJ</v>
      </c>
      <c r="O28" s="46" t="str">
        <f>'Key Inputs_BY Techs'!F119</f>
        <v>GW</v>
      </c>
    </row>
    <row r="29" spans="2:18" s="46" customFormat="1" x14ac:dyDescent="0.25">
      <c r="B29" s="46" t="s">
        <v>64</v>
      </c>
      <c r="C29" s="49" t="str">
        <f>"R-"&amp;Legend!B53</f>
        <v>R-EAP</v>
      </c>
      <c r="D29" s="49" t="str">
        <f>"Demand for "&amp;Legend!A53&amp;" ("&amp;Legend!$C$4&amp;")"</f>
        <v>Demand for Electric Appliances (RSD)</v>
      </c>
      <c r="E29" s="46" t="s">
        <v>12</v>
      </c>
      <c r="K29" s="46" t="s">
        <v>74</v>
      </c>
      <c r="L29" s="46" t="str">
        <f>'RSD_BY Techs'!I15</f>
        <v>R-THL-HEX_SOL00</v>
      </c>
      <c r="M29" s="46" t="str">
        <f>'RSD_BY Techs'!J15</f>
        <v>RSD Thermal uses technology: Solar - Existing</v>
      </c>
      <c r="N29" s="46" t="str">
        <f>'Key Inputs_BY Techs'!F69</f>
        <v>PJ</v>
      </c>
      <c r="O29" s="46" t="str">
        <f>'Key Inputs_BY Techs'!F120</f>
        <v>GW</v>
      </c>
    </row>
    <row r="30" spans="2:18" s="46" customFormat="1" x14ac:dyDescent="0.25">
      <c r="B30" s="48" t="s">
        <v>64</v>
      </c>
      <c r="C30" s="80" t="str">
        <f>"R-"&amp;Legend!B54</f>
        <v>R-OTH</v>
      </c>
      <c r="D30" s="80" t="str">
        <f>"Demand for "&amp;Legend!A54&amp;" ("&amp;Legend!$C$4&amp;")"</f>
        <v>Demand for Other uses (RSD)</v>
      </c>
      <c r="E30" s="48" t="s">
        <v>12</v>
      </c>
      <c r="F30" s="48"/>
      <c r="G30" s="48"/>
      <c r="H30" s="48"/>
      <c r="I30" s="48"/>
      <c r="K30" s="46" t="s">
        <v>74</v>
      </c>
      <c r="L30" s="46" t="str">
        <f>'RSD_BY Techs'!I16</f>
        <v>R-THH-STV_BIO00</v>
      </c>
      <c r="M30" s="46" t="str">
        <f>'RSD_BY Techs'!J16</f>
        <v>RSD Thermal uses technology: Biomass - Existing</v>
      </c>
      <c r="N30" s="46" t="str">
        <f>'Key Inputs_BY Techs'!F70</f>
        <v>PJ</v>
      </c>
      <c r="O30" s="46" t="str">
        <f>'Key Inputs_BY Techs'!F121</f>
        <v>GW</v>
      </c>
    </row>
    <row r="31" spans="2:18" s="46" customFormat="1" x14ac:dyDescent="0.25">
      <c r="B31" s="52" t="s">
        <v>80</v>
      </c>
      <c r="C31" s="52"/>
      <c r="D31" s="53"/>
      <c r="E31" s="53"/>
      <c r="F31" s="53"/>
      <c r="G31" s="53"/>
      <c r="H31" s="53"/>
      <c r="I31" s="53"/>
      <c r="K31" s="46" t="s">
        <v>74</v>
      </c>
      <c r="L31" s="46" t="str">
        <f>'RSD_BY Techs'!I17</f>
        <v>R-THH-STV_COA00</v>
      </c>
      <c r="M31" s="46" t="str">
        <f>'RSD_BY Techs'!J17</f>
        <v>RSD Thermal uses technology: Coal - Existing</v>
      </c>
      <c r="N31" s="46" t="str">
        <f>'Key Inputs_BY Techs'!F71</f>
        <v>PJ</v>
      </c>
      <c r="O31" s="46" t="str">
        <f>'Key Inputs_BY Techs'!F122</f>
        <v>GW</v>
      </c>
    </row>
    <row r="32" spans="2:18" s="46" customFormat="1" x14ac:dyDescent="0.25">
      <c r="B32" s="46" t="s">
        <v>70</v>
      </c>
      <c r="C32" s="49" t="str">
        <f>Legend!B79</f>
        <v>RSDCO2e</v>
      </c>
      <c r="D32" s="49" t="str">
        <f>Legend!A79&amp;" emissions ("&amp;Legend!$C$4&amp;")"</f>
        <v>CO2eq emissions (RSD)</v>
      </c>
      <c r="E32" s="46" t="s">
        <v>73</v>
      </c>
      <c r="K32" s="46" t="s">
        <v>74</v>
      </c>
      <c r="L32" s="46" t="str">
        <f>'RSD_BY Techs'!I18</f>
        <v>R-THH-RST_ELC00</v>
      </c>
      <c r="M32" s="46" t="str">
        <f>'RSD_BY Techs'!J18</f>
        <v>RSD Thermal uses technology: Electricity - Existing</v>
      </c>
      <c r="N32" s="46" t="str">
        <f>'Key Inputs_BY Techs'!F72</f>
        <v>PJ</v>
      </c>
      <c r="O32" s="46" t="str">
        <f>'Key Inputs_BY Techs'!F123</f>
        <v>GW</v>
      </c>
    </row>
    <row r="33" spans="2:19" s="46" customFormat="1" x14ac:dyDescent="0.25">
      <c r="B33" s="46" t="s">
        <v>70</v>
      </c>
      <c r="C33" s="49" t="str">
        <f>Legend!B80</f>
        <v>RSDCO2</v>
      </c>
      <c r="D33" s="49" t="str">
        <f>Legend!A80&amp;" emissions ("&amp;Legend!$C$4&amp;")"</f>
        <v>CO2 emissions (RSD)</v>
      </c>
      <c r="E33" s="46" t="s">
        <v>73</v>
      </c>
      <c r="K33" s="46" t="s">
        <v>74</v>
      </c>
      <c r="L33" s="46" t="str">
        <f>'RSD_BY Techs'!I19</f>
        <v>R-THH-HPA_ELC00</v>
      </c>
      <c r="M33" s="46" t="str">
        <f>'RSD_BY Techs'!J19</f>
        <v>RSD Thermal uses technology: Electricity (Heat Pump) - Existing</v>
      </c>
      <c r="N33" s="46" t="str">
        <f>'Key Inputs_BY Techs'!F73</f>
        <v>PJ</v>
      </c>
      <c r="O33" s="46" t="str">
        <f>'Key Inputs_BY Techs'!F124</f>
        <v>GW</v>
      </c>
    </row>
    <row r="34" spans="2:19" s="46" customFormat="1" x14ac:dyDescent="0.25">
      <c r="B34" s="46" t="s">
        <v>70</v>
      </c>
      <c r="C34" s="49" t="str">
        <f>Legend!B81</f>
        <v>RSDCH4</v>
      </c>
      <c r="D34" s="49" t="str">
        <f>Legend!A81&amp;" emissions ("&amp;Legend!$C$4&amp;")"</f>
        <v>CH4 emissions (RSD)</v>
      </c>
      <c r="E34" s="46" t="s">
        <v>73</v>
      </c>
      <c r="K34" s="46" t="s">
        <v>74</v>
      </c>
      <c r="L34" s="46" t="str">
        <f>'RSD_BY Techs'!I20</f>
        <v>R-THH-BLR_GAS00</v>
      </c>
      <c r="M34" s="46" t="str">
        <f>'RSD_BY Techs'!J20</f>
        <v>RSD Thermal uses technology: Natural gas, Biogas, Manufactured gas - Existing</v>
      </c>
      <c r="N34" s="46" t="str">
        <f>'Key Inputs_BY Techs'!F74</f>
        <v>PJ</v>
      </c>
      <c r="O34" s="46" t="str">
        <f>'Key Inputs_BY Techs'!F125</f>
        <v>GW</v>
      </c>
    </row>
    <row r="35" spans="2:19" s="46" customFormat="1" x14ac:dyDescent="0.25">
      <c r="B35" s="48" t="s">
        <v>70</v>
      </c>
      <c r="C35" s="80" t="str">
        <f>Legend!B82</f>
        <v>RSDN2O</v>
      </c>
      <c r="D35" s="80" t="str">
        <f>Legend!A82&amp;" emissions ("&amp;Legend!$C$4&amp;")"</f>
        <v>N2O emissions (RSD)</v>
      </c>
      <c r="E35" s="48" t="s">
        <v>73</v>
      </c>
      <c r="F35" s="48"/>
      <c r="G35" s="48"/>
      <c r="H35" s="48"/>
      <c r="I35" s="48"/>
      <c r="K35" s="46" t="s">
        <v>74</v>
      </c>
      <c r="L35" s="46" t="str">
        <f>'RSD_BY Techs'!I21</f>
        <v>R-THH-HEX_GEO00</v>
      </c>
      <c r="M35" s="46" t="str">
        <f>'RSD_BY Techs'!J21</f>
        <v>RSD Thermal uses technology: Geothermal - Existing</v>
      </c>
      <c r="N35" s="46" t="str">
        <f>'Key Inputs_BY Techs'!F75</f>
        <v>PJ</v>
      </c>
      <c r="O35" s="46" t="str">
        <f>'Key Inputs_BY Techs'!F126</f>
        <v>GW</v>
      </c>
    </row>
    <row r="36" spans="2:19" s="46" customFormat="1" x14ac:dyDescent="0.25">
      <c r="K36" s="46" t="s">
        <v>74</v>
      </c>
      <c r="L36" s="46" t="str">
        <f>'RSD_BY Techs'!I22</f>
        <v>R-THH-HEX_HET00</v>
      </c>
      <c r="M36" s="46" t="str">
        <f>'RSD_BY Techs'!J22</f>
        <v>RSD Thermal uses technology: Heat - Existing</v>
      </c>
      <c r="N36" s="46" t="str">
        <f>'Key Inputs_BY Techs'!F76</f>
        <v>PJ</v>
      </c>
      <c r="O36" s="46" t="str">
        <f>'Key Inputs_BY Techs'!F127</f>
        <v>GW</v>
      </c>
    </row>
    <row r="37" spans="2:19" s="46" customFormat="1" x14ac:dyDescent="0.25">
      <c r="K37" s="46" t="s">
        <v>74</v>
      </c>
      <c r="L37" s="46" t="str">
        <f>'RSD_BY Techs'!I23</f>
        <v>R-THH-BLR_LPG00</v>
      </c>
      <c r="M37" s="46" t="str">
        <f>'RSD_BY Techs'!J23</f>
        <v>RSD Thermal uses technology: LPG - Existing</v>
      </c>
      <c r="N37" s="46" t="str">
        <f>'Key Inputs_BY Techs'!F77</f>
        <v>PJ</v>
      </c>
      <c r="O37" s="46" t="str">
        <f>'Key Inputs_BY Techs'!F128</f>
        <v>GW</v>
      </c>
    </row>
    <row r="38" spans="2:19" s="46" customFormat="1" x14ac:dyDescent="0.25">
      <c r="K38" s="46" t="s">
        <v>74</v>
      </c>
      <c r="L38" s="46" t="str">
        <f>'RSD_BY Techs'!I24</f>
        <v>R-THH-BLR_OIL00</v>
      </c>
      <c r="M38" s="46" t="str">
        <f>'RSD_BY Techs'!J24</f>
        <v>RSD Thermal uses technology: Oil, Liquid biofuels - Existing</v>
      </c>
      <c r="N38" s="46" t="str">
        <f>'Key Inputs_BY Techs'!F78</f>
        <v>PJ</v>
      </c>
      <c r="O38" s="46" t="str">
        <f>'Key Inputs_BY Techs'!F129</f>
        <v>GW</v>
      </c>
    </row>
    <row r="39" spans="2:19" s="46" customFormat="1" x14ac:dyDescent="0.25">
      <c r="B39" s="3"/>
      <c r="C39" s="3"/>
      <c r="D39" s="3"/>
      <c r="E39" s="3"/>
      <c r="F39" s="3"/>
      <c r="G39" s="3"/>
      <c r="H39" s="3"/>
      <c r="I39" s="3"/>
      <c r="K39" s="46" t="s">
        <v>74</v>
      </c>
      <c r="L39" s="46" t="str">
        <f>'RSD_BY Techs'!I25</f>
        <v>R-THH-HEX_SOL00</v>
      </c>
      <c r="M39" s="46" t="str">
        <f>'RSD_BY Techs'!J25</f>
        <v>RSD Thermal uses technology: Solar - Existing</v>
      </c>
      <c r="N39" s="46" t="str">
        <f>'Key Inputs_BY Techs'!F79</f>
        <v>PJ</v>
      </c>
      <c r="O39" s="46" t="str">
        <f>'Key Inputs_BY Techs'!F130</f>
        <v>GW</v>
      </c>
    </row>
    <row r="40" spans="2:19" s="46" customFormat="1" x14ac:dyDescent="0.25">
      <c r="B40" s="3"/>
      <c r="C40" s="3"/>
      <c r="D40" s="3"/>
      <c r="E40" s="3"/>
      <c r="F40" s="3"/>
      <c r="G40" s="3"/>
      <c r="H40" s="3"/>
      <c r="I40" s="3"/>
      <c r="J40" s="3"/>
      <c r="K40" s="46" t="s">
        <v>74</v>
      </c>
      <c r="L40" s="46" t="str">
        <f>'RSD_BY Techs'!I26</f>
        <v>R-ACL_GAS00</v>
      </c>
      <c r="M40" s="46" t="str">
        <f>'RSD_BY Techs'!J26</f>
        <v>RSD Air conditioning technology: Natural gas, Biogas, Manufactured gas - Existing</v>
      </c>
      <c r="N40" s="46" t="str">
        <f>'Key Inputs_BY Techs'!F80</f>
        <v>PJ</v>
      </c>
      <c r="O40" s="46" t="str">
        <f>'Key Inputs_BY Techs'!F131</f>
        <v>GW</v>
      </c>
      <c r="S40" s="3"/>
    </row>
    <row r="41" spans="2:19" s="46" customFormat="1" x14ac:dyDescent="0.25">
      <c r="B41" s="3"/>
      <c r="C41" s="3"/>
      <c r="D41" s="3"/>
      <c r="E41" s="3"/>
      <c r="F41" s="3"/>
      <c r="G41" s="3"/>
      <c r="H41" s="3"/>
      <c r="I41" s="3"/>
      <c r="J41" s="3"/>
      <c r="K41" s="46" t="s">
        <v>74</v>
      </c>
      <c r="L41" s="46" t="str">
        <f>'RSD_BY Techs'!I27</f>
        <v>R-ACL_ELC00</v>
      </c>
      <c r="M41" s="46" t="str">
        <f>'RSD_BY Techs'!J27</f>
        <v>RSD Air conditioning technology: Electricity - Existing</v>
      </c>
      <c r="N41" s="46" t="str">
        <f>'Key Inputs_BY Techs'!F81</f>
        <v>PJ</v>
      </c>
      <c r="O41" s="46" t="str">
        <f>'Key Inputs_BY Techs'!F132</f>
        <v>GW</v>
      </c>
      <c r="S41" s="3"/>
    </row>
    <row r="42" spans="2:19" s="46" customFormat="1" x14ac:dyDescent="0.25">
      <c r="B42" s="3"/>
      <c r="C42" s="3"/>
      <c r="D42" s="3"/>
      <c r="E42" s="3"/>
      <c r="F42" s="3"/>
      <c r="G42" s="3"/>
      <c r="H42" s="3"/>
      <c r="I42" s="3"/>
      <c r="J42" s="3"/>
      <c r="K42" s="46" t="s">
        <v>74</v>
      </c>
      <c r="L42" s="46" t="str">
        <f>'RSD_BY Techs'!I28</f>
        <v>R-ACH_GAS00</v>
      </c>
      <c r="M42" s="46" t="str">
        <f>'RSD_BY Techs'!J28</f>
        <v>RSD Air conditioning technology: Natural gas, Biogas, Manufactured gas - Existing</v>
      </c>
      <c r="N42" s="46" t="str">
        <f>'Key Inputs_BY Techs'!F82</f>
        <v>PJ</v>
      </c>
      <c r="O42" s="46" t="str">
        <f>'Key Inputs_BY Techs'!F133</f>
        <v>GW</v>
      </c>
      <c r="S42" s="3"/>
    </row>
    <row r="43" spans="2:19" s="46" customFormat="1" x14ac:dyDescent="0.25">
      <c r="B43" s="3"/>
      <c r="C43" s="3"/>
      <c r="D43" s="3"/>
      <c r="E43" s="3"/>
      <c r="F43" s="3"/>
      <c r="G43" s="3"/>
      <c r="H43" s="3"/>
      <c r="I43" s="3"/>
      <c r="J43" s="3"/>
      <c r="K43" s="46" t="s">
        <v>74</v>
      </c>
      <c r="L43" s="46" t="str">
        <f>'RSD_BY Techs'!I29</f>
        <v>R-ACH_ELC00</v>
      </c>
      <c r="M43" s="46" t="str">
        <f>'RSD_BY Techs'!J29</f>
        <v>RSD Air conditioning technology: Electricity - Existing</v>
      </c>
      <c r="N43" s="46" t="str">
        <f>'Key Inputs_BY Techs'!F83</f>
        <v>PJ</v>
      </c>
      <c r="O43" s="46" t="str">
        <f>'Key Inputs_BY Techs'!F134</f>
        <v>GW</v>
      </c>
      <c r="S43" s="3"/>
    </row>
    <row r="44" spans="2:19" x14ac:dyDescent="0.25">
      <c r="K44" s="46" t="s">
        <v>74</v>
      </c>
      <c r="L44" s="46" t="str">
        <f>'RSD_BY Techs'!I30</f>
        <v>R-CK_BIO00</v>
      </c>
      <c r="M44" s="46" t="str">
        <f>'RSD_BY Techs'!J30</f>
        <v>RSD Cooking technology: Biomass - Existing</v>
      </c>
      <c r="N44" s="46" t="str">
        <f>'Key Inputs_BY Techs'!F84</f>
        <v>PJ</v>
      </c>
      <c r="O44" s="46" t="str">
        <f>'Key Inputs_BY Techs'!F135</f>
        <v>GW</v>
      </c>
      <c r="P44" s="46"/>
      <c r="Q44" s="46"/>
      <c r="R44" s="46"/>
    </row>
    <row r="45" spans="2:19" x14ac:dyDescent="0.25">
      <c r="K45" s="46" t="s">
        <v>74</v>
      </c>
      <c r="L45" s="46" t="str">
        <f>'RSD_BY Techs'!I31</f>
        <v>R-CK_COA00</v>
      </c>
      <c r="M45" s="46" t="str">
        <f>'RSD_BY Techs'!J31</f>
        <v>RSD Cooking technology: Coal - Existing</v>
      </c>
      <c r="N45" s="46" t="str">
        <f>'Key Inputs_BY Techs'!F85</f>
        <v>PJ</v>
      </c>
      <c r="O45" s="46" t="str">
        <f>'Key Inputs_BY Techs'!F136</f>
        <v>GW</v>
      </c>
      <c r="P45" s="46"/>
      <c r="Q45" s="46"/>
      <c r="R45" s="46"/>
    </row>
    <row r="46" spans="2:19" x14ac:dyDescent="0.25">
      <c r="K46" s="46" t="s">
        <v>74</v>
      </c>
      <c r="L46" s="46" t="str">
        <f>'RSD_BY Techs'!I32</f>
        <v>R-CK_ELC00</v>
      </c>
      <c r="M46" s="46" t="str">
        <f>'RSD_BY Techs'!J32</f>
        <v>RSD Cooking technology: Electricity - Existing</v>
      </c>
      <c r="N46" s="46" t="str">
        <f>'Key Inputs_BY Techs'!F86</f>
        <v>PJ</v>
      </c>
      <c r="O46" s="46" t="str">
        <f>'Key Inputs_BY Techs'!F137</f>
        <v>GW</v>
      </c>
      <c r="P46" s="46"/>
      <c r="Q46" s="46"/>
      <c r="R46" s="46"/>
    </row>
    <row r="47" spans="2:19" x14ac:dyDescent="0.25">
      <c r="K47" s="46" t="s">
        <v>74</v>
      </c>
      <c r="L47" s="46" t="str">
        <f>'RSD_BY Techs'!I33</f>
        <v>R-CK_GAS00</v>
      </c>
      <c r="M47" s="46" t="str">
        <f>'RSD_BY Techs'!J33</f>
        <v>RSD Cooking technology: Natural gas, Biogas, Manufactured gas - Existing</v>
      </c>
      <c r="N47" s="46" t="str">
        <f>'Key Inputs_BY Techs'!F87</f>
        <v>PJ</v>
      </c>
      <c r="O47" s="46" t="str">
        <f>'Key Inputs_BY Techs'!F138</f>
        <v>GW</v>
      </c>
      <c r="P47" s="46"/>
      <c r="Q47" s="46"/>
      <c r="R47" s="46"/>
    </row>
    <row r="48" spans="2:19" x14ac:dyDescent="0.25">
      <c r="K48" s="46" t="s">
        <v>74</v>
      </c>
      <c r="L48" s="46" t="str">
        <f>'RSD_BY Techs'!I34</f>
        <v>R-CK_LPG00</v>
      </c>
      <c r="M48" s="46" t="str">
        <f>'RSD_BY Techs'!J34</f>
        <v>RSD Cooking technology: LPG - Existing</v>
      </c>
      <c r="N48" s="46" t="str">
        <f>'Key Inputs_BY Techs'!F88</f>
        <v>PJ</v>
      </c>
      <c r="O48" s="46" t="str">
        <f>'Key Inputs_BY Techs'!F139</f>
        <v>GW</v>
      </c>
      <c r="P48" s="46"/>
      <c r="Q48" s="46"/>
      <c r="R48" s="46"/>
    </row>
    <row r="49" spans="11:18" x14ac:dyDescent="0.25">
      <c r="K49" s="46" t="s">
        <v>74</v>
      </c>
      <c r="L49" s="46" t="str">
        <f>'RSD_BY Techs'!I35</f>
        <v>R-CK_OIL00</v>
      </c>
      <c r="M49" s="46" t="str">
        <f>'RSD_BY Techs'!J35</f>
        <v>RSD Cooking technology: Oil, Liquid biofuels - Existing</v>
      </c>
      <c r="N49" s="46" t="str">
        <f>'Key Inputs_BY Techs'!F89</f>
        <v>PJ</v>
      </c>
      <c r="O49" s="46" t="str">
        <f>'Key Inputs_BY Techs'!F140</f>
        <v>GW</v>
      </c>
      <c r="P49" s="46"/>
      <c r="Q49" s="46"/>
      <c r="R49" s="46"/>
    </row>
    <row r="50" spans="11:18" x14ac:dyDescent="0.25">
      <c r="K50" s="46" t="s">
        <v>74</v>
      </c>
      <c r="L50" s="46" t="str">
        <f>'RSD_BY Techs'!I36</f>
        <v>R-CK_SOL00</v>
      </c>
      <c r="M50" s="46" t="str">
        <f>'RSD_BY Techs'!J36</f>
        <v>RSD Cooking technology: Solar - Existing</v>
      </c>
      <c r="N50" s="46" t="str">
        <f>'Key Inputs_BY Techs'!F90</f>
        <v>PJ</v>
      </c>
      <c r="O50" s="46" t="str">
        <f>'Key Inputs_BY Techs'!F141</f>
        <v>GW</v>
      </c>
      <c r="P50" s="46"/>
      <c r="Q50" s="46"/>
      <c r="R50" s="46"/>
    </row>
    <row r="51" spans="11:18" x14ac:dyDescent="0.25">
      <c r="K51" s="46" t="s">
        <v>74</v>
      </c>
      <c r="L51" s="46" t="str">
        <f>'RSD_BY Techs'!I37</f>
        <v>R-LIG_ELC00</v>
      </c>
      <c r="M51" s="46" t="str">
        <f>'RSD_BY Techs'!J37</f>
        <v>RSD Lighting technology: Electricity - Existing</v>
      </c>
      <c r="N51" s="46" t="str">
        <f>'Key Inputs_BY Techs'!F91</f>
        <v>Munits</v>
      </c>
      <c r="O51" s="46" t="str">
        <f>'Key Inputs_BY Techs'!F142</f>
        <v>Munits-y</v>
      </c>
      <c r="P51" s="46"/>
      <c r="Q51" s="46"/>
      <c r="R51" s="46"/>
    </row>
    <row r="52" spans="11:18" x14ac:dyDescent="0.25">
      <c r="K52" s="46" t="s">
        <v>74</v>
      </c>
      <c r="L52" s="46" t="str">
        <f>'RSD_BY Techs'!I38</f>
        <v>R-EAP_ELC00</v>
      </c>
      <c r="M52" s="46" t="str">
        <f>'RSD_BY Techs'!J38</f>
        <v>RSD Electric Appliances technology: Electricity - Existing</v>
      </c>
      <c r="N52" s="46" t="str">
        <f>'Key Inputs_BY Techs'!F92</f>
        <v>PJ</v>
      </c>
      <c r="O52" s="46" t="str">
        <f>'Key Inputs_BY Techs'!F143</f>
        <v>GW</v>
      </c>
      <c r="P52" s="46"/>
      <c r="Q52" s="46"/>
      <c r="R52" s="46"/>
    </row>
    <row r="53" spans="11:18" x14ac:dyDescent="0.25">
      <c r="K53" s="48" t="s">
        <v>74</v>
      </c>
      <c r="L53" s="48" t="str">
        <f>'RSD_BY Techs'!I39</f>
        <v>R-OTH_00</v>
      </c>
      <c r="M53" s="48" t="str">
        <f>'RSD_BY Techs'!J39</f>
        <v>RSD Other uses - Existing</v>
      </c>
      <c r="N53" s="46" t="str">
        <f>'Key Inputs_BY Techs'!F93</f>
        <v>PJ</v>
      </c>
      <c r="O53" s="46" t="str">
        <f>'Key Inputs_BY Techs'!F144</f>
        <v>PJ-y</v>
      </c>
      <c r="P53" s="46"/>
      <c r="Q53" s="48"/>
      <c r="R53" s="48"/>
    </row>
    <row r="54" spans="11:18" x14ac:dyDescent="0.25">
      <c r="K54" s="6" t="s">
        <v>295</v>
      </c>
      <c r="L54" s="117"/>
      <c r="M54" s="117"/>
      <c r="N54" s="117"/>
      <c r="O54" s="117"/>
      <c r="P54" s="117"/>
      <c r="Q54" s="117"/>
      <c r="R54" s="117"/>
    </row>
    <row r="55" spans="11:18" x14ac:dyDescent="0.25">
      <c r="K55" s="133" t="s">
        <v>74</v>
      </c>
      <c r="L55" s="110" t="str">
        <f>'RSD_New Techs'!K6</f>
        <v>R-THL-STV_BIO01</v>
      </c>
      <c r="M55" s="110" t="str">
        <f>'RSD_New Techs'!L6</f>
        <v>RSD Thermal uses technology: Biomass Wood Stove (Ord.) -New</v>
      </c>
      <c r="N55" s="110" t="str">
        <f>IF('RSD_New Techs'!$E6="","","PJ")</f>
        <v>PJ</v>
      </c>
      <c r="O55" s="110" t="str">
        <f>IF('RSD_New Techs'!$E6="","","GW")</f>
        <v>GW</v>
      </c>
      <c r="P55" s="110"/>
      <c r="Q55" s="110"/>
      <c r="R55" s="293" t="s">
        <v>401</v>
      </c>
    </row>
    <row r="56" spans="11:18" x14ac:dyDescent="0.25">
      <c r="K56" s="133" t="s">
        <v>74</v>
      </c>
      <c r="L56" s="110" t="str">
        <f>'RSD_New Techs'!K7</f>
        <v>R-THL-STV_BIO02</v>
      </c>
      <c r="M56" s="110" t="str">
        <f>'RSD_New Techs'!L7</f>
        <v>RSD Thermal uses technology: Biomass Wood Stove (Imp.) -New</v>
      </c>
      <c r="N56" s="110" t="str">
        <f>IF('RSD_New Techs'!$E7="","","PJ")</f>
        <v>PJ</v>
      </c>
      <c r="O56" s="110" t="str">
        <f>IF('RSD_New Techs'!$E7="","","GW")</f>
        <v>GW</v>
      </c>
      <c r="P56" s="110"/>
      <c r="Q56" s="110"/>
      <c r="R56" s="110" t="s">
        <v>401</v>
      </c>
    </row>
    <row r="57" spans="11:18" x14ac:dyDescent="0.25">
      <c r="K57" s="133" t="s">
        <v>74</v>
      </c>
      <c r="L57" s="110" t="str">
        <f>'RSD_New Techs'!K8</f>
        <v>R-THL-STV_BIO03</v>
      </c>
      <c r="M57" s="110" t="str">
        <f>'RSD_New Techs'!L8</f>
        <v>RSD Thermal uses technology: Biomass Wood Stove (Adv.)) -New</v>
      </c>
      <c r="N57" s="110" t="str">
        <f>IF('RSD_New Techs'!$E8="","","PJ")</f>
        <v>PJ</v>
      </c>
      <c r="O57" s="110" t="str">
        <f>IF('RSD_New Techs'!$E8="","","GW")</f>
        <v>GW</v>
      </c>
      <c r="P57" s="110"/>
      <c r="Q57" s="110"/>
      <c r="R57" s="110" t="s">
        <v>401</v>
      </c>
    </row>
    <row r="58" spans="11:18" x14ac:dyDescent="0.25">
      <c r="K58" s="133" t="s">
        <v>74</v>
      </c>
      <c r="L58" s="110" t="str">
        <f>'RSD_New Techs'!K9</f>
        <v>R-THL-HPA_ELC01</v>
      </c>
      <c r="M58" s="110" t="str">
        <f>'RSD_New Techs'!L9</f>
        <v>RSD Thermal uses technology: Electricity Heat Pump Air (Ord.) -New</v>
      </c>
      <c r="N58" s="110" t="str">
        <f>IF('RSD_New Techs'!$E9="","","PJ")</f>
        <v>PJ</v>
      </c>
      <c r="O58" s="110" t="str">
        <f>IF('RSD_New Techs'!$E9="","","GW")</f>
        <v>GW</v>
      </c>
      <c r="P58" s="110"/>
      <c r="Q58" s="110"/>
      <c r="R58" s="110" t="s">
        <v>401</v>
      </c>
    </row>
    <row r="59" spans="11:18" x14ac:dyDescent="0.25">
      <c r="K59" s="133" t="s">
        <v>74</v>
      </c>
      <c r="L59" s="110" t="str">
        <f>'RSD_New Techs'!K10</f>
        <v>R-THL-HPA_ELC02</v>
      </c>
      <c r="M59" s="110" t="str">
        <f>'RSD_New Techs'!L10</f>
        <v>RSD Thermal uses technology: Electricity Heat Pump Air (Imp.) -New</v>
      </c>
      <c r="N59" s="110" t="str">
        <f>IF('RSD_New Techs'!$E10="","","PJ")</f>
        <v>PJ</v>
      </c>
      <c r="O59" s="110" t="str">
        <f>IF('RSD_New Techs'!$E10="","","GW")</f>
        <v>GW</v>
      </c>
      <c r="P59" s="110"/>
      <c r="Q59" s="110"/>
      <c r="R59" s="110" t="s">
        <v>401</v>
      </c>
    </row>
    <row r="60" spans="11:18" x14ac:dyDescent="0.25">
      <c r="K60" s="133" t="s">
        <v>74</v>
      </c>
      <c r="L60" s="110" t="str">
        <f>'RSD_New Techs'!K11</f>
        <v>R-THL-HPA_ELC03</v>
      </c>
      <c r="M60" s="110" t="str">
        <f>'RSD_New Techs'!L11</f>
        <v>RSD Thermal uses technology: Electricity Heat Pump Air (Adv.) -New</v>
      </c>
      <c r="N60" s="110" t="str">
        <f>IF('RSD_New Techs'!$E11="","","PJ")</f>
        <v>PJ</v>
      </c>
      <c r="O60" s="110" t="str">
        <f>IF('RSD_New Techs'!$E11="","","GW")</f>
        <v>GW</v>
      </c>
      <c r="P60" s="110"/>
      <c r="Q60" s="110"/>
      <c r="R60" s="110" t="s">
        <v>401</v>
      </c>
    </row>
    <row r="61" spans="11:18" x14ac:dyDescent="0.25">
      <c r="K61" s="133" t="s">
        <v>74</v>
      </c>
      <c r="L61" s="110" t="str">
        <f>'RSD_New Techs'!K12</f>
        <v>R-THL-HPA_ELC04</v>
      </c>
      <c r="M61" s="110" t="str">
        <f>'RSD_New Techs'!L12</f>
        <v>RSD Thermal uses technology: Electricity Heat Pump Wat. (Ord.) -New</v>
      </c>
      <c r="N61" s="110" t="str">
        <f>IF('RSD_New Techs'!$E12="","","PJ")</f>
        <v>PJ</v>
      </c>
      <c r="O61" s="110" t="str">
        <f>IF('RSD_New Techs'!$E12="","","GW")</f>
        <v>GW</v>
      </c>
      <c r="P61" s="110"/>
      <c r="Q61" s="110"/>
      <c r="R61" s="110" t="s">
        <v>401</v>
      </c>
    </row>
    <row r="62" spans="11:18" x14ac:dyDescent="0.25">
      <c r="K62" s="133" t="s">
        <v>74</v>
      </c>
      <c r="L62" s="110" t="str">
        <f>'RSD_New Techs'!K13</f>
        <v>R-THL-HPA_ELC05</v>
      </c>
      <c r="M62" s="110" t="str">
        <f>'RSD_New Techs'!L13</f>
        <v>RSD Thermal uses technology: Electricity Heat Pump Wat. (Imp.) -New</v>
      </c>
      <c r="N62" s="110" t="str">
        <f>IF('RSD_New Techs'!$E13="","","PJ")</f>
        <v>PJ</v>
      </c>
      <c r="O62" s="110" t="str">
        <f>IF('RSD_New Techs'!$E13="","","GW")</f>
        <v>GW</v>
      </c>
      <c r="P62" s="110"/>
      <c r="Q62" s="110"/>
      <c r="R62" s="110" t="s">
        <v>401</v>
      </c>
    </row>
    <row r="63" spans="11:18" x14ac:dyDescent="0.25">
      <c r="K63" s="133" t="s">
        <v>74</v>
      </c>
      <c r="L63" s="110" t="str">
        <f>'RSD_New Techs'!K14</f>
        <v>R-THL-HPA_ELC06</v>
      </c>
      <c r="M63" s="110" t="str">
        <f>'RSD_New Techs'!L14</f>
        <v>RSD Thermal uses technology: Electricity Heat Pump Wat. (Adv.) -New</v>
      </c>
      <c r="N63" s="110" t="str">
        <f>IF('RSD_New Techs'!$E14="","","PJ")</f>
        <v>PJ</v>
      </c>
      <c r="O63" s="110" t="str">
        <f>IF('RSD_New Techs'!$E14="","","GW")</f>
        <v>GW</v>
      </c>
      <c r="P63" s="110"/>
      <c r="Q63" s="110"/>
      <c r="R63" s="110" t="s">
        <v>401</v>
      </c>
    </row>
    <row r="64" spans="11:18" x14ac:dyDescent="0.25">
      <c r="K64" s="133" t="s">
        <v>74</v>
      </c>
      <c r="L64" s="110" t="str">
        <f>'RSD_New Techs'!K15</f>
        <v>R-THL-RST_ELC07</v>
      </c>
      <c r="M64" s="110" t="str">
        <f>'RSD_New Techs'!L15</f>
        <v>RSD Thermal uses technology: Electricity Electr. Resist. (Ord.) -New</v>
      </c>
      <c r="N64" s="110" t="str">
        <f>IF('RSD_New Techs'!$E15="","","PJ")</f>
        <v>PJ</v>
      </c>
      <c r="O64" s="110" t="str">
        <f>IF('RSD_New Techs'!$E15="","","GW")</f>
        <v>GW</v>
      </c>
      <c r="P64" s="110"/>
      <c r="Q64" s="110"/>
      <c r="R64" s="110" t="s">
        <v>401</v>
      </c>
    </row>
    <row r="65" spans="11:18" x14ac:dyDescent="0.25">
      <c r="K65" s="133" t="s">
        <v>74</v>
      </c>
      <c r="L65" s="110" t="str">
        <f>'RSD_New Techs'!K16</f>
        <v>R-THL-BLR_GAS01</v>
      </c>
      <c r="M65" s="110" t="str">
        <f>'RSD_New Techs'!L16</f>
        <v>RSD Thermal uses technology: Natural gas,Biogas Boiler (Ord.) -New</v>
      </c>
      <c r="N65" s="110" t="str">
        <f>IF('RSD_New Techs'!$E16="","","PJ")</f>
        <v>PJ</v>
      </c>
      <c r="O65" s="110" t="str">
        <f>IF('RSD_New Techs'!$E16="","","GW")</f>
        <v>GW</v>
      </c>
      <c r="P65" s="110"/>
      <c r="Q65" s="110"/>
      <c r="R65" s="110" t="s">
        <v>401</v>
      </c>
    </row>
    <row r="66" spans="11:18" x14ac:dyDescent="0.25">
      <c r="K66" s="133" t="s">
        <v>74</v>
      </c>
      <c r="L66" s="110" t="str">
        <f>'RSD_New Techs'!K17</f>
        <v>R-THL-BLR_GAS02</v>
      </c>
      <c r="M66" s="110" t="str">
        <f>'RSD_New Techs'!L17</f>
        <v>RSD Thermal uses technology: Natural gas,Biogas Boiler cond. (Ord.) -New</v>
      </c>
      <c r="N66" s="110" t="str">
        <f>IF('RSD_New Techs'!$E17="","","PJ")</f>
        <v>PJ</v>
      </c>
      <c r="O66" s="110" t="str">
        <f>IF('RSD_New Techs'!$E17="","","GW")</f>
        <v>GW</v>
      </c>
      <c r="P66" s="110"/>
      <c r="Q66" s="110"/>
      <c r="R66" s="110" t="s">
        <v>401</v>
      </c>
    </row>
    <row r="67" spans="11:18" x14ac:dyDescent="0.25">
      <c r="K67" s="133" t="s">
        <v>74</v>
      </c>
      <c r="L67" s="110" t="str">
        <f>'RSD_New Techs'!K18</f>
        <v>R-THL-BLR_GAS03</v>
      </c>
      <c r="M67" s="110" t="str">
        <f>'RSD_New Techs'!L18</f>
        <v>RSD Thermal uses technology: Natural gas,Biogas Boiler (Imp.) -New</v>
      </c>
      <c r="N67" s="110" t="str">
        <f>IF('RSD_New Techs'!$E18="","","PJ")</f>
        <v>PJ</v>
      </c>
      <c r="O67" s="110" t="str">
        <f>IF('RSD_New Techs'!$E18="","","GW")</f>
        <v>GW</v>
      </c>
      <c r="P67" s="110"/>
      <c r="Q67" s="110"/>
      <c r="R67" s="110" t="s">
        <v>401</v>
      </c>
    </row>
    <row r="68" spans="11:18" x14ac:dyDescent="0.25">
      <c r="K68" s="133" t="s">
        <v>74</v>
      </c>
      <c r="L68" s="110" t="str">
        <f>'RSD_New Techs'!K19</f>
        <v>R-THL-BLR_GAS04</v>
      </c>
      <c r="M68" s="110" t="str">
        <f>'RSD_New Techs'!L19</f>
        <v>RSD Thermal uses technology: Natural gas,Biogas Boiler cond. (Imp.) -New</v>
      </c>
      <c r="N68" s="110" t="str">
        <f>IF('RSD_New Techs'!$E19="","","PJ")</f>
        <v>PJ</v>
      </c>
      <c r="O68" s="110" t="str">
        <f>IF('RSD_New Techs'!$E19="","","GW")</f>
        <v>GW</v>
      </c>
      <c r="P68" s="110"/>
      <c r="Q68" s="110"/>
      <c r="R68" s="110" t="s">
        <v>401</v>
      </c>
    </row>
    <row r="69" spans="11:18" x14ac:dyDescent="0.25">
      <c r="K69" s="133" t="s">
        <v>74</v>
      </c>
      <c r="L69" s="110" t="str">
        <f>'RSD_New Techs'!K20</f>
        <v>R-THL-HPA_GAS05</v>
      </c>
      <c r="M69" s="110" t="str">
        <f>'RSD_New Techs'!L20</f>
        <v>RSD Thermal uses technology: Natural gas,Biogas Heat Pump (Ord.) -New</v>
      </c>
      <c r="N69" s="110" t="str">
        <f>IF('RSD_New Techs'!$E20="","","PJ")</f>
        <v>PJ</v>
      </c>
      <c r="O69" s="110" t="str">
        <f>IF('RSD_New Techs'!$E20="","","GW")</f>
        <v>GW</v>
      </c>
      <c r="P69" s="110"/>
      <c r="Q69" s="110"/>
      <c r="R69" s="110" t="s">
        <v>401</v>
      </c>
    </row>
    <row r="70" spans="11:18" x14ac:dyDescent="0.25">
      <c r="K70" s="133" t="s">
        <v>74</v>
      </c>
      <c r="L70" s="110" t="str">
        <f>'RSD_New Techs'!K21</f>
        <v>R-THL-HPA_GAS06</v>
      </c>
      <c r="M70" s="110" t="str">
        <f>'RSD_New Techs'!L21</f>
        <v>RSD Thermal uses technology: Natural gas,Biogas Heat Pump (Imp.) -New</v>
      </c>
      <c r="N70" s="110" t="str">
        <f>IF('RSD_New Techs'!$E21="","","PJ")</f>
        <v>PJ</v>
      </c>
      <c r="O70" s="110" t="str">
        <f>IF('RSD_New Techs'!$E21="","","GW")</f>
        <v>GW</v>
      </c>
      <c r="P70" s="110"/>
      <c r="Q70" s="110"/>
      <c r="R70" s="110" t="s">
        <v>401</v>
      </c>
    </row>
    <row r="71" spans="11:18" x14ac:dyDescent="0.25">
      <c r="K71" s="133" t="s">
        <v>74</v>
      </c>
      <c r="L71" s="110" t="str">
        <f>'RSD_New Techs'!K22</f>
        <v>R-THL-HPA_GAS07</v>
      </c>
      <c r="M71" s="110" t="str">
        <f>'RSD_New Techs'!L22</f>
        <v>RSD Thermal uses technology: Natural gas,Biogas Heat Pump (Adv.) -New</v>
      </c>
      <c r="N71" s="110" t="str">
        <f>IF('RSD_New Techs'!$E22="","","PJ")</f>
        <v>PJ</v>
      </c>
      <c r="O71" s="110" t="str">
        <f>IF('RSD_New Techs'!$E22="","","GW")</f>
        <v>GW</v>
      </c>
      <c r="P71" s="110"/>
      <c r="Q71" s="110"/>
      <c r="R71" s="110" t="s">
        <v>401</v>
      </c>
    </row>
    <row r="72" spans="11:18" x14ac:dyDescent="0.25">
      <c r="K72" s="133" t="s">
        <v>74</v>
      </c>
      <c r="L72" s="110" t="str">
        <f>'RSD_New Techs'!K23</f>
        <v>R-THL-HPG_ELC01</v>
      </c>
      <c r="M72" s="110" t="str">
        <f>'RSD_New Techs'!L23</f>
        <v>RSD Thermal uses technology: Electricity Ground Heat Pump (Ord.) -New</v>
      </c>
      <c r="N72" s="110" t="str">
        <f>IF('RSD_New Techs'!$E23="","","PJ")</f>
        <v>PJ</v>
      </c>
      <c r="O72" s="110" t="str">
        <f>IF('RSD_New Techs'!$E23="","","GW")</f>
        <v>GW</v>
      </c>
      <c r="P72" s="110"/>
      <c r="Q72" s="110"/>
      <c r="R72" s="110" t="s">
        <v>401</v>
      </c>
    </row>
    <row r="73" spans="11:18" x14ac:dyDescent="0.25">
      <c r="K73" s="133" t="s">
        <v>74</v>
      </c>
      <c r="L73" s="110" t="str">
        <f>'RSD_New Techs'!K24</f>
        <v>R-THL-HPG_ELC02</v>
      </c>
      <c r="M73" s="110" t="str">
        <f>'RSD_New Techs'!L24</f>
        <v>RSD Thermal uses technology: Electricity Ground Heat Pump (Imp.) -New</v>
      </c>
      <c r="N73" s="110" t="str">
        <f>IF('RSD_New Techs'!$E24="","","PJ")</f>
        <v>PJ</v>
      </c>
      <c r="O73" s="110" t="str">
        <f>IF('RSD_New Techs'!$E24="","","GW")</f>
        <v>GW</v>
      </c>
      <c r="P73" s="110"/>
      <c r="Q73" s="110"/>
      <c r="R73" s="110" t="s">
        <v>401</v>
      </c>
    </row>
    <row r="74" spans="11:18" x14ac:dyDescent="0.25">
      <c r="K74" s="133" t="s">
        <v>74</v>
      </c>
      <c r="L74" s="110" t="str">
        <f>'RSD_New Techs'!K25</f>
        <v>R-THL-HPG_ELC03</v>
      </c>
      <c r="M74" s="110" t="str">
        <f>'RSD_New Techs'!L25</f>
        <v>RSD Thermal uses technology: Electricity Ground Heat Pump (Adv.) -New</v>
      </c>
      <c r="N74" s="110" t="str">
        <f>IF('RSD_New Techs'!$E25="","","PJ")</f>
        <v>PJ</v>
      </c>
      <c r="O74" s="110" t="str">
        <f>IF('RSD_New Techs'!$E25="","","GW")</f>
        <v>GW</v>
      </c>
      <c r="P74" s="110"/>
      <c r="Q74" s="110"/>
      <c r="R74" s="110" t="s">
        <v>401</v>
      </c>
    </row>
    <row r="75" spans="11:18" x14ac:dyDescent="0.25">
      <c r="K75" s="133" t="s">
        <v>74</v>
      </c>
      <c r="L75" s="110" t="str">
        <f>'RSD_New Techs'!K26</f>
        <v>R-THL-BLR_OIL01</v>
      </c>
      <c r="M75" s="110" t="str">
        <f>'RSD_New Techs'!L26</f>
        <v>RSD Thermal uses technology: Oil, Liquid biofuels Boiler (Ord.) -New</v>
      </c>
      <c r="N75" s="110" t="str">
        <f>IF('RSD_New Techs'!$E26="","","PJ")</f>
        <v>PJ</v>
      </c>
      <c r="O75" s="110" t="str">
        <f>IF('RSD_New Techs'!$E26="","","GW")</f>
        <v>GW</v>
      </c>
      <c r="P75" s="110"/>
      <c r="Q75" s="110"/>
      <c r="R75" s="110" t="s">
        <v>401</v>
      </c>
    </row>
    <row r="76" spans="11:18" x14ac:dyDescent="0.25">
      <c r="K76" s="133" t="s">
        <v>74</v>
      </c>
      <c r="L76" s="110" t="str">
        <f>'RSD_New Techs'!K27</f>
        <v>R-THL-BLR_OIL02</v>
      </c>
      <c r="M76" s="110" t="str">
        <f>'RSD_New Techs'!L27</f>
        <v>RSD Thermal uses technology: Oil, Liquid biofuels Boiler cond. (Ord.) -New</v>
      </c>
      <c r="N76" s="110" t="str">
        <f>IF('RSD_New Techs'!$E27="","","PJ")</f>
        <v>PJ</v>
      </c>
      <c r="O76" s="110" t="str">
        <f>IF('RSD_New Techs'!$E27="","","GW")</f>
        <v>GW</v>
      </c>
      <c r="P76" s="110"/>
      <c r="Q76" s="110"/>
      <c r="R76" s="110" t="s">
        <v>401</v>
      </c>
    </row>
    <row r="77" spans="11:18" x14ac:dyDescent="0.25">
      <c r="K77" s="133" t="s">
        <v>74</v>
      </c>
      <c r="L77" s="110" t="str">
        <f>'RSD_New Techs'!K28</f>
        <v>R-THL-BLR_OIL03</v>
      </c>
      <c r="M77" s="110" t="str">
        <f>'RSD_New Techs'!L28</f>
        <v>RSD Thermal uses technology: Oil, Liquid biofuels Boiler cond. (Imp.) -New</v>
      </c>
      <c r="N77" s="110" t="str">
        <f>IF('RSD_New Techs'!$E28="","","PJ")</f>
        <v>PJ</v>
      </c>
      <c r="O77" s="110" t="str">
        <f>IF('RSD_New Techs'!$E28="","","GW")</f>
        <v>GW</v>
      </c>
      <c r="P77" s="110"/>
      <c r="Q77" s="110"/>
      <c r="R77" s="110" t="s">
        <v>401</v>
      </c>
    </row>
    <row r="78" spans="11:18" x14ac:dyDescent="0.25">
      <c r="K78" s="133" t="s">
        <v>74</v>
      </c>
      <c r="L78" s="110" t="str">
        <f>'RSD_New Techs'!K29</f>
        <v>R-THL-BLR_LPG01</v>
      </c>
      <c r="M78" s="110" t="str">
        <f>'RSD_New Techs'!L29</f>
        <v>RSD Thermal uses technology: LPG Boiler cond. (Imp.) -New</v>
      </c>
      <c r="N78" s="110" t="str">
        <f>IF('RSD_New Techs'!$E29="","","PJ")</f>
        <v>PJ</v>
      </c>
      <c r="O78" s="110" t="str">
        <f>IF('RSD_New Techs'!$E29="","","GW")</f>
        <v>GW</v>
      </c>
      <c r="P78" s="110"/>
      <c r="Q78" s="110"/>
      <c r="R78" s="110" t="s">
        <v>401</v>
      </c>
    </row>
    <row r="79" spans="11:18" x14ac:dyDescent="0.25">
      <c r="K79" s="154" t="s">
        <v>74</v>
      </c>
      <c r="L79" s="125" t="str">
        <f>'RSD_New Techs'!K30</f>
        <v>R-THL-HEX_SOL01</v>
      </c>
      <c r="M79" s="125" t="str">
        <f>'RSD_New Techs'!L30</f>
        <v>RSD Thermal uses technology: Solar Thermal (Ord.) -New</v>
      </c>
      <c r="N79" s="125" t="str">
        <f>IF('RSD_New Techs'!$E30="","","PJ")</f>
        <v>PJ</v>
      </c>
      <c r="O79" s="125" t="str">
        <f>IF('RSD_New Techs'!$E30="","","GW")</f>
        <v>GW</v>
      </c>
      <c r="P79" s="125"/>
      <c r="Q79" s="125"/>
      <c r="R79" s="125" t="s">
        <v>401</v>
      </c>
    </row>
    <row r="80" spans="11:18" x14ac:dyDescent="0.25">
      <c r="K80" s="133" t="s">
        <v>74</v>
      </c>
      <c r="L80" s="110" t="str">
        <f>'RSD_New Techs'!K31</f>
        <v>R-THH-STV_BIO01</v>
      </c>
      <c r="M80" s="110" t="str">
        <f>'RSD_New Techs'!L31</f>
        <v>RSD Thermal uses technology: Biomass Wood Stove (Ord.) -New</v>
      </c>
      <c r="N80" s="110" t="str">
        <f>IF('RSD_New Techs'!$E31="","","PJ")</f>
        <v>PJ</v>
      </c>
      <c r="O80" s="110" t="str">
        <f>IF('RSD_New Techs'!$E31="","","GW")</f>
        <v>GW</v>
      </c>
      <c r="P80" s="110"/>
      <c r="Q80" s="110"/>
      <c r="R80" s="110" t="s">
        <v>401</v>
      </c>
    </row>
    <row r="81" spans="11:18" x14ac:dyDescent="0.25">
      <c r="K81" s="133" t="s">
        <v>74</v>
      </c>
      <c r="L81" s="110" t="str">
        <f>'RSD_New Techs'!K32</f>
        <v>R-THH-STV_BIO02</v>
      </c>
      <c r="M81" s="110" t="str">
        <f>'RSD_New Techs'!L32</f>
        <v>RSD Thermal uses technology: Biomass Wood Stove (Imp.) -New</v>
      </c>
      <c r="N81" s="110" t="str">
        <f>IF('RSD_New Techs'!$E32="","","PJ")</f>
        <v>PJ</v>
      </c>
      <c r="O81" s="110" t="str">
        <f>IF('RSD_New Techs'!$E32="","","GW")</f>
        <v>GW</v>
      </c>
      <c r="P81" s="110"/>
      <c r="Q81" s="110"/>
      <c r="R81" s="110" t="s">
        <v>401</v>
      </c>
    </row>
    <row r="82" spans="11:18" x14ac:dyDescent="0.25">
      <c r="K82" s="133" t="s">
        <v>74</v>
      </c>
      <c r="L82" s="110" t="str">
        <f>'RSD_New Techs'!K33</f>
        <v>R-THH-STV_BIO03</v>
      </c>
      <c r="M82" s="110" t="str">
        <f>'RSD_New Techs'!L33</f>
        <v>RSD Thermal uses technology: Biomass Wood Stove (Adv.)) -New</v>
      </c>
      <c r="N82" s="110" t="str">
        <f>IF('RSD_New Techs'!$E33="","","PJ")</f>
        <v>PJ</v>
      </c>
      <c r="O82" s="110" t="str">
        <f>IF('RSD_New Techs'!$E33="","","GW")</f>
        <v>GW</v>
      </c>
      <c r="P82" s="110"/>
      <c r="Q82" s="110"/>
      <c r="R82" s="110" t="s">
        <v>401</v>
      </c>
    </row>
    <row r="83" spans="11:18" x14ac:dyDescent="0.25">
      <c r="K83" s="133" t="s">
        <v>74</v>
      </c>
      <c r="L83" s="110" t="str">
        <f>'RSD_New Techs'!K34</f>
        <v>R-THH-HPA_ELC01</v>
      </c>
      <c r="M83" s="110" t="str">
        <f>'RSD_New Techs'!L34</f>
        <v>RSD Thermal uses technology: Electricity Heat Pump Air (Ord.) -New</v>
      </c>
      <c r="N83" s="110" t="str">
        <f>IF('RSD_New Techs'!$E34="","","PJ")</f>
        <v>PJ</v>
      </c>
      <c r="O83" s="110" t="str">
        <f>IF('RSD_New Techs'!$E34="","","GW")</f>
        <v>GW</v>
      </c>
      <c r="P83" s="110"/>
      <c r="Q83" s="110"/>
      <c r="R83" s="110" t="s">
        <v>401</v>
      </c>
    </row>
    <row r="84" spans="11:18" x14ac:dyDescent="0.25">
      <c r="K84" s="133" t="s">
        <v>74</v>
      </c>
      <c r="L84" s="110" t="str">
        <f>'RSD_New Techs'!K35</f>
        <v>R-THH-HPA_ELC02</v>
      </c>
      <c r="M84" s="110" t="str">
        <f>'RSD_New Techs'!L35</f>
        <v>RSD Thermal uses technology: Electricity Heat Pump Air (Imp.) -New</v>
      </c>
      <c r="N84" s="110" t="str">
        <f>IF('RSD_New Techs'!$E35="","","PJ")</f>
        <v>PJ</v>
      </c>
      <c r="O84" s="110" t="str">
        <f>IF('RSD_New Techs'!$E35="","","GW")</f>
        <v>GW</v>
      </c>
      <c r="P84" s="110"/>
      <c r="Q84" s="110"/>
      <c r="R84" s="110" t="s">
        <v>401</v>
      </c>
    </row>
    <row r="85" spans="11:18" x14ac:dyDescent="0.25">
      <c r="K85" s="133" t="s">
        <v>74</v>
      </c>
      <c r="L85" s="110" t="str">
        <f>'RSD_New Techs'!K36</f>
        <v>R-THH-HPA_ELC03</v>
      </c>
      <c r="M85" s="110" t="str">
        <f>'RSD_New Techs'!L36</f>
        <v>RSD Thermal uses technology: Electricity Heat Pump Air (Adv.) -New</v>
      </c>
      <c r="N85" s="110" t="str">
        <f>IF('RSD_New Techs'!$E36="","","PJ")</f>
        <v>PJ</v>
      </c>
      <c r="O85" s="110" t="str">
        <f>IF('RSD_New Techs'!$E36="","","GW")</f>
        <v>GW</v>
      </c>
      <c r="P85" s="110"/>
      <c r="Q85" s="110"/>
      <c r="R85" s="110" t="s">
        <v>401</v>
      </c>
    </row>
    <row r="86" spans="11:18" x14ac:dyDescent="0.25">
      <c r="K86" s="133" t="s">
        <v>74</v>
      </c>
      <c r="L86" s="110" t="str">
        <f>'RSD_New Techs'!K37</f>
        <v>R-THH-HPA_ELC04</v>
      </c>
      <c r="M86" s="110" t="str">
        <f>'RSD_New Techs'!L37</f>
        <v>RSD Thermal uses technology: Electricity Heat Pump Wat. (Ord.) -New</v>
      </c>
      <c r="N86" s="110" t="str">
        <f>IF('RSD_New Techs'!$E37="","","PJ")</f>
        <v>PJ</v>
      </c>
      <c r="O86" s="110" t="str">
        <f>IF('RSD_New Techs'!$E37="","","GW")</f>
        <v>GW</v>
      </c>
      <c r="P86" s="110"/>
      <c r="Q86" s="110"/>
      <c r="R86" s="110" t="s">
        <v>401</v>
      </c>
    </row>
    <row r="87" spans="11:18" x14ac:dyDescent="0.25">
      <c r="K87" s="133" t="s">
        <v>74</v>
      </c>
      <c r="L87" s="110" t="str">
        <f>'RSD_New Techs'!K38</f>
        <v>R-THH-HPA_ELC05</v>
      </c>
      <c r="M87" s="110" t="str">
        <f>'RSD_New Techs'!L38</f>
        <v>RSD Thermal uses technology: Electricity Heat Pump Wat. (Imp.) -New</v>
      </c>
      <c r="N87" s="110" t="str">
        <f>IF('RSD_New Techs'!$E38="","","PJ")</f>
        <v>PJ</v>
      </c>
      <c r="O87" s="110" t="str">
        <f>IF('RSD_New Techs'!$E38="","","GW")</f>
        <v>GW</v>
      </c>
      <c r="P87" s="110"/>
      <c r="Q87" s="110"/>
      <c r="R87" s="110" t="s">
        <v>401</v>
      </c>
    </row>
    <row r="88" spans="11:18" x14ac:dyDescent="0.25">
      <c r="K88" s="133" t="s">
        <v>74</v>
      </c>
      <c r="L88" s="110" t="str">
        <f>'RSD_New Techs'!K39</f>
        <v>R-THH-HPA_ELC06</v>
      </c>
      <c r="M88" s="110" t="str">
        <f>'RSD_New Techs'!L39</f>
        <v>RSD Thermal uses technology: Electricity Heat Pump Wat. (Adv.) -New</v>
      </c>
      <c r="N88" s="110" t="str">
        <f>IF('RSD_New Techs'!$E39="","","PJ")</f>
        <v>PJ</v>
      </c>
      <c r="O88" s="110" t="str">
        <f>IF('RSD_New Techs'!$E39="","","GW")</f>
        <v>GW</v>
      </c>
      <c r="P88" s="110"/>
      <c r="Q88" s="110"/>
      <c r="R88" s="110" t="s">
        <v>401</v>
      </c>
    </row>
    <row r="89" spans="11:18" x14ac:dyDescent="0.25">
      <c r="K89" s="133" t="s">
        <v>74</v>
      </c>
      <c r="L89" s="110" t="str">
        <f>'RSD_New Techs'!K40</f>
        <v>R-THH-RST_ELC07</v>
      </c>
      <c r="M89" s="110" t="str">
        <f>'RSD_New Techs'!L40</f>
        <v>RSD Thermal uses technology: Electricity Electr. Resist. (Ord.) -New</v>
      </c>
      <c r="N89" s="110" t="str">
        <f>IF('RSD_New Techs'!$E40="","","PJ")</f>
        <v>PJ</v>
      </c>
      <c r="O89" s="110" t="str">
        <f>IF('RSD_New Techs'!$E40="","","GW")</f>
        <v>GW</v>
      </c>
      <c r="P89" s="110"/>
      <c r="Q89" s="110"/>
      <c r="R89" s="110" t="s">
        <v>401</v>
      </c>
    </row>
    <row r="90" spans="11:18" x14ac:dyDescent="0.25">
      <c r="K90" s="133" t="s">
        <v>74</v>
      </c>
      <c r="L90" s="110" t="str">
        <f>'RSD_New Techs'!K41</f>
        <v>R-THH-BLR_GAS01</v>
      </c>
      <c r="M90" s="110" t="str">
        <f>'RSD_New Techs'!L41</f>
        <v>RSD Thermal uses technology: Natural gas,Biogas Boiler (Ord.) -New</v>
      </c>
      <c r="N90" s="110" t="str">
        <f>IF('RSD_New Techs'!$E41="","","PJ")</f>
        <v>PJ</v>
      </c>
      <c r="O90" s="110" t="str">
        <f>IF('RSD_New Techs'!$E41="","","GW")</f>
        <v>GW</v>
      </c>
      <c r="P90" s="110"/>
      <c r="Q90" s="110"/>
      <c r="R90" s="110" t="s">
        <v>401</v>
      </c>
    </row>
    <row r="91" spans="11:18" x14ac:dyDescent="0.25">
      <c r="K91" s="133" t="s">
        <v>74</v>
      </c>
      <c r="L91" s="110" t="str">
        <f>'RSD_New Techs'!K42</f>
        <v>R-THH-BLR_GAS02</v>
      </c>
      <c r="M91" s="110" t="str">
        <f>'RSD_New Techs'!L42</f>
        <v>RSD Thermal uses technology: Natural gas,Biogas Boiler cond. (Ord.) -New</v>
      </c>
      <c r="N91" s="110" t="str">
        <f>IF('RSD_New Techs'!$E42="","","PJ")</f>
        <v>PJ</v>
      </c>
      <c r="O91" s="110" t="str">
        <f>IF('RSD_New Techs'!$E42="","","GW")</f>
        <v>GW</v>
      </c>
      <c r="P91" s="110"/>
      <c r="Q91" s="110"/>
      <c r="R91" s="110" t="s">
        <v>401</v>
      </c>
    </row>
    <row r="92" spans="11:18" x14ac:dyDescent="0.25">
      <c r="K92" s="133" t="s">
        <v>74</v>
      </c>
      <c r="L92" s="110" t="str">
        <f>'RSD_New Techs'!K43</f>
        <v>R-THH-BLR_GAS03</v>
      </c>
      <c r="M92" s="110" t="str">
        <f>'RSD_New Techs'!L43</f>
        <v>RSD Thermal uses technology: Natural gas,Biogas Boiler (Imp.) -New</v>
      </c>
      <c r="N92" s="110" t="str">
        <f>IF('RSD_New Techs'!$E43="","","PJ")</f>
        <v>PJ</v>
      </c>
      <c r="O92" s="110" t="str">
        <f>IF('RSD_New Techs'!$E43="","","GW")</f>
        <v>GW</v>
      </c>
      <c r="P92" s="110"/>
      <c r="Q92" s="110"/>
      <c r="R92" s="110" t="s">
        <v>401</v>
      </c>
    </row>
    <row r="93" spans="11:18" x14ac:dyDescent="0.25">
      <c r="K93" s="133" t="s">
        <v>74</v>
      </c>
      <c r="L93" s="110" t="str">
        <f>'RSD_New Techs'!K44</f>
        <v>R-THH-BLR_GAS04</v>
      </c>
      <c r="M93" s="110" t="str">
        <f>'RSD_New Techs'!L44</f>
        <v>RSD Thermal uses technology: Natural gas,Biogas Boiler cond. (Imp.) -New</v>
      </c>
      <c r="N93" s="110" t="str">
        <f>IF('RSD_New Techs'!$E44="","","PJ")</f>
        <v>PJ</v>
      </c>
      <c r="O93" s="110" t="str">
        <f>IF('RSD_New Techs'!$E44="","","GW")</f>
        <v>GW</v>
      </c>
      <c r="P93" s="110"/>
      <c r="Q93" s="110"/>
      <c r="R93" s="110" t="s">
        <v>401</v>
      </c>
    </row>
    <row r="94" spans="11:18" x14ac:dyDescent="0.25">
      <c r="K94" s="133" t="s">
        <v>74</v>
      </c>
      <c r="L94" s="110" t="str">
        <f>'RSD_New Techs'!K45</f>
        <v>R-THH-HPA_GAS05</v>
      </c>
      <c r="M94" s="110" t="str">
        <f>'RSD_New Techs'!L45</f>
        <v>RSD Thermal uses technology: Natural gas,Biogas Heat Pump (Ord.) -New</v>
      </c>
      <c r="N94" s="110" t="str">
        <f>IF('RSD_New Techs'!$E45="","","PJ")</f>
        <v>PJ</v>
      </c>
      <c r="O94" s="110" t="str">
        <f>IF('RSD_New Techs'!$E45="","","GW")</f>
        <v>GW</v>
      </c>
      <c r="P94" s="110"/>
      <c r="Q94" s="110"/>
      <c r="R94" s="110" t="s">
        <v>401</v>
      </c>
    </row>
    <row r="95" spans="11:18" x14ac:dyDescent="0.25">
      <c r="K95" s="133" t="s">
        <v>74</v>
      </c>
      <c r="L95" s="110" t="str">
        <f>'RSD_New Techs'!K46</f>
        <v>R-THH-HPA_GAS06</v>
      </c>
      <c r="M95" s="110" t="str">
        <f>'RSD_New Techs'!L46</f>
        <v>RSD Thermal uses technology: Natural gas,Biogas Heat Pump (Imp.) -New</v>
      </c>
      <c r="N95" s="110" t="str">
        <f>IF('RSD_New Techs'!$E46="","","PJ")</f>
        <v>PJ</v>
      </c>
      <c r="O95" s="110" t="str">
        <f>IF('RSD_New Techs'!$E46="","","GW")</f>
        <v>GW</v>
      </c>
      <c r="P95" s="110"/>
      <c r="Q95" s="110"/>
      <c r="R95" s="110" t="s">
        <v>401</v>
      </c>
    </row>
    <row r="96" spans="11:18" x14ac:dyDescent="0.25">
      <c r="K96" s="133" t="s">
        <v>74</v>
      </c>
      <c r="L96" s="110" t="str">
        <f>'RSD_New Techs'!K47</f>
        <v>R-THH-HPA_GAS07</v>
      </c>
      <c r="M96" s="110" t="str">
        <f>'RSD_New Techs'!L47</f>
        <v>RSD Thermal uses technology: Natural gas,Biogas Heat Pump (Adv.) -New</v>
      </c>
      <c r="N96" s="110" t="str">
        <f>IF('RSD_New Techs'!$E47="","","PJ")</f>
        <v>PJ</v>
      </c>
      <c r="O96" s="110" t="str">
        <f>IF('RSD_New Techs'!$E47="","","GW")</f>
        <v>GW</v>
      </c>
      <c r="P96" s="110"/>
      <c r="Q96" s="110"/>
      <c r="R96" s="110" t="s">
        <v>401</v>
      </c>
    </row>
    <row r="97" spans="11:18" x14ac:dyDescent="0.25">
      <c r="K97" s="133" t="s">
        <v>74</v>
      </c>
      <c r="L97" s="110" t="str">
        <f>'RSD_New Techs'!K48</f>
        <v>R-THH-HPG_ELC01</v>
      </c>
      <c r="M97" s="110" t="str">
        <f>'RSD_New Techs'!L48</f>
        <v>RSD Thermal uses technology: Electricity Ground Heat Pump (Ord.) -New</v>
      </c>
      <c r="N97" s="110" t="str">
        <f>IF('RSD_New Techs'!$E48="","","PJ")</f>
        <v>PJ</v>
      </c>
      <c r="O97" s="110" t="str">
        <f>IF('RSD_New Techs'!$E48="","","GW")</f>
        <v>GW</v>
      </c>
      <c r="P97" s="110"/>
      <c r="Q97" s="110"/>
      <c r="R97" s="110" t="s">
        <v>401</v>
      </c>
    </row>
    <row r="98" spans="11:18" x14ac:dyDescent="0.25">
      <c r="K98" s="133" t="s">
        <v>74</v>
      </c>
      <c r="L98" s="110" t="str">
        <f>'RSD_New Techs'!K49</f>
        <v>R-THH-HPG_ELC02</v>
      </c>
      <c r="M98" s="110" t="str">
        <f>'RSD_New Techs'!L49</f>
        <v>RSD Thermal uses technology: Electricity Ground Heat Pump (Imp.) -New</v>
      </c>
      <c r="N98" s="110" t="str">
        <f>IF('RSD_New Techs'!$E49="","","PJ")</f>
        <v>PJ</v>
      </c>
      <c r="O98" s="110" t="str">
        <f>IF('RSD_New Techs'!$E49="","","GW")</f>
        <v>GW</v>
      </c>
      <c r="P98" s="110"/>
      <c r="Q98" s="110"/>
      <c r="R98" s="110" t="s">
        <v>401</v>
      </c>
    </row>
    <row r="99" spans="11:18" x14ac:dyDescent="0.25">
      <c r="K99" s="133" t="s">
        <v>74</v>
      </c>
      <c r="L99" s="110" t="str">
        <f>'RSD_New Techs'!K50</f>
        <v>R-THH-HPG_ELC03</v>
      </c>
      <c r="M99" s="110" t="str">
        <f>'RSD_New Techs'!L50</f>
        <v>RSD Thermal uses technology: Electricity Ground Heat Pump (Adv.) -New</v>
      </c>
      <c r="N99" s="110" t="str">
        <f>IF('RSD_New Techs'!$E50="","","PJ")</f>
        <v>PJ</v>
      </c>
      <c r="O99" s="110" t="str">
        <f>IF('RSD_New Techs'!$E50="","","GW")</f>
        <v>GW</v>
      </c>
      <c r="P99" s="110"/>
      <c r="Q99" s="110"/>
      <c r="R99" s="110" t="s">
        <v>401</v>
      </c>
    </row>
    <row r="100" spans="11:18" x14ac:dyDescent="0.25">
      <c r="K100" s="133" t="s">
        <v>74</v>
      </c>
      <c r="L100" s="110" t="str">
        <f>'RSD_New Techs'!K51</f>
        <v>R-THH-HEX_HET01</v>
      </c>
      <c r="M100" s="110" t="str">
        <f>'RSD_New Techs'!L51</f>
        <v>RSD Thermal uses technology: Heat District Heat (Ord.) -New</v>
      </c>
      <c r="N100" s="110" t="str">
        <f>IF('RSD_New Techs'!$E51="","","PJ")</f>
        <v>PJ</v>
      </c>
      <c r="O100" s="110" t="str">
        <f>IF('RSD_New Techs'!$E51="","","GW")</f>
        <v>GW</v>
      </c>
      <c r="P100" s="110"/>
      <c r="Q100" s="110"/>
      <c r="R100" s="110" t="s">
        <v>401</v>
      </c>
    </row>
    <row r="101" spans="11:18" x14ac:dyDescent="0.25">
      <c r="K101" s="133" t="s">
        <v>74</v>
      </c>
      <c r="L101" s="110" t="str">
        <f>'RSD_New Techs'!K52</f>
        <v>R-THH-HEX_HET02</v>
      </c>
      <c r="M101" s="110" t="str">
        <f>'RSD_New Techs'!L52</f>
        <v>RSD Thermal uses technology: Heat District Heat (Imp.) -New</v>
      </c>
      <c r="N101" s="110" t="str">
        <f>IF('RSD_New Techs'!$E52="","","PJ")</f>
        <v>PJ</v>
      </c>
      <c r="O101" s="110" t="str">
        <f>IF('RSD_New Techs'!$E52="","","GW")</f>
        <v>GW</v>
      </c>
      <c r="P101" s="110"/>
      <c r="Q101" s="110"/>
      <c r="R101" s="110" t="s">
        <v>401</v>
      </c>
    </row>
    <row r="102" spans="11:18" x14ac:dyDescent="0.25">
      <c r="K102" s="133" t="s">
        <v>74</v>
      </c>
      <c r="L102" s="110" t="str">
        <f>'RSD_New Techs'!K53</f>
        <v>R-THH-BLR_OIL01</v>
      </c>
      <c r="M102" s="110" t="str">
        <f>'RSD_New Techs'!L53</f>
        <v>RSD Thermal uses technology: Oil, Liquid biofuels Boiler (Ord.) -New</v>
      </c>
      <c r="N102" s="110" t="str">
        <f>IF('RSD_New Techs'!$E53="","","PJ")</f>
        <v>PJ</v>
      </c>
      <c r="O102" s="110" t="str">
        <f>IF('RSD_New Techs'!$E53="","","GW")</f>
        <v>GW</v>
      </c>
      <c r="P102" s="110"/>
      <c r="Q102" s="110"/>
      <c r="R102" s="110" t="s">
        <v>401</v>
      </c>
    </row>
    <row r="103" spans="11:18" x14ac:dyDescent="0.25">
      <c r="K103" s="133" t="s">
        <v>74</v>
      </c>
      <c r="L103" s="110" t="str">
        <f>'RSD_New Techs'!K54</f>
        <v>R-THH-BLR_OIL02</v>
      </c>
      <c r="M103" s="110" t="str">
        <f>'RSD_New Techs'!L54</f>
        <v>RSD Thermal uses technology: Oil, Liquid biofuels Boiler cond. (Ord.) -New</v>
      </c>
      <c r="N103" s="110" t="str">
        <f>IF('RSD_New Techs'!$E54="","","PJ")</f>
        <v>PJ</v>
      </c>
      <c r="O103" s="110" t="str">
        <f>IF('RSD_New Techs'!$E54="","","GW")</f>
        <v>GW</v>
      </c>
      <c r="P103" s="110"/>
      <c r="Q103" s="110"/>
      <c r="R103" s="110" t="s">
        <v>401</v>
      </c>
    </row>
    <row r="104" spans="11:18" x14ac:dyDescent="0.25">
      <c r="K104" s="133" t="s">
        <v>74</v>
      </c>
      <c r="L104" s="110" t="str">
        <f>'RSD_New Techs'!K55</f>
        <v>R-THH-BLR_OIL03</v>
      </c>
      <c r="M104" s="110" t="str">
        <f>'RSD_New Techs'!L55</f>
        <v>RSD Thermal uses technology: Oil, Liquid biofuels Boiler cond. (Imp.) -New</v>
      </c>
      <c r="N104" s="110" t="str">
        <f>IF('RSD_New Techs'!$E55="","","PJ")</f>
        <v>PJ</v>
      </c>
      <c r="O104" s="110" t="str">
        <f>IF('RSD_New Techs'!$E55="","","GW")</f>
        <v>GW</v>
      </c>
      <c r="P104" s="110"/>
      <c r="Q104" s="110"/>
      <c r="R104" s="110" t="s">
        <v>401</v>
      </c>
    </row>
    <row r="105" spans="11:18" x14ac:dyDescent="0.25">
      <c r="K105" s="133" t="s">
        <v>74</v>
      </c>
      <c r="L105" s="110" t="str">
        <f>'RSD_New Techs'!K56</f>
        <v>R-THH-BLR_LPG01</v>
      </c>
      <c r="M105" s="110" t="str">
        <f>'RSD_New Techs'!L56</f>
        <v>RSD Thermal uses technology: LPG Boiler cond. (Imp.) -New</v>
      </c>
      <c r="N105" s="110" t="str">
        <f>IF('RSD_New Techs'!$E56="","","PJ")</f>
        <v>PJ</v>
      </c>
      <c r="O105" s="110" t="str">
        <f>IF('RSD_New Techs'!$E56="","","GW")</f>
        <v>GW</v>
      </c>
      <c r="P105" s="110"/>
      <c r="Q105" s="110"/>
      <c r="R105" s="110" t="s">
        <v>401</v>
      </c>
    </row>
    <row r="106" spans="11:18" x14ac:dyDescent="0.25">
      <c r="K106" s="154" t="s">
        <v>74</v>
      </c>
      <c r="L106" s="125" t="str">
        <f>'RSD_New Techs'!K57</f>
        <v>R-THH-HEX_SOL01</v>
      </c>
      <c r="M106" s="125" t="str">
        <f>'RSD_New Techs'!L57</f>
        <v>RSD Thermal uses technology: Solar Thermal (Ord.) -New</v>
      </c>
      <c r="N106" s="125" t="str">
        <f>IF('RSD_New Techs'!$E57="","","PJ")</f>
        <v>PJ</v>
      </c>
      <c r="O106" s="125" t="str">
        <f>IF('RSD_New Techs'!$E57="","","GW")</f>
        <v>GW</v>
      </c>
      <c r="P106" s="125"/>
      <c r="Q106" s="125"/>
      <c r="R106" s="125" t="s">
        <v>401</v>
      </c>
    </row>
    <row r="107" spans="11:18" x14ac:dyDescent="0.25">
      <c r="K107" s="133" t="s">
        <v>74</v>
      </c>
      <c r="L107" s="110" t="str">
        <f>'RSD_New Techs'!K58</f>
        <v>R-ACL_ELC01</v>
      </c>
      <c r="M107" s="110" t="str">
        <f>'RSD_New Techs'!L58</f>
        <v>RSD Air conditioning technology: Electricity Air conditioning (Ord.) -New</v>
      </c>
      <c r="N107" s="110" t="str">
        <f>IF('RSD_New Techs'!$E58="","","PJ")</f>
        <v>PJ</v>
      </c>
      <c r="O107" s="110" t="str">
        <f>IF('RSD_New Techs'!$E58="","","GW")</f>
        <v>GW</v>
      </c>
      <c r="P107" s="110"/>
      <c r="Q107" s="110"/>
      <c r="R107" s="110" t="s">
        <v>401</v>
      </c>
    </row>
    <row r="108" spans="11:18" x14ac:dyDescent="0.25">
      <c r="K108" s="133" t="s">
        <v>74</v>
      </c>
      <c r="L108" s="110" t="str">
        <f>'RSD_New Techs'!K59</f>
        <v>R-ACL_ELC02</v>
      </c>
      <c r="M108" s="110" t="str">
        <f>'RSD_New Techs'!L59</f>
        <v>RSD Air conditioning technology: Electricity Air conditioning (Imp.) -New</v>
      </c>
      <c r="N108" s="110" t="str">
        <f>IF('RSD_New Techs'!$E59="","","PJ")</f>
        <v>PJ</v>
      </c>
      <c r="O108" s="110" t="str">
        <f>IF('RSD_New Techs'!$E59="","","GW")</f>
        <v>GW</v>
      </c>
      <c r="P108" s="110"/>
      <c r="Q108" s="110"/>
      <c r="R108" s="110" t="s">
        <v>401</v>
      </c>
    </row>
    <row r="109" spans="11:18" x14ac:dyDescent="0.25">
      <c r="K109" s="154" t="s">
        <v>74</v>
      </c>
      <c r="L109" s="125" t="str">
        <f>'RSD_New Techs'!K60</f>
        <v>R-ACL_ELC03</v>
      </c>
      <c r="M109" s="125" t="str">
        <f>'RSD_New Techs'!L60</f>
        <v>RSD Air conditioning technology: Electricity Air conditioning (Adv.) -New</v>
      </c>
      <c r="N109" s="125" t="str">
        <f>IF('RSD_New Techs'!$E60="","","PJ")</f>
        <v>PJ</v>
      </c>
      <c r="O109" s="125" t="str">
        <f>IF('RSD_New Techs'!$E60="","","GW")</f>
        <v>GW</v>
      </c>
      <c r="P109" s="125"/>
      <c r="Q109" s="125"/>
      <c r="R109" s="125" t="s">
        <v>401</v>
      </c>
    </row>
    <row r="110" spans="11:18" x14ac:dyDescent="0.25">
      <c r="K110" s="133" t="s">
        <v>74</v>
      </c>
      <c r="L110" s="110" t="str">
        <f>'RSD_New Techs'!K61</f>
        <v>R-ACH_ELC01</v>
      </c>
      <c r="M110" s="110" t="str">
        <f>'RSD_New Techs'!L61</f>
        <v>RSD Air conditioning technology: Electricity Air conditioning (Ord.) -New</v>
      </c>
      <c r="N110" s="110" t="str">
        <f>IF('RSD_New Techs'!$E61="","","PJ")</f>
        <v>PJ</v>
      </c>
      <c r="O110" s="110" t="str">
        <f>IF('RSD_New Techs'!$E61="","","GW")</f>
        <v>GW</v>
      </c>
      <c r="P110" s="110"/>
      <c r="Q110" s="110"/>
      <c r="R110" s="110" t="s">
        <v>401</v>
      </c>
    </row>
    <row r="111" spans="11:18" x14ac:dyDescent="0.25">
      <c r="K111" s="133" t="s">
        <v>74</v>
      </c>
      <c r="L111" s="110" t="str">
        <f>'RSD_New Techs'!K62</f>
        <v>R-ACH_ELC02</v>
      </c>
      <c r="M111" s="110" t="str">
        <f>'RSD_New Techs'!L62</f>
        <v>RSD Air conditioning technology: Electricity Air conditioning (Imp.) -New</v>
      </c>
      <c r="N111" s="110" t="str">
        <f>IF('RSD_New Techs'!$E62="","","PJ")</f>
        <v>PJ</v>
      </c>
      <c r="O111" s="110" t="str">
        <f>IF('RSD_New Techs'!$E62="","","GW")</f>
        <v>GW</v>
      </c>
      <c r="P111" s="110"/>
      <c r="Q111" s="110"/>
      <c r="R111" s="110" t="s">
        <v>401</v>
      </c>
    </row>
    <row r="112" spans="11:18" x14ac:dyDescent="0.25">
      <c r="K112" s="154" t="s">
        <v>74</v>
      </c>
      <c r="L112" s="125" t="str">
        <f>'RSD_New Techs'!K63</f>
        <v>R-ACH_ELC03</v>
      </c>
      <c r="M112" s="125" t="str">
        <f>'RSD_New Techs'!L63</f>
        <v>RSD Air conditioning technology: Electricity Air conditioning (Adv.) -New</v>
      </c>
      <c r="N112" s="125" t="str">
        <f>IF('RSD_New Techs'!$E63="","","PJ")</f>
        <v>PJ</v>
      </c>
      <c r="O112" s="125" t="str">
        <f>IF('RSD_New Techs'!$E63="","","GW")</f>
        <v>GW</v>
      </c>
      <c r="P112" s="125"/>
      <c r="Q112" s="125"/>
      <c r="R112" s="125" t="s">
        <v>401</v>
      </c>
    </row>
    <row r="113" spans="11:18" x14ac:dyDescent="0.25">
      <c r="K113" s="133" t="s">
        <v>74</v>
      </c>
      <c r="L113" s="110" t="str">
        <f>'RSD_New Techs'!K64</f>
        <v>R-CK_ELC01</v>
      </c>
      <c r="M113" s="110" t="str">
        <f>'RSD_New Techs'!L64</f>
        <v>RSD Cooking technology: Electricity Cooking system (Ord.) -New</v>
      </c>
      <c r="N113" s="110" t="str">
        <f>IF('RSD_New Techs'!$E64="","","PJ")</f>
        <v>PJ</v>
      </c>
      <c r="O113" s="110" t="str">
        <f>IF('RSD_New Techs'!$E64="","","GW")</f>
        <v>GW</v>
      </c>
      <c r="P113" s="110"/>
      <c r="Q113" s="110"/>
      <c r="R113" s="110" t="s">
        <v>401</v>
      </c>
    </row>
    <row r="114" spans="11:18" x14ac:dyDescent="0.25">
      <c r="K114" s="133" t="s">
        <v>74</v>
      </c>
      <c r="L114" s="110" t="str">
        <f>'RSD_New Techs'!K65</f>
        <v>R-CK_GAS01</v>
      </c>
      <c r="M114" s="110" t="str">
        <f>'RSD_New Techs'!L65</f>
        <v>RSD Cooking technology: Natural gas,Biogas Cooking system (Ord.) -New</v>
      </c>
      <c r="N114" s="110" t="str">
        <f>IF('RSD_New Techs'!$E65="","","PJ")</f>
        <v>PJ</v>
      </c>
      <c r="O114" s="110" t="str">
        <f>IF('RSD_New Techs'!$E65="","","GW")</f>
        <v>GW</v>
      </c>
      <c r="P114" s="110"/>
      <c r="Q114" s="110"/>
      <c r="R114" s="110" t="s">
        <v>401</v>
      </c>
    </row>
    <row r="115" spans="11:18" x14ac:dyDescent="0.25">
      <c r="K115" s="133" t="s">
        <v>74</v>
      </c>
      <c r="L115" s="110" t="str">
        <f>'RSD_New Techs'!K66</f>
        <v>R-CK_LPG01</v>
      </c>
      <c r="M115" s="110" t="str">
        <f>'RSD_New Techs'!L66</f>
        <v>RSD Cooking technology: LPG Cooking system (Ord.) -New</v>
      </c>
      <c r="N115" s="110" t="str">
        <f>IF('RSD_New Techs'!$E66="","","PJ")</f>
        <v>PJ</v>
      </c>
      <c r="O115" s="110" t="str">
        <f>IF('RSD_New Techs'!$E66="","","GW")</f>
        <v>GW</v>
      </c>
      <c r="P115" s="110"/>
      <c r="Q115" s="110"/>
      <c r="R115" s="110" t="s">
        <v>401</v>
      </c>
    </row>
    <row r="116" spans="11:18" x14ac:dyDescent="0.25">
      <c r="K116" s="133" t="s">
        <v>74</v>
      </c>
      <c r="L116" s="110" t="str">
        <f>'RSD_New Techs'!K67</f>
        <v>R-CK_BIO01</v>
      </c>
      <c r="M116" s="110" t="str">
        <f>'RSD_New Techs'!L67</f>
        <v>RSD Cooking technology: Biomass Cooking system (Ord.) -New</v>
      </c>
      <c r="N116" s="110" t="str">
        <f>IF('RSD_New Techs'!$E67="","","PJ")</f>
        <v>PJ</v>
      </c>
      <c r="O116" s="110" t="str">
        <f>IF('RSD_New Techs'!$E67="","","GW")</f>
        <v>GW</v>
      </c>
      <c r="P116" s="110"/>
      <c r="Q116" s="110"/>
      <c r="R116" s="110" t="s">
        <v>401</v>
      </c>
    </row>
    <row r="117" spans="11:18" x14ac:dyDescent="0.25">
      <c r="K117" s="154" t="s">
        <v>74</v>
      </c>
      <c r="L117" s="125" t="str">
        <f>'RSD_New Techs'!K68</f>
        <v>R-CK_COA01</v>
      </c>
      <c r="M117" s="125" t="str">
        <f>'RSD_New Techs'!L68</f>
        <v>RSD Cooking technology: Coal Cooking system (Ord.) -New</v>
      </c>
      <c r="N117" s="125" t="str">
        <f>IF('RSD_New Techs'!$E68="","","PJ")</f>
        <v>PJ</v>
      </c>
      <c r="O117" s="125" t="str">
        <f>IF('RSD_New Techs'!$E68="","","GW")</f>
        <v>GW</v>
      </c>
      <c r="P117" s="125"/>
      <c r="Q117" s="125"/>
      <c r="R117" s="125" t="s">
        <v>401</v>
      </c>
    </row>
    <row r="118" spans="11:18" x14ac:dyDescent="0.25">
      <c r="K118" s="200" t="s">
        <v>74</v>
      </c>
      <c r="L118" s="111" t="str">
        <f>'RSD_New Techs'!K69</f>
        <v>R-LIG_ELC01</v>
      </c>
      <c r="M118" s="111" t="str">
        <f>'RSD_New Techs'!L69</f>
        <v>RSD Lighting technology: Electricity Lighting system (Ord.) -New</v>
      </c>
      <c r="N118" s="111" t="str">
        <f t="shared" ref="N118:O120" si="0">N$51</f>
        <v>Munits</v>
      </c>
      <c r="O118" s="111" t="str">
        <f t="shared" si="0"/>
        <v>Munits-y</v>
      </c>
      <c r="P118" s="111"/>
      <c r="Q118" s="111"/>
      <c r="R118" s="111" t="s">
        <v>401</v>
      </c>
    </row>
    <row r="119" spans="11:18" x14ac:dyDescent="0.25">
      <c r="K119" s="133" t="s">
        <v>74</v>
      </c>
      <c r="L119" s="110" t="str">
        <f>'RSD_New Techs'!K70</f>
        <v>R-LIG_ELC02</v>
      </c>
      <c r="M119" s="110" t="str">
        <f>'RSD_New Techs'!L70</f>
        <v>RSD Lighting technology: Electricity Lighting system (Imp.) -New</v>
      </c>
      <c r="N119" s="110" t="str">
        <f t="shared" si="0"/>
        <v>Munits</v>
      </c>
      <c r="O119" s="110" t="str">
        <f t="shared" si="0"/>
        <v>Munits-y</v>
      </c>
      <c r="P119" s="110"/>
      <c r="Q119" s="110"/>
      <c r="R119" s="110" t="s">
        <v>401</v>
      </c>
    </row>
    <row r="120" spans="11:18" x14ac:dyDescent="0.25">
      <c r="K120" s="154" t="s">
        <v>74</v>
      </c>
      <c r="L120" s="125" t="str">
        <f>'RSD_New Techs'!K71</f>
        <v>R-LIG_ELC03</v>
      </c>
      <c r="M120" s="125" t="str">
        <f>'RSD_New Techs'!L71</f>
        <v>RSD Lighting technology: Electricity Lighting system (Adv.) -New</v>
      </c>
      <c r="N120" s="125" t="str">
        <f t="shared" si="0"/>
        <v>Munits</v>
      </c>
      <c r="O120" s="125" t="str">
        <f t="shared" si="0"/>
        <v>Munits-y</v>
      </c>
      <c r="P120" s="125"/>
      <c r="Q120" s="125"/>
      <c r="R120" s="125" t="s">
        <v>401</v>
      </c>
    </row>
    <row r="121" spans="11:18" x14ac:dyDescent="0.25">
      <c r="K121" s="200" t="s">
        <v>74</v>
      </c>
      <c r="L121" s="111" t="str">
        <f>'RSD_New Techs'!K72</f>
        <v>R-EAP_ELC01</v>
      </c>
      <c r="M121" s="111" t="str">
        <f>'RSD_New Techs'!L72</f>
        <v>RSD Electric Appliances technology: Electricity Appl. (Ord.) -New</v>
      </c>
      <c r="N121" s="111" t="str">
        <f>IF('RSD_New Techs'!$E72="","","PJ")</f>
        <v>PJ</v>
      </c>
      <c r="O121" s="111" t="str">
        <f>IF('RSD_New Techs'!$E72="","","PJ-y")</f>
        <v>PJ-y</v>
      </c>
      <c r="P121" s="111"/>
      <c r="Q121" s="111"/>
      <c r="R121" s="111" t="s">
        <v>401</v>
      </c>
    </row>
    <row r="122" spans="11:18" x14ac:dyDescent="0.25">
      <c r="K122" s="133" t="s">
        <v>74</v>
      </c>
      <c r="L122" s="110" t="str">
        <f>'RSD_New Techs'!K73</f>
        <v>R-EAP_ELC02</v>
      </c>
      <c r="M122" s="110" t="str">
        <f>'RSD_New Techs'!L73</f>
        <v>RSD Electric Appliances technology: Electricity Appl. (Imp.) -New</v>
      </c>
      <c r="N122" s="110" t="str">
        <f>IF('RSD_New Techs'!$E73="","","PJ")</f>
        <v>PJ</v>
      </c>
      <c r="O122" s="110" t="str">
        <f>IF('RSD_New Techs'!$E73="","","PJ-y")</f>
        <v>PJ-y</v>
      </c>
      <c r="P122" s="110"/>
      <c r="Q122" s="110"/>
      <c r="R122" s="110" t="s">
        <v>401</v>
      </c>
    </row>
    <row r="123" spans="11:18" x14ac:dyDescent="0.25">
      <c r="K123" s="154" t="s">
        <v>74</v>
      </c>
      <c r="L123" s="125" t="str">
        <f>'RSD_New Techs'!K74</f>
        <v>R-EAP_ELC03</v>
      </c>
      <c r="M123" s="125" t="str">
        <f>'RSD_New Techs'!L74</f>
        <v>RSD Electric Appliances technology: Electricity Appl. (Adv.) -New</v>
      </c>
      <c r="N123" s="125" t="str">
        <f>IF('RSD_New Techs'!$E74="","","PJ")</f>
        <v>PJ</v>
      </c>
      <c r="O123" s="125" t="str">
        <f>IF('RSD_New Techs'!$E74="","","PJ-y")</f>
        <v>PJ-y</v>
      </c>
      <c r="P123" s="125"/>
      <c r="Q123" s="125"/>
      <c r="R123" s="125" t="s">
        <v>401</v>
      </c>
    </row>
  </sheetData>
  <pageMargins left="0.7" right="0.7" top="0.75" bottom="0.75" header="0.3" footer="0.3"/>
  <pageSetup paperSize="9"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6">
    <tabColor theme="9" tint="0.59999389629810485"/>
  </sheetPr>
  <dimension ref="B1:AJ46"/>
  <sheetViews>
    <sheetView showGridLines="0" topLeftCell="P1" workbookViewId="0">
      <pane ySplit="1" topLeftCell="A15" activePane="bottomLeft" state="frozen"/>
      <selection pane="bottomLeft" activeCell="AI21" sqref="AI21"/>
    </sheetView>
  </sheetViews>
  <sheetFormatPr defaultColWidth="9" defaultRowHeight="15" x14ac:dyDescent="0.25"/>
  <cols>
    <col min="1" max="1" width="1.75" style="71" customWidth="1"/>
    <col min="2" max="2" width="17.125" style="71" bestFit="1" customWidth="1"/>
    <col min="3" max="3" width="24.25" style="71" bestFit="1" customWidth="1"/>
    <col min="4" max="4" width="11.5" style="71" customWidth="1"/>
    <col min="5" max="5" width="12.75" style="71" bestFit="1" customWidth="1"/>
    <col min="6" max="6" width="11" style="71" customWidth="1"/>
    <col min="7" max="29" width="8.875" style="71" customWidth="1"/>
    <col min="30" max="31" width="9" style="71"/>
    <col min="32" max="32" width="10.25" style="71" bestFit="1" customWidth="1"/>
    <col min="33" max="16384" width="9" style="71"/>
  </cols>
  <sheetData>
    <row r="1" spans="2:28" ht="26.25" x14ac:dyDescent="0.25">
      <c r="B1" s="54" t="s">
        <v>187</v>
      </c>
      <c r="C1" s="4"/>
      <c r="D1" s="72"/>
      <c r="E1" s="7"/>
    </row>
    <row r="3" spans="2:28" x14ac:dyDescent="0.25">
      <c r="B3" s="73" t="s">
        <v>34</v>
      </c>
    </row>
    <row r="4" spans="2:28" ht="15.75" thickBot="1" x14ac:dyDescent="0.3">
      <c r="B4" s="74" t="s">
        <v>35</v>
      </c>
      <c r="C4" s="74" t="s">
        <v>192</v>
      </c>
      <c r="D4" s="74" t="s">
        <v>37</v>
      </c>
      <c r="E4" s="74" t="s">
        <v>313</v>
      </c>
    </row>
    <row r="5" spans="2:28" ht="25.5" x14ac:dyDescent="0.25">
      <c r="B5" s="1" t="s">
        <v>82</v>
      </c>
      <c r="C5" s="1" t="s">
        <v>27</v>
      </c>
      <c r="D5" s="1" t="s">
        <v>83</v>
      </c>
      <c r="E5" s="1" t="s">
        <v>84</v>
      </c>
    </row>
    <row r="6" spans="2:28" s="46" customFormat="1" x14ac:dyDescent="0.25">
      <c r="B6" s="46" t="str">
        <f>'Commodities &amp; Processes'!L7</f>
        <v>FT-RSDBGS</v>
      </c>
      <c r="C6" s="46" t="str">
        <f>'Commodities &amp; Processes'!M7</f>
        <v>RSD fuel Tech: Biogas</v>
      </c>
      <c r="D6" s="67">
        <v>1</v>
      </c>
      <c r="E6" s="67">
        <v>1</v>
      </c>
    </row>
    <row r="7" spans="2:28" s="46" customFormat="1" x14ac:dyDescent="0.25">
      <c r="B7" s="46" t="str">
        <f>'Commodities &amp; Processes'!L8</f>
        <v>FT-RSDBIO</v>
      </c>
      <c r="C7" s="46" t="str">
        <f>'Commodities &amp; Processes'!M8</f>
        <v>RSD fuel Tech: Biomass</v>
      </c>
      <c r="D7" s="67">
        <v>1</v>
      </c>
      <c r="E7" s="67">
        <v>1</v>
      </c>
    </row>
    <row r="8" spans="2:28" s="46" customFormat="1" x14ac:dyDescent="0.25">
      <c r="B8" s="46" t="str">
        <f>'Commodities &amp; Processes'!L9</f>
        <v>FT-RSDCOA</v>
      </c>
      <c r="C8" s="46" t="str">
        <f>'Commodities &amp; Processes'!M9</f>
        <v>RSD fuel Tech: Coal</v>
      </c>
      <c r="D8" s="67">
        <v>1</v>
      </c>
      <c r="E8" s="67">
        <v>1</v>
      </c>
    </row>
    <row r="9" spans="2:28" s="46" customFormat="1" x14ac:dyDescent="0.25">
      <c r="B9" s="46" t="str">
        <f>'Commodities &amp; Processes'!L10</f>
        <v>FT-RSDELC</v>
      </c>
      <c r="C9" s="46" t="str">
        <f>'Commodities &amp; Processes'!M10</f>
        <v>RSD fuel Tech: Electricity</v>
      </c>
      <c r="D9" s="67">
        <v>1</v>
      </c>
      <c r="E9" s="67">
        <v>1</v>
      </c>
    </row>
    <row r="10" spans="2:28" s="46" customFormat="1" x14ac:dyDescent="0.25">
      <c r="B10" s="46" t="str">
        <f>'Commodities &amp; Processes'!L11</f>
        <v>FT-RSDGEO</v>
      </c>
      <c r="C10" s="46" t="str">
        <f>'Commodities &amp; Processes'!M11</f>
        <v>RSD fuel Tech: Geothermal</v>
      </c>
      <c r="D10" s="67">
        <v>1</v>
      </c>
      <c r="E10" s="67">
        <v>1</v>
      </c>
    </row>
    <row r="11" spans="2:28" s="46" customFormat="1" x14ac:dyDescent="0.25">
      <c r="B11" s="46" t="str">
        <f>'Commodities &amp; Processes'!L12</f>
        <v>FT-RSDHET</v>
      </c>
      <c r="C11" s="46" t="str">
        <f>'Commodities &amp; Processes'!M12</f>
        <v>RSD fuel Tech: Heat</v>
      </c>
      <c r="D11" s="67">
        <v>1</v>
      </c>
      <c r="E11" s="67">
        <v>1</v>
      </c>
    </row>
    <row r="12" spans="2:28" s="46" customFormat="1" x14ac:dyDescent="0.25">
      <c r="B12" s="46" t="str">
        <f>'Commodities &amp; Processes'!L13</f>
        <v>FT-RSDBLQ</v>
      </c>
      <c r="C12" s="46" t="str">
        <f>'Commodities &amp; Processes'!M13</f>
        <v>RSD fuel Tech: Liquid biofuels</v>
      </c>
      <c r="D12" s="67">
        <v>1</v>
      </c>
      <c r="E12" s="67">
        <v>1</v>
      </c>
    </row>
    <row r="13" spans="2:28" s="46" customFormat="1" x14ac:dyDescent="0.25">
      <c r="B13" s="46" t="str">
        <f>'Commodities &amp; Processes'!L14</f>
        <v>FT-RSDLPG</v>
      </c>
      <c r="C13" s="46" t="str">
        <f>'Commodities &amp; Processes'!M14</f>
        <v>RSD fuel Tech: LPG</v>
      </c>
      <c r="D13" s="67">
        <v>1</v>
      </c>
      <c r="E13" s="67">
        <v>1</v>
      </c>
    </row>
    <row r="14" spans="2:28" s="46" customFormat="1" x14ac:dyDescent="0.25">
      <c r="B14" s="46" t="str">
        <f>'Commodities &amp; Processes'!L15</f>
        <v>FT-RSDGAS</v>
      </c>
      <c r="C14" s="46" t="str">
        <f>'Commodities &amp; Processes'!M15</f>
        <v>RSD fuel Tech: Natural gas</v>
      </c>
      <c r="D14" s="67">
        <v>1</v>
      </c>
      <c r="E14" s="67">
        <v>1</v>
      </c>
    </row>
    <row r="15" spans="2:28" s="46" customFormat="1" x14ac:dyDescent="0.25">
      <c r="B15" s="46" t="str">
        <f>'Commodities &amp; Processes'!L16</f>
        <v>FT-RSDGAM</v>
      </c>
      <c r="C15" s="46" t="str">
        <f>'Commodities &amp; Processes'!M16</f>
        <v>RSD fuel Tech: Manufactured gas</v>
      </c>
      <c r="D15" s="67">
        <v>1</v>
      </c>
      <c r="E15" s="67">
        <v>1</v>
      </c>
    </row>
    <row r="16" spans="2:28" s="46" customFormat="1" x14ac:dyDescent="0.25">
      <c r="B16" s="46" t="str">
        <f>'Commodities &amp; Processes'!L17</f>
        <v>FT-RSDOIL</v>
      </c>
      <c r="C16" s="46" t="str">
        <f>'Commodities &amp; Processes'!M17</f>
        <v>RSD fuel Tech: Oil</v>
      </c>
      <c r="D16" s="67">
        <v>1</v>
      </c>
      <c r="E16" s="67">
        <v>1</v>
      </c>
      <c r="AB16" s="46">
        <f>SUMIFS('OMNIA - Key Inputs_EB'!AD$6:AD$17,'OMNIA - Key Inputs_EB'!$E$6:$E$17,'Fuel Techs'!$E23)</f>
        <v>389</v>
      </c>
    </row>
    <row r="17" spans="2:36" s="46" customFormat="1" x14ac:dyDescent="0.25">
      <c r="B17" s="48" t="str">
        <f>'Commodities &amp; Processes'!L18</f>
        <v>FT-RSDSOL</v>
      </c>
      <c r="C17" s="48" t="str">
        <f>'Commodities &amp; Processes'!M18</f>
        <v>RSD fuel Tech: Solar</v>
      </c>
      <c r="D17" s="75">
        <v>1</v>
      </c>
      <c r="E17" s="75">
        <v>1</v>
      </c>
      <c r="AE17" s="71"/>
      <c r="AF17" s="71"/>
      <c r="AG17" s="71"/>
      <c r="AH17" s="71"/>
      <c r="AI17" s="71"/>
      <c r="AJ17" s="71"/>
    </row>
    <row r="19" spans="2:36" x14ac:dyDescent="0.25">
      <c r="B19" s="73" t="s">
        <v>34</v>
      </c>
      <c r="C19" s="73"/>
    </row>
    <row r="20" spans="2:36" ht="15.75" thickBot="1" x14ac:dyDescent="0.3">
      <c r="B20" s="74" t="s">
        <v>35</v>
      </c>
      <c r="C20" s="74" t="s">
        <v>192</v>
      </c>
      <c r="D20" s="77" t="s">
        <v>188</v>
      </c>
      <c r="E20" s="77" t="s">
        <v>189</v>
      </c>
      <c r="F20" s="74" t="s">
        <v>309</v>
      </c>
      <c r="G20" s="74" t="s">
        <v>40</v>
      </c>
      <c r="H20" s="74" t="s">
        <v>47</v>
      </c>
      <c r="I20" s="74" t="s">
        <v>314</v>
      </c>
      <c r="J20" s="74" t="s">
        <v>315</v>
      </c>
      <c r="K20" s="74" t="s">
        <v>317</v>
      </c>
      <c r="L20" s="74" t="s">
        <v>316</v>
      </c>
      <c r="M20" s="74" t="s">
        <v>318</v>
      </c>
      <c r="N20" s="74" t="s">
        <v>319</v>
      </c>
      <c r="O20" s="74" t="s">
        <v>320</v>
      </c>
      <c r="P20" s="74" t="s">
        <v>321</v>
      </c>
      <c r="Q20" s="74" t="s">
        <v>1</v>
      </c>
      <c r="R20" s="74" t="s">
        <v>2</v>
      </c>
      <c r="S20" s="74" t="s">
        <v>416</v>
      </c>
      <c r="T20" s="74" t="s">
        <v>3</v>
      </c>
      <c r="U20" s="74" t="s">
        <v>322</v>
      </c>
      <c r="V20" s="74" t="s">
        <v>323</v>
      </c>
      <c r="W20" s="74" t="s">
        <v>324</v>
      </c>
      <c r="X20" s="74" t="s">
        <v>417</v>
      </c>
      <c r="Y20" s="74" t="s">
        <v>325</v>
      </c>
      <c r="Z20" s="74" t="s">
        <v>4</v>
      </c>
      <c r="AA20" s="74" t="s">
        <v>5</v>
      </c>
      <c r="AB20" s="74" t="s">
        <v>6</v>
      </c>
      <c r="AC20" s="74" t="s">
        <v>7</v>
      </c>
      <c r="AD20" s="74" t="s">
        <v>418</v>
      </c>
      <c r="AE20" s="74" t="s">
        <v>8</v>
      </c>
      <c r="AF20" s="74" t="s">
        <v>9</v>
      </c>
      <c r="AG20" s="74" t="s">
        <v>419</v>
      </c>
      <c r="AH20" s="74" t="s">
        <v>10</v>
      </c>
      <c r="AI20" s="74" t="s">
        <v>420</v>
      </c>
      <c r="AJ20" s="74" t="s">
        <v>11</v>
      </c>
    </row>
    <row r="21" spans="2:36" customFormat="1" ht="51" x14ac:dyDescent="0.25">
      <c r="B21" s="1" t="s">
        <v>190</v>
      </c>
      <c r="C21" s="1" t="s">
        <v>27</v>
      </c>
      <c r="D21" s="2" t="s">
        <v>197</v>
      </c>
      <c r="E21" s="2" t="s">
        <v>198</v>
      </c>
      <c r="F21" s="1" t="s">
        <v>85</v>
      </c>
      <c r="G21" s="1" t="s">
        <v>372</v>
      </c>
      <c r="H21" s="1" t="s">
        <v>371</v>
      </c>
      <c r="I21" s="1" t="s">
        <v>327</v>
      </c>
      <c r="J21" s="1" t="s">
        <v>328</v>
      </c>
      <c r="K21" s="1" t="s">
        <v>330</v>
      </c>
      <c r="L21" s="1" t="s">
        <v>329</v>
      </c>
      <c r="M21" s="1" t="s">
        <v>331</v>
      </c>
      <c r="N21" s="1" t="s">
        <v>332</v>
      </c>
      <c r="O21" s="1" t="s">
        <v>333</v>
      </c>
      <c r="P21" s="1" t="s">
        <v>334</v>
      </c>
      <c r="Q21" s="1" t="s">
        <v>87</v>
      </c>
      <c r="R21" s="1" t="s">
        <v>88</v>
      </c>
      <c r="S21" s="1" t="s">
        <v>425</v>
      </c>
      <c r="T21" s="1" t="s">
        <v>426</v>
      </c>
      <c r="U21" s="1" t="s">
        <v>335</v>
      </c>
      <c r="V21" s="1" t="s">
        <v>336</v>
      </c>
      <c r="W21" s="1" t="s">
        <v>337</v>
      </c>
      <c r="X21" s="1" t="s">
        <v>427</v>
      </c>
      <c r="Y21" s="1" t="s">
        <v>338</v>
      </c>
      <c r="Z21" s="1" t="s">
        <v>428</v>
      </c>
      <c r="AA21" s="1" t="s">
        <v>89</v>
      </c>
      <c r="AB21" s="1" t="s">
        <v>90</v>
      </c>
      <c r="AC21" s="1" t="s">
        <v>91</v>
      </c>
      <c r="AD21" s="1" t="s">
        <v>429</v>
      </c>
      <c r="AE21" s="1" t="s">
        <v>430</v>
      </c>
      <c r="AF21" s="1" t="s">
        <v>92</v>
      </c>
      <c r="AG21" s="1" t="s">
        <v>431</v>
      </c>
      <c r="AH21" s="1" t="s">
        <v>432</v>
      </c>
      <c r="AI21" s="1" t="s">
        <v>587</v>
      </c>
      <c r="AJ21" s="1" t="s">
        <v>339</v>
      </c>
    </row>
    <row r="22" spans="2:36" s="46" customFormat="1" x14ac:dyDescent="0.25">
      <c r="B22" s="46" t="str">
        <f>B6</f>
        <v>FT-RSDBGS</v>
      </c>
      <c r="C22" s="46" t="str">
        <f>C6</f>
        <v>RSD fuel Tech: Biogas</v>
      </c>
      <c r="D22" s="223" t="s">
        <v>577</v>
      </c>
      <c r="E22" s="46" t="str">
        <f>Legend!B63</f>
        <v>RSDBGS</v>
      </c>
      <c r="F22" s="67">
        <v>1</v>
      </c>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row>
    <row r="23" spans="2:36" s="46" customFormat="1" x14ac:dyDescent="0.25">
      <c r="B23" s="46" t="str">
        <f>B8</f>
        <v>FT-RSDCOA</v>
      </c>
      <c r="C23" s="46" t="str">
        <f>C8</f>
        <v>RSD fuel Tech: Coal</v>
      </c>
      <c r="D23" s="223" t="s">
        <v>351</v>
      </c>
      <c r="E23" s="46" t="str">
        <f>Legend!B65</f>
        <v>RSDCOA</v>
      </c>
      <c r="F23" s="67">
        <v>1</v>
      </c>
      <c r="G23" s="46" t="s">
        <v>67</v>
      </c>
      <c r="H23" s="46" t="s">
        <v>77</v>
      </c>
      <c r="I23" s="227">
        <f>1-SUM(I24:I25)</f>
        <v>0</v>
      </c>
      <c r="J23" s="227">
        <f t="shared" ref="J23:AJ23" si="0">1-SUM(J24:J25)</f>
        <v>1</v>
      </c>
      <c r="K23" s="227">
        <f t="shared" si="0"/>
        <v>1</v>
      </c>
      <c r="L23" s="227">
        <f t="shared" si="0"/>
        <v>1</v>
      </c>
      <c r="M23" s="227">
        <f t="shared" si="0"/>
        <v>0.89964157706093195</v>
      </c>
      <c r="N23" s="227">
        <f t="shared" si="0"/>
        <v>0.89783990656060864</v>
      </c>
      <c r="O23" s="227">
        <f t="shared" si="0"/>
        <v>1</v>
      </c>
      <c r="P23" s="227">
        <f t="shared" si="0"/>
        <v>1</v>
      </c>
      <c r="Q23" s="227">
        <f t="shared" si="0"/>
        <v>1</v>
      </c>
      <c r="R23" s="227">
        <f t="shared" si="0"/>
        <v>1</v>
      </c>
      <c r="S23" s="227">
        <f t="shared" si="0"/>
        <v>1</v>
      </c>
      <c r="T23" s="227">
        <f t="shared" si="0"/>
        <v>1</v>
      </c>
      <c r="U23" s="227">
        <f t="shared" si="0"/>
        <v>0.67168353265869363</v>
      </c>
      <c r="V23" s="227">
        <f t="shared" si="0"/>
        <v>1</v>
      </c>
      <c r="W23" s="227">
        <f t="shared" si="0"/>
        <v>0.89868648561654296</v>
      </c>
      <c r="X23" s="227">
        <f t="shared" si="0"/>
        <v>0.95114789108382269</v>
      </c>
      <c r="Y23" s="227">
        <f t="shared" si="0"/>
        <v>0.5267038660821044</v>
      </c>
      <c r="Z23" s="227">
        <f t="shared" si="0"/>
        <v>1</v>
      </c>
      <c r="AA23" s="227">
        <f t="shared" si="0"/>
        <v>1</v>
      </c>
      <c r="AB23" s="227">
        <f t="shared" si="0"/>
        <v>1</v>
      </c>
      <c r="AC23" s="227">
        <f t="shared" si="0"/>
        <v>0.98257173219978744</v>
      </c>
      <c r="AD23" s="227">
        <f t="shared" si="0"/>
        <v>0.58325583939609427</v>
      </c>
      <c r="AE23" s="227">
        <f t="shared" si="0"/>
        <v>1</v>
      </c>
      <c r="AF23" s="227">
        <f t="shared" si="0"/>
        <v>1</v>
      </c>
      <c r="AG23" s="227">
        <f t="shared" si="0"/>
        <v>1</v>
      </c>
      <c r="AH23" s="227">
        <f t="shared" si="0"/>
        <v>0.81454044840697515</v>
      </c>
      <c r="AI23" s="227">
        <f t="shared" si="0"/>
        <v>1</v>
      </c>
      <c r="AJ23" s="227">
        <f t="shared" si="0"/>
        <v>1</v>
      </c>
    </row>
    <row r="24" spans="2:36" s="46" customFormat="1" x14ac:dyDescent="0.25">
      <c r="D24" s="223" t="s">
        <v>369</v>
      </c>
      <c r="G24" s="46" t="s">
        <v>67</v>
      </c>
      <c r="H24" s="46" t="s">
        <v>77</v>
      </c>
      <c r="I24" s="227">
        <f>IFERROR(SUMIFS('OMNIA - Key Inputs_EB'!H$23:H$43,'OMNIA - Key Inputs_EB'!$F$23:$F$43,'Fuel Techs'!$D24)/(SUMIFS('OMNIA - Key Inputs_EB'!H$6:H$17,'OMNIA - Key Inputs_EB'!$E$6:$E$17,'Fuel Techs'!$E23)/1000),0%)</f>
        <v>0</v>
      </c>
      <c r="J24" s="227">
        <f>IFERROR(SUMIFS('OMNIA - Key Inputs_EB'!I$23:I$43,'OMNIA - Key Inputs_EB'!$F$23:$F$43,'Fuel Techs'!$D24)/(SUMIFS('OMNIA - Key Inputs_EB'!I$6:I$17,'OMNIA - Key Inputs_EB'!$E$6:$E$17,'Fuel Techs'!$E23)/1000),0%)</f>
        <v>0</v>
      </c>
      <c r="K24" s="227">
        <f>IFERROR(SUMIFS('OMNIA - Key Inputs_EB'!J$23:J$43,'OMNIA - Key Inputs_EB'!$F$23:$F$43,'Fuel Techs'!$D24)/(SUMIFS('OMNIA - Key Inputs_EB'!J$6:J$17,'OMNIA - Key Inputs_EB'!$E$6:$E$17,'Fuel Techs'!$E23)/1000),0%)</f>
        <v>0</v>
      </c>
      <c r="L24" s="227">
        <f>IFERROR(SUMIFS('OMNIA - Key Inputs_EB'!K$23:K$43,'OMNIA - Key Inputs_EB'!$F$23:$F$43,'Fuel Techs'!$D24)/(SUMIFS('OMNIA - Key Inputs_EB'!K$6:K$17,'OMNIA - Key Inputs_EB'!$E$6:$E$17,'Fuel Techs'!$E23)/1000),0%)</f>
        <v>0</v>
      </c>
      <c r="M24" s="227">
        <f>IFERROR(SUMIFS('OMNIA - Key Inputs_EB'!L$23:L$43,'OMNIA - Key Inputs_EB'!$F$23:$F$43,'Fuel Techs'!$D24)/(SUMIFS('OMNIA - Key Inputs_EB'!L$6:L$17,'OMNIA - Key Inputs_EB'!$E$6:$E$17,'Fuel Techs'!$E23)/1000),0%)</f>
        <v>0</v>
      </c>
      <c r="N24" s="227">
        <f>IFERROR(SUMIFS('OMNIA - Key Inputs_EB'!M$23:M$43,'OMNIA - Key Inputs_EB'!$F$23:$F$43,'Fuel Techs'!$D24)/(SUMIFS('OMNIA - Key Inputs_EB'!M$6:M$17,'OMNIA - Key Inputs_EB'!$E$6:$E$17,'Fuel Techs'!$E23)/1000),0%)</f>
        <v>0</v>
      </c>
      <c r="O24" s="227">
        <f>IFERROR(SUMIFS('OMNIA - Key Inputs_EB'!N$23:N$43,'OMNIA - Key Inputs_EB'!$F$23:$F$43,'Fuel Techs'!$D24)/(SUMIFS('OMNIA - Key Inputs_EB'!N$6:N$17,'OMNIA - Key Inputs_EB'!$E$6:$E$17,'Fuel Techs'!$E23)/1000),0%)</f>
        <v>0</v>
      </c>
      <c r="P24" s="227">
        <f>IFERROR(SUMIFS('OMNIA - Key Inputs_EB'!O$23:O$43,'OMNIA - Key Inputs_EB'!$F$23:$F$43,'Fuel Techs'!$D24)/(SUMIFS('OMNIA - Key Inputs_EB'!O$6:O$17,'OMNIA - Key Inputs_EB'!$E$6:$E$17,'Fuel Techs'!$E23)/1000),0%)</f>
        <v>0</v>
      </c>
      <c r="Q24" s="227">
        <f>IFERROR(SUMIFS('OMNIA - Key Inputs_EB'!P$23:P$43,'OMNIA - Key Inputs_EB'!$F$23:$F$43,'Fuel Techs'!$D24)/(SUMIFS('OMNIA - Key Inputs_EB'!P$6:P$17,'OMNIA - Key Inputs_EB'!$E$6:$E$17,'Fuel Techs'!$E23)/1000),0%)</f>
        <v>0</v>
      </c>
      <c r="R24" s="227">
        <f>IFERROR(SUMIFS('OMNIA - Key Inputs_EB'!Q$23:Q$43,'OMNIA - Key Inputs_EB'!$F$23:$F$43,'Fuel Techs'!$D24)/(SUMIFS('OMNIA - Key Inputs_EB'!Q$6:Q$17,'OMNIA - Key Inputs_EB'!$E$6:$E$17,'Fuel Techs'!$E23)/1000),0%)</f>
        <v>0</v>
      </c>
      <c r="S24" s="227">
        <f>IFERROR(SUMIFS('OMNIA - Key Inputs_EB'!R$23:R$43,'OMNIA - Key Inputs_EB'!$F$23:$F$43,'Fuel Techs'!$D24)/(SUMIFS('OMNIA - Key Inputs_EB'!R$6:R$17,'OMNIA - Key Inputs_EB'!$E$6:$E$17,'Fuel Techs'!$E23)/1000),0%)</f>
        <v>0</v>
      </c>
      <c r="T24" s="227">
        <f>IFERROR(SUMIFS('OMNIA - Key Inputs_EB'!S$23:S$43,'OMNIA - Key Inputs_EB'!$F$23:$F$43,'Fuel Techs'!$D24)/(SUMIFS('OMNIA - Key Inputs_EB'!S$6:S$17,'OMNIA - Key Inputs_EB'!$E$6:$E$17,'Fuel Techs'!$E23)/1000),0%)</f>
        <v>0</v>
      </c>
      <c r="U24" s="227">
        <f>IFERROR(SUMIFS('OMNIA - Key Inputs_EB'!T$23:T$43,'OMNIA - Key Inputs_EB'!$F$23:$F$43,'Fuel Techs'!$D24)/(SUMIFS('OMNIA - Key Inputs_EB'!T$6:T$17,'OMNIA - Key Inputs_EB'!$E$6:$E$17,'Fuel Techs'!$E23)/1000),0%)</f>
        <v>0</v>
      </c>
      <c r="V24" s="227">
        <f>IFERROR(SUMIFS('OMNIA - Key Inputs_EB'!U$23:U$43,'OMNIA - Key Inputs_EB'!$F$23:$F$43,'Fuel Techs'!$D24)/(SUMIFS('OMNIA - Key Inputs_EB'!U$6:U$17,'OMNIA - Key Inputs_EB'!$E$6:$E$17,'Fuel Techs'!$E23)/1000),0%)</f>
        <v>0</v>
      </c>
      <c r="W24" s="227">
        <f>IFERROR(SUMIFS('OMNIA - Key Inputs_EB'!V$23:V$43,'OMNIA - Key Inputs_EB'!$F$23:$F$43,'Fuel Techs'!$D24)/(SUMIFS('OMNIA - Key Inputs_EB'!V$6:V$17,'OMNIA - Key Inputs_EB'!$E$6:$E$17,'Fuel Techs'!$E23)/1000),0%)</f>
        <v>0</v>
      </c>
      <c r="X24" s="227">
        <f>IFERROR(SUMIFS('OMNIA - Key Inputs_EB'!W$23:W$43,'OMNIA - Key Inputs_EB'!$F$23:$F$43,'Fuel Techs'!$D24)/(SUMIFS('OMNIA - Key Inputs_EB'!W$6:W$17,'OMNIA - Key Inputs_EB'!$E$6:$E$17,'Fuel Techs'!$E23)/1000),0%)</f>
        <v>0</v>
      </c>
      <c r="Y24" s="227">
        <f>IFERROR(SUMIFS('OMNIA - Key Inputs_EB'!X$23:X$43,'OMNIA - Key Inputs_EB'!$F$23:$F$43,'Fuel Techs'!$D24)/(SUMIFS('OMNIA - Key Inputs_EB'!X$6:X$17,'OMNIA - Key Inputs_EB'!$E$6:$E$17,'Fuel Techs'!$E23)/1000),0%)</f>
        <v>0</v>
      </c>
      <c r="Z24" s="227">
        <f>IFERROR(SUMIFS('OMNIA - Key Inputs_EB'!Y$23:Y$43,'OMNIA - Key Inputs_EB'!$F$23:$F$43,'Fuel Techs'!$D24)/(SUMIFS('OMNIA - Key Inputs_EB'!Y$6:Y$17,'OMNIA - Key Inputs_EB'!$E$6:$E$17,'Fuel Techs'!$E23)/1000),0%)</f>
        <v>0</v>
      </c>
      <c r="AA24" s="227">
        <f>IFERROR(SUMIFS('OMNIA - Key Inputs_EB'!Z$23:Z$43,'OMNIA - Key Inputs_EB'!$F$23:$F$43,'Fuel Techs'!$D24)/(SUMIFS('OMNIA - Key Inputs_EB'!Z$6:Z$17,'OMNIA - Key Inputs_EB'!$E$6:$E$17,'Fuel Techs'!$E23)/1000),0%)</f>
        <v>0</v>
      </c>
      <c r="AB24" s="227">
        <f>IFERROR(SUMIFS('OMNIA - Key Inputs_EB'!AA$23:AA$43,'OMNIA - Key Inputs_EB'!$F$23:$F$43,'Fuel Techs'!$D24)/(SUMIFS('OMNIA - Key Inputs_EB'!AA$6:AA$17,'OMNIA - Key Inputs_EB'!$E$6:$E$17,'Fuel Techs'!$E23)/1000),0%)</f>
        <v>0</v>
      </c>
      <c r="AC24" s="227">
        <f>IFERROR(SUMIFS('OMNIA - Key Inputs_EB'!AB$23:AB$43,'OMNIA - Key Inputs_EB'!$F$23:$F$43,'Fuel Techs'!$D24)/(SUMIFS('OMNIA - Key Inputs_EB'!AB$6:AB$17,'OMNIA - Key Inputs_EB'!$E$6:$E$17,'Fuel Techs'!$E23)/1000),0%)</f>
        <v>0</v>
      </c>
      <c r="AD24" s="227">
        <f>IFERROR(SUMIFS('OMNIA - Key Inputs_EB'!AC$23:AC$43,'OMNIA - Key Inputs_EB'!$F$23:$F$43,'Fuel Techs'!$D24)/(SUMIFS('OMNIA - Key Inputs_EB'!AC$6:AC$17,'OMNIA - Key Inputs_EB'!$E$6:$E$17,'Fuel Techs'!$E23)/1000),0%)</f>
        <v>0</v>
      </c>
      <c r="AE24" s="227">
        <f>IFERROR(SUMIFS('OMNIA - Key Inputs_EB'!AD$23:AD$43,'OMNIA - Key Inputs_EB'!$F$23:$F$43,'Fuel Techs'!$D24)/(SUMIFS('OMNIA - Key Inputs_EB'!AD$6:AD$17,'OMNIA - Key Inputs_EB'!$E$6:$E$17,'Fuel Techs'!$E23)/1000),0%)</f>
        <v>0</v>
      </c>
      <c r="AF24" s="227">
        <f>IFERROR(SUMIFS('OMNIA - Key Inputs_EB'!AE$23:AE$43,'OMNIA - Key Inputs_EB'!$F$23:$F$43,'Fuel Techs'!$D24)/(SUMIFS('OMNIA - Key Inputs_EB'!AE$6:AE$17,'OMNIA - Key Inputs_EB'!$E$6:$E$17,'Fuel Techs'!$E23)/1000),0%)</f>
        <v>0</v>
      </c>
      <c r="AG24" s="227">
        <f>IFERROR(SUMIFS('OMNIA - Key Inputs_EB'!AF$23:AF$43,'OMNIA - Key Inputs_EB'!$F$23:$F$43,'Fuel Techs'!$D24)/(SUMIFS('OMNIA - Key Inputs_EB'!AF$6:AF$17,'OMNIA - Key Inputs_EB'!$E$6:$E$17,'Fuel Techs'!$E23)/1000),0%)</f>
        <v>0</v>
      </c>
      <c r="AH24" s="227">
        <f>IFERROR(SUMIFS('OMNIA - Key Inputs_EB'!AG$23:AG$43,'OMNIA - Key Inputs_EB'!$F$23:$F$43,'Fuel Techs'!$D24)/(SUMIFS('OMNIA - Key Inputs_EB'!AG$6:AG$17,'OMNIA - Key Inputs_EB'!$E$6:$E$17,'Fuel Techs'!$E23)/1000),0%)</f>
        <v>0</v>
      </c>
      <c r="AI24" s="227">
        <f>IFERROR(SUMIFS('OMNIA - Key Inputs_EB'!AH$23:AH$43,'OMNIA - Key Inputs_EB'!$F$23:$F$43,'Fuel Techs'!$D24)/(SUMIFS('OMNIA - Key Inputs_EB'!AH$6:AH$17,'OMNIA - Key Inputs_EB'!$E$6:$E$17,'Fuel Techs'!$E23)/1000),0%)</f>
        <v>0</v>
      </c>
      <c r="AJ24" s="227">
        <f>IFERROR(SUMIFS('OMNIA - Key Inputs_EB'!AI$23:AI$43,'OMNIA - Key Inputs_EB'!$F$23:$F$43,'Fuel Techs'!$D24)/(SUMIFS('OMNIA - Key Inputs_EB'!AI$6:AI$17,'OMNIA - Key Inputs_EB'!$E$6:$E$17,'Fuel Techs'!$E23)/1000),0%)</f>
        <v>0</v>
      </c>
    </row>
    <row r="25" spans="2:36" s="46" customFormat="1" x14ac:dyDescent="0.25">
      <c r="D25" s="223" t="s">
        <v>450</v>
      </c>
      <c r="G25" s="46" t="s">
        <v>67</v>
      </c>
      <c r="H25" s="46" t="s">
        <v>77</v>
      </c>
      <c r="I25" s="227">
        <f>IFERROR(SUMIFS('OMNIA - Key Inputs_EB'!H$23:H$43,'OMNIA - Key Inputs_EB'!$F$23:$F$43,'Fuel Techs'!$D25)/(SUMIFS('OMNIA - Key Inputs_EB'!H$6:H$17,'OMNIA - Key Inputs_EB'!$E$6:$E$17,'Fuel Techs'!$E23)/1000),0%)</f>
        <v>1</v>
      </c>
      <c r="J25" s="227">
        <f>IFERROR(SUMIFS('OMNIA - Key Inputs_EB'!I$23:I$43,'OMNIA - Key Inputs_EB'!$F$23:$F$43,'Fuel Techs'!$D25)/(SUMIFS('OMNIA - Key Inputs_EB'!I$6:I$17,'OMNIA - Key Inputs_EB'!$E$6:$E$17,'Fuel Techs'!$E23)/1000),0%)</f>
        <v>0</v>
      </c>
      <c r="K25" s="227">
        <f>IFERROR(SUMIFS('OMNIA - Key Inputs_EB'!J$23:J$43,'OMNIA - Key Inputs_EB'!$F$23:$F$43,'Fuel Techs'!$D25)/(SUMIFS('OMNIA - Key Inputs_EB'!J$6:J$17,'OMNIA - Key Inputs_EB'!$E$6:$E$17,'Fuel Techs'!$E23)/1000),0%)</f>
        <v>0</v>
      </c>
      <c r="L25" s="227">
        <f>IFERROR(SUMIFS('OMNIA - Key Inputs_EB'!K$23:K$43,'OMNIA - Key Inputs_EB'!$F$23:$F$43,'Fuel Techs'!$D25)/(SUMIFS('OMNIA - Key Inputs_EB'!K$6:K$17,'OMNIA - Key Inputs_EB'!$E$6:$E$17,'Fuel Techs'!$E23)/1000),0%)</f>
        <v>0</v>
      </c>
      <c r="M25" s="227">
        <f>IFERROR(SUMIFS('OMNIA - Key Inputs_EB'!L$23:L$43,'OMNIA - Key Inputs_EB'!$F$23:$F$43,'Fuel Techs'!$D25)/(SUMIFS('OMNIA - Key Inputs_EB'!L$6:L$17,'OMNIA - Key Inputs_EB'!$E$6:$E$17,'Fuel Techs'!$E23)/1000),0%)</f>
        <v>0.10035842293906809</v>
      </c>
      <c r="N25" s="227">
        <f>IFERROR(SUMIFS('OMNIA - Key Inputs_EB'!M$23:M$43,'OMNIA - Key Inputs_EB'!$F$23:$F$43,'Fuel Techs'!$D25)/(SUMIFS('OMNIA - Key Inputs_EB'!M$6:M$17,'OMNIA - Key Inputs_EB'!$E$6:$E$17,'Fuel Techs'!$E23)/1000),0%)</f>
        <v>0.10216009343939136</v>
      </c>
      <c r="O25" s="227">
        <f>IFERROR(SUMIFS('OMNIA - Key Inputs_EB'!N$23:N$43,'OMNIA - Key Inputs_EB'!$F$23:$F$43,'Fuel Techs'!$D25)/(SUMIFS('OMNIA - Key Inputs_EB'!N$6:N$17,'OMNIA - Key Inputs_EB'!$E$6:$E$17,'Fuel Techs'!$E23)/1000),0%)</f>
        <v>0</v>
      </c>
      <c r="P25" s="227">
        <f>IFERROR(SUMIFS('OMNIA - Key Inputs_EB'!O$23:O$43,'OMNIA - Key Inputs_EB'!$F$23:$F$43,'Fuel Techs'!$D25)/(SUMIFS('OMNIA - Key Inputs_EB'!O$6:O$17,'OMNIA - Key Inputs_EB'!$E$6:$E$17,'Fuel Techs'!$E23)/1000),0%)</f>
        <v>0</v>
      </c>
      <c r="Q25" s="227">
        <f>IFERROR(SUMIFS('OMNIA - Key Inputs_EB'!P$23:P$43,'OMNIA - Key Inputs_EB'!$F$23:$F$43,'Fuel Techs'!$D25)/(SUMIFS('OMNIA - Key Inputs_EB'!P$6:P$17,'OMNIA - Key Inputs_EB'!$E$6:$E$17,'Fuel Techs'!$E23)/1000),0%)</f>
        <v>0</v>
      </c>
      <c r="R25" s="227">
        <f>IFERROR(SUMIFS('OMNIA - Key Inputs_EB'!Q$23:Q$43,'OMNIA - Key Inputs_EB'!$F$23:$F$43,'Fuel Techs'!$D25)/(SUMIFS('OMNIA - Key Inputs_EB'!Q$6:Q$17,'OMNIA - Key Inputs_EB'!$E$6:$E$17,'Fuel Techs'!$E23)/1000),0%)</f>
        <v>0</v>
      </c>
      <c r="S25" s="227">
        <f>IFERROR(SUMIFS('OMNIA - Key Inputs_EB'!R$23:R$43,'OMNIA - Key Inputs_EB'!$F$23:$F$43,'Fuel Techs'!$D25)/(SUMIFS('OMNIA - Key Inputs_EB'!R$6:R$17,'OMNIA - Key Inputs_EB'!$E$6:$E$17,'Fuel Techs'!$E23)/1000),0%)</f>
        <v>0</v>
      </c>
      <c r="T25" s="227">
        <f>IFERROR(SUMIFS('OMNIA - Key Inputs_EB'!S$23:S$43,'OMNIA - Key Inputs_EB'!$F$23:$F$43,'Fuel Techs'!$D25)/(SUMIFS('OMNIA - Key Inputs_EB'!S$6:S$17,'OMNIA - Key Inputs_EB'!$E$6:$E$17,'Fuel Techs'!$E23)/1000),0%)</f>
        <v>0</v>
      </c>
      <c r="U25" s="227">
        <f>IFERROR(SUMIFS('OMNIA - Key Inputs_EB'!T$23:T$43,'OMNIA - Key Inputs_EB'!$F$23:$F$43,'Fuel Techs'!$D25)/(SUMIFS('OMNIA - Key Inputs_EB'!T$6:T$17,'OMNIA - Key Inputs_EB'!$E$6:$E$17,'Fuel Techs'!$E23)/1000),0%)</f>
        <v>0.32831646734130637</v>
      </c>
      <c r="V25" s="227">
        <f>IFERROR(SUMIFS('OMNIA - Key Inputs_EB'!U$23:U$43,'OMNIA - Key Inputs_EB'!$F$23:$F$43,'Fuel Techs'!$D25)/(SUMIFS('OMNIA - Key Inputs_EB'!U$6:U$17,'OMNIA - Key Inputs_EB'!$E$6:$E$17,'Fuel Techs'!$E23)/1000),0%)</f>
        <v>0</v>
      </c>
      <c r="W25" s="227">
        <f>IFERROR(SUMIFS('OMNIA - Key Inputs_EB'!V$23:V$43,'OMNIA - Key Inputs_EB'!$F$23:$F$43,'Fuel Techs'!$D25)/(SUMIFS('OMNIA - Key Inputs_EB'!V$6:V$17,'OMNIA - Key Inputs_EB'!$E$6:$E$17,'Fuel Techs'!$E23)/1000),0%)</f>
        <v>0.10131351438345707</v>
      </c>
      <c r="X25" s="227">
        <f>IFERROR(SUMIFS('OMNIA - Key Inputs_EB'!W$23:W$43,'OMNIA - Key Inputs_EB'!$F$23:$F$43,'Fuel Techs'!$D25)/(SUMIFS('OMNIA - Key Inputs_EB'!W$6:W$17,'OMNIA - Key Inputs_EB'!$E$6:$E$17,'Fuel Techs'!$E23)/1000),0%)</f>
        <v>4.8852108916177257E-2</v>
      </c>
      <c r="Y25" s="227">
        <f>IFERROR(SUMIFS('OMNIA - Key Inputs_EB'!X$23:X$43,'OMNIA - Key Inputs_EB'!$F$23:$F$43,'Fuel Techs'!$D25)/(SUMIFS('OMNIA - Key Inputs_EB'!X$6:X$17,'OMNIA - Key Inputs_EB'!$E$6:$E$17,'Fuel Techs'!$E23)/1000),0%)</f>
        <v>0.47329613391789555</v>
      </c>
      <c r="Z25" s="227">
        <f>IFERROR(SUMIFS('OMNIA - Key Inputs_EB'!Y$23:Y$43,'OMNIA - Key Inputs_EB'!$F$23:$F$43,'Fuel Techs'!$D25)/(SUMIFS('OMNIA - Key Inputs_EB'!Y$6:Y$17,'OMNIA - Key Inputs_EB'!$E$6:$E$17,'Fuel Techs'!$E23)/1000),0%)</f>
        <v>0</v>
      </c>
      <c r="AA25" s="227">
        <f>IFERROR(SUMIFS('OMNIA - Key Inputs_EB'!Z$23:Z$43,'OMNIA - Key Inputs_EB'!$F$23:$F$43,'Fuel Techs'!$D25)/(SUMIFS('OMNIA - Key Inputs_EB'!Z$6:Z$17,'OMNIA - Key Inputs_EB'!$E$6:$E$17,'Fuel Techs'!$E23)/1000),0%)</f>
        <v>0</v>
      </c>
      <c r="AB25" s="227">
        <f>IFERROR(SUMIFS('OMNIA - Key Inputs_EB'!AA$23:AA$43,'OMNIA - Key Inputs_EB'!$F$23:$F$43,'Fuel Techs'!$D25)/(SUMIFS('OMNIA - Key Inputs_EB'!AA$6:AA$17,'OMNIA - Key Inputs_EB'!$E$6:$E$17,'Fuel Techs'!$E23)/1000),0%)</f>
        <v>0</v>
      </c>
      <c r="AC25" s="227">
        <f>IFERROR(SUMIFS('OMNIA - Key Inputs_EB'!AB$23:AB$43,'OMNIA - Key Inputs_EB'!$F$23:$F$43,'Fuel Techs'!$D25)/(SUMIFS('OMNIA - Key Inputs_EB'!AB$6:AB$17,'OMNIA - Key Inputs_EB'!$E$6:$E$17,'Fuel Techs'!$E23)/1000),0%)</f>
        <v>1.7428267800212539E-2</v>
      </c>
      <c r="AD25" s="227">
        <f>IFERROR(SUMIFS('OMNIA - Key Inputs_EB'!AC$23:AC$43,'OMNIA - Key Inputs_EB'!$F$23:$F$43,'Fuel Techs'!$D25)/(SUMIFS('OMNIA - Key Inputs_EB'!AC$6:AC$17,'OMNIA - Key Inputs_EB'!$E$6:$E$17,'Fuel Techs'!$E23)/1000),0%)</f>
        <v>0.41674416060390573</v>
      </c>
      <c r="AE25" s="227">
        <f>IFERROR(SUMIFS('OMNIA - Key Inputs_EB'!AD$23:AD$43,'OMNIA - Key Inputs_EB'!$F$23:$F$43,'Fuel Techs'!$D25)/(SUMIFS('OMNIA - Key Inputs_EB'!AD$6:AD$17,'OMNIA - Key Inputs_EB'!$E$6:$E$17,'Fuel Techs'!$E23)/1000),0%)</f>
        <v>0</v>
      </c>
      <c r="AF25" s="227">
        <f>IFERROR(SUMIFS('OMNIA - Key Inputs_EB'!AE$23:AE$43,'OMNIA - Key Inputs_EB'!$F$23:$F$43,'Fuel Techs'!$D25)/(SUMIFS('OMNIA - Key Inputs_EB'!AE$6:AE$17,'OMNIA - Key Inputs_EB'!$E$6:$E$17,'Fuel Techs'!$E23)/1000),0%)</f>
        <v>0</v>
      </c>
      <c r="AG25" s="227">
        <f>IFERROR(SUMIFS('OMNIA - Key Inputs_EB'!AF$23:AF$43,'OMNIA - Key Inputs_EB'!$F$23:$F$43,'Fuel Techs'!$D25)/(SUMIFS('OMNIA - Key Inputs_EB'!AF$6:AF$17,'OMNIA - Key Inputs_EB'!$E$6:$E$17,'Fuel Techs'!$E23)/1000),0%)</f>
        <v>0</v>
      </c>
      <c r="AH25" s="227">
        <f>IFERROR(SUMIFS('OMNIA - Key Inputs_EB'!AG$23:AG$43,'OMNIA - Key Inputs_EB'!$F$23:$F$43,'Fuel Techs'!$D25)/(SUMIFS('OMNIA - Key Inputs_EB'!AG$6:AG$17,'OMNIA - Key Inputs_EB'!$E$6:$E$17,'Fuel Techs'!$E23)/1000),0%)</f>
        <v>0.1854595515930248</v>
      </c>
      <c r="AI25" s="227">
        <f>IFERROR(SUMIFS('OMNIA - Key Inputs_EB'!AH$23:AH$43,'OMNIA - Key Inputs_EB'!$F$23:$F$43,'Fuel Techs'!$D25)/(SUMIFS('OMNIA - Key Inputs_EB'!AH$6:AH$17,'OMNIA - Key Inputs_EB'!$E$6:$E$17,'Fuel Techs'!$E23)/1000),0%)</f>
        <v>0</v>
      </c>
      <c r="AJ25" s="227">
        <f>IFERROR(SUMIFS('OMNIA - Key Inputs_EB'!AI$23:AI$43,'OMNIA - Key Inputs_EB'!$F$23:$F$43,'Fuel Techs'!$D25)/(SUMIFS('OMNIA - Key Inputs_EB'!AI$6:AI$17,'OMNIA - Key Inputs_EB'!$E$6:$E$17,'Fuel Techs'!$E23)/1000),0%)</f>
        <v>0</v>
      </c>
    </row>
    <row r="26" spans="2:36" s="46" customFormat="1" x14ac:dyDescent="0.25">
      <c r="B26" s="46" t="str">
        <f>B16</f>
        <v>FT-RSDOIL</v>
      </c>
      <c r="C26" s="46" t="str">
        <f>C16</f>
        <v>RSD fuel Tech: Oil</v>
      </c>
      <c r="D26" s="234" t="s">
        <v>352</v>
      </c>
      <c r="E26" s="46" t="str">
        <f>Legend!B73</f>
        <v>RSDOIL</v>
      </c>
      <c r="F26" s="67">
        <v>1</v>
      </c>
      <c r="G26" s="46" t="s">
        <v>67</v>
      </c>
      <c r="H26" s="46" t="s">
        <v>77</v>
      </c>
      <c r="I26" s="227">
        <f>1-SUM(I27:I30)</f>
        <v>0</v>
      </c>
      <c r="J26" s="227">
        <f>1-SUM(J27:J30)</f>
        <v>5.6244995996797553E-2</v>
      </c>
      <c r="K26" s="227">
        <f t="shared" ref="K26:AJ26" si="1">1-SUM(K27:K30)</f>
        <v>2.3132758971575851E-2</v>
      </c>
      <c r="L26" s="227">
        <f t="shared" si="1"/>
        <v>0.36627408158489982</v>
      </c>
      <c r="M26" s="227">
        <f t="shared" si="1"/>
        <v>1</v>
      </c>
      <c r="N26" s="227">
        <f t="shared" si="1"/>
        <v>0.91461148835460393</v>
      </c>
      <c r="O26" s="227">
        <f t="shared" si="1"/>
        <v>2.9687621114642293E-2</v>
      </c>
      <c r="P26" s="227">
        <f t="shared" si="1"/>
        <v>0.12248601981752183</v>
      </c>
      <c r="Q26" s="227">
        <f t="shared" si="1"/>
        <v>0</v>
      </c>
      <c r="R26" s="227">
        <f t="shared" si="1"/>
        <v>0.95651346464934817</v>
      </c>
      <c r="S26" s="227">
        <f t="shared" si="1"/>
        <v>0</v>
      </c>
      <c r="T26" s="227">
        <f t="shared" si="1"/>
        <v>0.13247979309413527</v>
      </c>
      <c r="U26" s="227">
        <f t="shared" si="1"/>
        <v>0.94923076923076921</v>
      </c>
      <c r="V26" s="227">
        <f t="shared" si="1"/>
        <v>0.48763428571428569</v>
      </c>
      <c r="W26" s="227">
        <f t="shared" si="1"/>
        <v>0.70230639987780663</v>
      </c>
      <c r="X26" s="227">
        <f t="shared" si="1"/>
        <v>0.97193981562818021</v>
      </c>
      <c r="Y26" s="227">
        <f t="shared" si="1"/>
        <v>0.9256465865578174</v>
      </c>
      <c r="Z26" s="227">
        <f t="shared" si="1"/>
        <v>3.0658879444485643E-2</v>
      </c>
      <c r="AA26" s="227">
        <f t="shared" si="1"/>
        <v>0</v>
      </c>
      <c r="AB26" s="227">
        <f t="shared" si="1"/>
        <v>0</v>
      </c>
      <c r="AC26" s="227">
        <f t="shared" si="1"/>
        <v>0.13158063071707282</v>
      </c>
      <c r="AD26" s="227">
        <f t="shared" si="1"/>
        <v>0.58653688668429305</v>
      </c>
      <c r="AE26" s="227">
        <f t="shared" si="1"/>
        <v>5.7617009296093258E-2</v>
      </c>
      <c r="AF26" s="227">
        <f t="shared" si="1"/>
        <v>1</v>
      </c>
      <c r="AG26" s="227">
        <f t="shared" si="1"/>
        <v>0</v>
      </c>
      <c r="AH26" s="227">
        <f t="shared" si="1"/>
        <v>0.69983007808771025</v>
      </c>
      <c r="AI26" s="227">
        <f t="shared" si="1"/>
        <v>0.23743178106202445</v>
      </c>
      <c r="AJ26" s="227">
        <f t="shared" si="1"/>
        <v>0.97435390205414352</v>
      </c>
    </row>
    <row r="27" spans="2:36" s="46" customFormat="1" x14ac:dyDescent="0.25">
      <c r="D27" s="234" t="s">
        <v>354</v>
      </c>
      <c r="G27" s="46" t="s">
        <v>67</v>
      </c>
      <c r="H27" s="46" t="s">
        <v>77</v>
      </c>
      <c r="I27" s="227">
        <f>IFERROR(SUMIFS('OMNIA - Key Inputs_EB'!H$23:H$43,'OMNIA - Key Inputs_EB'!$F$23:$F$43,'Fuel Techs'!$D27)/(SUMIFS('OMNIA - Key Inputs_EB'!H$6:H$17,'OMNIA - Key Inputs_EB'!$E$6:$E$17,'Fuel Techs'!$E26)/1000),0%)</f>
        <v>0</v>
      </c>
      <c r="J27" s="227">
        <f>IFERROR(SUMIFS('OMNIA - Key Inputs_EB'!I$23:I$43,'OMNIA - Key Inputs_EB'!$F$23:$F$43,'Fuel Techs'!$D27)/(SUMIFS('OMNIA - Key Inputs_EB'!I$6:I$17,'OMNIA - Key Inputs_EB'!$E$6:$E$17,'Fuel Techs'!$E26)/1000),0%)</f>
        <v>0</v>
      </c>
      <c r="K27" s="227">
        <f>IFERROR(SUMIFS('OMNIA - Key Inputs_EB'!J$23:J$43,'OMNIA - Key Inputs_EB'!$F$23:$F$43,'Fuel Techs'!$D27)/(SUMIFS('OMNIA - Key Inputs_EB'!J$6:J$17,'OMNIA - Key Inputs_EB'!$E$6:$E$17,'Fuel Techs'!$E26)/1000),0%)</f>
        <v>5.6509056373380363E-2</v>
      </c>
      <c r="L27" s="227">
        <f>IFERROR(SUMIFS('OMNIA - Key Inputs_EB'!K$23:K$43,'OMNIA - Key Inputs_EB'!$F$23:$F$43,'Fuel Techs'!$D27)/(SUMIFS('OMNIA - Key Inputs_EB'!K$6:K$17,'OMNIA - Key Inputs_EB'!$E$6:$E$17,'Fuel Techs'!$E26)/1000),0%)</f>
        <v>3.002885890336167E-3</v>
      </c>
      <c r="M27" s="227">
        <f>IFERROR(SUMIFS('OMNIA - Key Inputs_EB'!L$23:L$43,'OMNIA - Key Inputs_EB'!$F$23:$F$43,'Fuel Techs'!$D27)/(SUMIFS('OMNIA - Key Inputs_EB'!L$6:L$17,'OMNIA - Key Inputs_EB'!$E$6:$E$17,'Fuel Techs'!$E26)/1000),0%)</f>
        <v>0</v>
      </c>
      <c r="N27" s="227">
        <f>IFERROR(SUMIFS('OMNIA - Key Inputs_EB'!M$23:M$43,'OMNIA - Key Inputs_EB'!$F$23:$F$43,'Fuel Techs'!$D27)/(SUMIFS('OMNIA - Key Inputs_EB'!M$6:M$17,'OMNIA - Key Inputs_EB'!$E$6:$E$17,'Fuel Techs'!$E26)/1000),0%)</f>
        <v>3.4283692021853089E-4</v>
      </c>
      <c r="O27" s="227">
        <f>IFERROR(SUMIFS('OMNIA - Key Inputs_EB'!N$23:N$43,'OMNIA - Key Inputs_EB'!$F$23:$F$43,'Fuel Techs'!$D27)/(SUMIFS('OMNIA - Key Inputs_EB'!N$6:N$17,'OMNIA - Key Inputs_EB'!$E$6:$E$17,'Fuel Techs'!$E26)/1000),0%)</f>
        <v>0.87431206883187351</v>
      </c>
      <c r="P27" s="227">
        <f>IFERROR(SUMIFS('OMNIA - Key Inputs_EB'!O$23:O$43,'OMNIA - Key Inputs_EB'!$F$23:$F$43,'Fuel Techs'!$D27)/(SUMIFS('OMNIA - Key Inputs_EB'!O$6:O$17,'OMNIA - Key Inputs_EB'!$E$6:$E$17,'Fuel Techs'!$E26)/1000),0%)</f>
        <v>0</v>
      </c>
      <c r="Q27" s="227">
        <f>IFERROR(SUMIFS('OMNIA - Key Inputs_EB'!P$23:P$43,'OMNIA - Key Inputs_EB'!$F$23:$F$43,'Fuel Techs'!$D27)/(SUMIFS('OMNIA - Key Inputs_EB'!P$6:P$17,'OMNIA - Key Inputs_EB'!$E$6:$E$17,'Fuel Techs'!$E26)/1000),0%)</f>
        <v>1.1235955056179777E-2</v>
      </c>
      <c r="R27" s="227">
        <f>IFERROR(SUMIFS('OMNIA - Key Inputs_EB'!Q$23:Q$43,'OMNIA - Key Inputs_EB'!$F$23:$F$43,'Fuel Techs'!$D27)/(SUMIFS('OMNIA - Key Inputs_EB'!Q$6:Q$17,'OMNIA - Key Inputs_EB'!$E$6:$E$17,'Fuel Techs'!$E26)/1000),0%)</f>
        <v>0</v>
      </c>
      <c r="S27" s="227">
        <f>IFERROR(SUMIFS('OMNIA - Key Inputs_EB'!R$23:R$43,'OMNIA - Key Inputs_EB'!$F$23:$F$43,'Fuel Techs'!$D27)/(SUMIFS('OMNIA - Key Inputs_EB'!R$6:R$17,'OMNIA - Key Inputs_EB'!$E$6:$E$17,'Fuel Techs'!$E26)/1000),0%)</f>
        <v>0</v>
      </c>
      <c r="T27" s="227">
        <f>IFERROR(SUMIFS('OMNIA - Key Inputs_EB'!S$23:S$43,'OMNIA - Key Inputs_EB'!$F$23:$F$43,'Fuel Techs'!$D27)/(SUMIFS('OMNIA - Key Inputs_EB'!S$6:S$17,'OMNIA - Key Inputs_EB'!$E$6:$E$17,'Fuel Techs'!$E26)/1000),0%)</f>
        <v>0.86225770161600024</v>
      </c>
      <c r="U27" s="227">
        <f>IFERROR(SUMIFS('OMNIA - Key Inputs_EB'!T$23:T$43,'OMNIA - Key Inputs_EB'!$F$23:$F$43,'Fuel Techs'!$D27)/(SUMIFS('OMNIA - Key Inputs_EB'!T$6:T$17,'OMNIA - Key Inputs_EB'!$E$6:$E$17,'Fuel Techs'!$E26)/1000),0%)</f>
        <v>5.0769230769230768E-2</v>
      </c>
      <c r="V27" s="227">
        <f>IFERROR(SUMIFS('OMNIA - Key Inputs_EB'!U$23:U$43,'OMNIA - Key Inputs_EB'!$F$23:$F$43,'Fuel Techs'!$D27)/(SUMIFS('OMNIA - Key Inputs_EB'!U$6:U$17,'OMNIA - Key Inputs_EB'!$E$6:$E$17,'Fuel Techs'!$E26)/1000),0%)</f>
        <v>0</v>
      </c>
      <c r="W27" s="227">
        <f>IFERROR(SUMIFS('OMNIA - Key Inputs_EB'!V$23:V$43,'OMNIA - Key Inputs_EB'!$F$23:$F$43,'Fuel Techs'!$D27)/(SUMIFS('OMNIA - Key Inputs_EB'!V$6:V$17,'OMNIA - Key Inputs_EB'!$E$6:$E$17,'Fuel Techs'!$E26)/1000),0%)</f>
        <v>1.7030701084466169E-2</v>
      </c>
      <c r="X27" s="227">
        <f>IFERROR(SUMIFS('OMNIA - Key Inputs_EB'!W$23:W$43,'OMNIA - Key Inputs_EB'!$F$23:$F$43,'Fuel Techs'!$D27)/(SUMIFS('OMNIA - Key Inputs_EB'!W$6:W$17,'OMNIA - Key Inputs_EB'!$E$6:$E$17,'Fuel Techs'!$E26)/1000),0%)</f>
        <v>0</v>
      </c>
      <c r="Y27" s="227">
        <f>IFERROR(SUMIFS('OMNIA - Key Inputs_EB'!X$23:X$43,'OMNIA - Key Inputs_EB'!$F$23:$F$43,'Fuel Techs'!$D27)/(SUMIFS('OMNIA - Key Inputs_EB'!X$6:X$17,'OMNIA - Key Inputs_EB'!$E$6:$E$17,'Fuel Techs'!$E26)/1000),0%)</f>
        <v>1.9367475101899279E-2</v>
      </c>
      <c r="Z27" s="227">
        <f>IFERROR(SUMIFS('OMNIA - Key Inputs_EB'!Y$23:Y$43,'OMNIA - Key Inputs_EB'!$F$23:$F$43,'Fuel Techs'!$D27)/(SUMIFS('OMNIA - Key Inputs_EB'!Y$6:Y$17,'OMNIA - Key Inputs_EB'!$E$6:$E$17,'Fuel Techs'!$E26)/1000),0%)</f>
        <v>0.94098585809401825</v>
      </c>
      <c r="AA27" s="227">
        <f>IFERROR(SUMIFS('OMNIA - Key Inputs_EB'!Z$23:Z$43,'OMNIA - Key Inputs_EB'!$F$23:$F$43,'Fuel Techs'!$D27)/(SUMIFS('OMNIA - Key Inputs_EB'!Z$6:Z$17,'OMNIA - Key Inputs_EB'!$E$6:$E$17,'Fuel Techs'!$E26)/1000),0%)</f>
        <v>0</v>
      </c>
      <c r="AB27" s="227">
        <f>IFERROR(SUMIFS('OMNIA - Key Inputs_EB'!AA$23:AA$43,'OMNIA - Key Inputs_EB'!$F$23:$F$43,'Fuel Techs'!$D27)/(SUMIFS('OMNIA - Key Inputs_EB'!AA$6:AA$17,'OMNIA - Key Inputs_EB'!$E$6:$E$17,'Fuel Techs'!$E26)/1000),0%)</f>
        <v>0</v>
      </c>
      <c r="AC27" s="227">
        <f>IFERROR(SUMIFS('OMNIA - Key Inputs_EB'!AB$23:AB$43,'OMNIA - Key Inputs_EB'!$F$23:$F$43,'Fuel Techs'!$D27)/(SUMIFS('OMNIA - Key Inputs_EB'!AB$6:AB$17,'OMNIA - Key Inputs_EB'!$E$6:$E$17,'Fuel Techs'!$E26)/1000),0%)</f>
        <v>2.4435489029616838E-2</v>
      </c>
      <c r="AD27" s="227">
        <f>IFERROR(SUMIFS('OMNIA - Key Inputs_EB'!AC$23:AC$43,'OMNIA - Key Inputs_EB'!$F$23:$F$43,'Fuel Techs'!$D27)/(SUMIFS('OMNIA - Key Inputs_EB'!AC$6:AC$17,'OMNIA - Key Inputs_EB'!$E$6:$E$17,'Fuel Techs'!$E26)/1000),0%)</f>
        <v>0</v>
      </c>
      <c r="AE27" s="227">
        <f>IFERROR(SUMIFS('OMNIA - Key Inputs_EB'!AD$23:AD$43,'OMNIA - Key Inputs_EB'!$F$23:$F$43,'Fuel Techs'!$D27)/(SUMIFS('OMNIA - Key Inputs_EB'!AD$6:AD$17,'OMNIA - Key Inputs_EB'!$E$6:$E$17,'Fuel Techs'!$E26)/1000),0%)</f>
        <v>0</v>
      </c>
      <c r="AF27" s="227">
        <f>IFERROR(SUMIFS('OMNIA - Key Inputs_EB'!AE$23:AE$43,'OMNIA - Key Inputs_EB'!$F$23:$F$43,'Fuel Techs'!$D27)/(SUMIFS('OMNIA - Key Inputs_EB'!AE$6:AE$17,'OMNIA - Key Inputs_EB'!$E$6:$E$17,'Fuel Techs'!$E26)/1000),0%)</f>
        <v>0</v>
      </c>
      <c r="AG27" s="227">
        <f>IFERROR(SUMIFS('OMNIA - Key Inputs_EB'!AF$23:AF$43,'OMNIA - Key Inputs_EB'!$F$23:$F$43,'Fuel Techs'!$D27)/(SUMIFS('OMNIA - Key Inputs_EB'!AF$6:AF$17,'OMNIA - Key Inputs_EB'!$E$6:$E$17,'Fuel Techs'!$E26)/1000),0%)</f>
        <v>0</v>
      </c>
      <c r="AH27" s="227">
        <f>IFERROR(SUMIFS('OMNIA - Key Inputs_EB'!AG$23:AG$43,'OMNIA - Key Inputs_EB'!$F$23:$F$43,'Fuel Techs'!$D27)/(SUMIFS('OMNIA - Key Inputs_EB'!AG$6:AG$17,'OMNIA - Key Inputs_EB'!$E$6:$E$17,'Fuel Techs'!$E26)/1000),0%)</f>
        <v>0</v>
      </c>
      <c r="AI27" s="227">
        <f>IFERROR(SUMIFS('OMNIA - Key Inputs_EB'!AH$23:AH$43,'OMNIA - Key Inputs_EB'!$F$23:$F$43,'Fuel Techs'!$D27)/(SUMIFS('OMNIA - Key Inputs_EB'!AH$6:AH$17,'OMNIA - Key Inputs_EB'!$E$6:$E$17,'Fuel Techs'!$E26)/1000),0%)</f>
        <v>0</v>
      </c>
      <c r="AJ27" s="227">
        <f>IFERROR(SUMIFS('OMNIA - Key Inputs_EB'!AI$23:AI$43,'OMNIA - Key Inputs_EB'!$F$23:$F$43,'Fuel Techs'!$D27)/(SUMIFS('OMNIA - Key Inputs_EB'!AI$6:AI$17,'OMNIA - Key Inputs_EB'!$E$6:$E$17,'Fuel Techs'!$E26)/1000),0%)</f>
        <v>0</v>
      </c>
    </row>
    <row r="28" spans="2:36" s="46" customFormat="1" x14ac:dyDescent="0.25">
      <c r="D28" s="234" t="s">
        <v>355</v>
      </c>
      <c r="G28" s="46" t="s">
        <v>67</v>
      </c>
      <c r="H28" s="46" t="s">
        <v>77</v>
      </c>
      <c r="I28" s="227">
        <f>IFERROR(SUMIFS('OMNIA - Key Inputs_EB'!H$23:H$43,'OMNIA - Key Inputs_EB'!$F$23:$F$43,'Fuel Techs'!$D28)/(SUMIFS('OMNIA - Key Inputs_EB'!H$6:H$17,'OMNIA - Key Inputs_EB'!$E$6:$E$17,'Fuel Techs'!$E26)/1000),0%)</f>
        <v>0</v>
      </c>
      <c r="J28" s="227">
        <f>IFERROR(SUMIFS('OMNIA - Key Inputs_EB'!I$23:I$43,'OMNIA - Key Inputs_EB'!$F$23:$F$43,'Fuel Techs'!$D28)/(SUMIFS('OMNIA - Key Inputs_EB'!I$6:I$17,'OMNIA - Key Inputs_EB'!$E$6:$E$17,'Fuel Techs'!$E26)/1000),0%)</f>
        <v>0</v>
      </c>
      <c r="K28" s="227">
        <f>IFERROR(SUMIFS('OMNIA - Key Inputs_EB'!J$23:J$43,'OMNIA - Key Inputs_EB'!$F$23:$F$43,'Fuel Techs'!$D28)/(SUMIFS('OMNIA - Key Inputs_EB'!J$6:J$17,'OMNIA - Key Inputs_EB'!$E$6:$E$17,'Fuel Techs'!$E26)/1000),0%)</f>
        <v>7.4621803134115733E-3</v>
      </c>
      <c r="L28" s="227">
        <f>IFERROR(SUMIFS('OMNIA - Key Inputs_EB'!K$23:K$43,'OMNIA - Key Inputs_EB'!$F$23:$F$43,'Fuel Techs'!$D28)/(SUMIFS('OMNIA - Key Inputs_EB'!K$6:K$17,'OMNIA - Key Inputs_EB'!$E$6:$E$17,'Fuel Techs'!$E26)/1000),0%)</f>
        <v>0</v>
      </c>
      <c r="M28" s="227">
        <f>IFERROR(SUMIFS('OMNIA - Key Inputs_EB'!L$23:L$43,'OMNIA - Key Inputs_EB'!$F$23:$F$43,'Fuel Techs'!$D28)/(SUMIFS('OMNIA - Key Inputs_EB'!L$6:L$17,'OMNIA - Key Inputs_EB'!$E$6:$E$17,'Fuel Techs'!$E26)/1000),0%)</f>
        <v>0</v>
      </c>
      <c r="N28" s="227">
        <f>IFERROR(SUMIFS('OMNIA - Key Inputs_EB'!M$23:M$43,'OMNIA - Key Inputs_EB'!$F$23:$F$43,'Fuel Techs'!$D28)/(SUMIFS('OMNIA - Key Inputs_EB'!M$6:M$17,'OMNIA - Key Inputs_EB'!$E$6:$E$17,'Fuel Techs'!$E26)/1000),0%)</f>
        <v>0</v>
      </c>
      <c r="O28" s="227">
        <f>IFERROR(SUMIFS('OMNIA - Key Inputs_EB'!N$23:N$43,'OMNIA - Key Inputs_EB'!$F$23:$F$43,'Fuel Techs'!$D28)/(SUMIFS('OMNIA - Key Inputs_EB'!N$6:N$17,'OMNIA - Key Inputs_EB'!$E$6:$E$17,'Fuel Techs'!$E26)/1000),0%)</f>
        <v>0</v>
      </c>
      <c r="P28" s="227">
        <f>IFERROR(SUMIFS('OMNIA - Key Inputs_EB'!O$23:O$43,'OMNIA - Key Inputs_EB'!$F$23:$F$43,'Fuel Techs'!$D28)/(SUMIFS('OMNIA - Key Inputs_EB'!O$6:O$17,'OMNIA - Key Inputs_EB'!$E$6:$E$17,'Fuel Techs'!$E26)/1000),0%)</f>
        <v>0</v>
      </c>
      <c r="Q28" s="227">
        <f>IFERROR(SUMIFS('OMNIA - Key Inputs_EB'!P$23:P$43,'OMNIA - Key Inputs_EB'!$F$23:$F$43,'Fuel Techs'!$D28)/(SUMIFS('OMNIA - Key Inputs_EB'!P$6:P$17,'OMNIA - Key Inputs_EB'!$E$6:$E$17,'Fuel Techs'!$E26)/1000),0%)</f>
        <v>0</v>
      </c>
      <c r="R28" s="227">
        <f>IFERROR(SUMIFS('OMNIA - Key Inputs_EB'!Q$23:Q$43,'OMNIA - Key Inputs_EB'!$F$23:$F$43,'Fuel Techs'!$D28)/(SUMIFS('OMNIA - Key Inputs_EB'!Q$6:Q$17,'OMNIA - Key Inputs_EB'!$E$6:$E$17,'Fuel Techs'!$E26)/1000),0%)</f>
        <v>0</v>
      </c>
      <c r="S28" s="227">
        <f>IFERROR(SUMIFS('OMNIA - Key Inputs_EB'!R$23:R$43,'OMNIA - Key Inputs_EB'!$F$23:$F$43,'Fuel Techs'!$D28)/(SUMIFS('OMNIA - Key Inputs_EB'!R$6:R$17,'OMNIA - Key Inputs_EB'!$E$6:$E$17,'Fuel Techs'!$E26)/1000),0%)</f>
        <v>0</v>
      </c>
      <c r="T28" s="227">
        <f>IFERROR(SUMIFS('OMNIA - Key Inputs_EB'!S$23:S$43,'OMNIA - Key Inputs_EB'!$F$23:$F$43,'Fuel Techs'!$D28)/(SUMIFS('OMNIA - Key Inputs_EB'!S$6:S$17,'OMNIA - Key Inputs_EB'!$E$6:$E$17,'Fuel Techs'!$E26)/1000),0%)</f>
        <v>0</v>
      </c>
      <c r="U28" s="227">
        <f>IFERROR(SUMIFS('OMNIA - Key Inputs_EB'!T$23:T$43,'OMNIA - Key Inputs_EB'!$F$23:$F$43,'Fuel Techs'!$D28)/(SUMIFS('OMNIA - Key Inputs_EB'!T$6:T$17,'OMNIA - Key Inputs_EB'!$E$6:$E$17,'Fuel Techs'!$E26)/1000),0%)</f>
        <v>0</v>
      </c>
      <c r="V28" s="227">
        <f>IFERROR(SUMIFS('OMNIA - Key Inputs_EB'!U$23:U$43,'OMNIA - Key Inputs_EB'!$F$23:$F$43,'Fuel Techs'!$D28)/(SUMIFS('OMNIA - Key Inputs_EB'!U$6:U$17,'OMNIA - Key Inputs_EB'!$E$6:$E$17,'Fuel Techs'!$E26)/1000),0%)</f>
        <v>0</v>
      </c>
      <c r="W28" s="227">
        <f>IFERROR(SUMIFS('OMNIA - Key Inputs_EB'!V$23:V$43,'OMNIA - Key Inputs_EB'!$F$23:$F$43,'Fuel Techs'!$D28)/(SUMIFS('OMNIA - Key Inputs_EB'!V$6:V$17,'OMNIA - Key Inputs_EB'!$E$6:$E$17,'Fuel Techs'!$E26)/1000),0%)</f>
        <v>0.28066289903772718</v>
      </c>
      <c r="X28" s="227">
        <f>IFERROR(SUMIFS('OMNIA - Key Inputs_EB'!W$23:W$43,'OMNIA - Key Inputs_EB'!$F$23:$F$43,'Fuel Techs'!$D28)/(SUMIFS('OMNIA - Key Inputs_EB'!W$6:W$17,'OMNIA - Key Inputs_EB'!$E$6:$E$17,'Fuel Techs'!$E26)/1000),0%)</f>
        <v>0</v>
      </c>
      <c r="Y28" s="227">
        <f>IFERROR(SUMIFS('OMNIA - Key Inputs_EB'!X$23:X$43,'OMNIA - Key Inputs_EB'!$F$23:$F$43,'Fuel Techs'!$D28)/(SUMIFS('OMNIA - Key Inputs_EB'!X$6:X$17,'OMNIA - Key Inputs_EB'!$E$6:$E$17,'Fuel Techs'!$E26)/1000),0%)</f>
        <v>1.6897501226905524E-3</v>
      </c>
      <c r="Z28" s="227">
        <f>IFERROR(SUMIFS('OMNIA - Key Inputs_EB'!Y$23:Y$43,'OMNIA - Key Inputs_EB'!$F$23:$F$43,'Fuel Techs'!$D28)/(SUMIFS('OMNIA - Key Inputs_EB'!Y$6:Y$17,'OMNIA - Key Inputs_EB'!$E$6:$E$17,'Fuel Techs'!$E26)/1000),0%)</f>
        <v>0</v>
      </c>
      <c r="AA28" s="227">
        <f>IFERROR(SUMIFS('OMNIA - Key Inputs_EB'!Z$23:Z$43,'OMNIA - Key Inputs_EB'!$F$23:$F$43,'Fuel Techs'!$D28)/(SUMIFS('OMNIA - Key Inputs_EB'!Z$6:Z$17,'OMNIA - Key Inputs_EB'!$E$6:$E$17,'Fuel Techs'!$E26)/1000),0%)</f>
        <v>0</v>
      </c>
      <c r="AB28" s="227">
        <f>IFERROR(SUMIFS('OMNIA - Key Inputs_EB'!AA$23:AA$43,'OMNIA - Key Inputs_EB'!$F$23:$F$43,'Fuel Techs'!$D28)/(SUMIFS('OMNIA - Key Inputs_EB'!AA$6:AA$17,'OMNIA - Key Inputs_EB'!$E$6:$E$17,'Fuel Techs'!$E26)/1000),0%)</f>
        <v>0</v>
      </c>
      <c r="AC28" s="227">
        <f>IFERROR(SUMIFS('OMNIA - Key Inputs_EB'!AB$23:AB$43,'OMNIA - Key Inputs_EB'!$F$23:$F$43,'Fuel Techs'!$D28)/(SUMIFS('OMNIA - Key Inputs_EB'!AB$6:AB$17,'OMNIA - Key Inputs_EB'!$E$6:$E$17,'Fuel Techs'!$E26)/1000),0%)</f>
        <v>0</v>
      </c>
      <c r="AD28" s="227">
        <f>IFERROR(SUMIFS('OMNIA - Key Inputs_EB'!AC$23:AC$43,'OMNIA - Key Inputs_EB'!$F$23:$F$43,'Fuel Techs'!$D28)/(SUMIFS('OMNIA - Key Inputs_EB'!AC$6:AC$17,'OMNIA - Key Inputs_EB'!$E$6:$E$17,'Fuel Techs'!$E26)/1000),0%)</f>
        <v>0.30171506118533425</v>
      </c>
      <c r="AE28" s="227">
        <f>IFERROR(SUMIFS('OMNIA - Key Inputs_EB'!AD$23:AD$43,'OMNIA - Key Inputs_EB'!$F$23:$F$43,'Fuel Techs'!$D28)/(SUMIFS('OMNIA - Key Inputs_EB'!AD$6:AD$17,'OMNIA - Key Inputs_EB'!$E$6:$E$17,'Fuel Techs'!$E26)/1000),0%)</f>
        <v>0</v>
      </c>
      <c r="AF28" s="227">
        <f>IFERROR(SUMIFS('OMNIA - Key Inputs_EB'!AE$23:AE$43,'OMNIA - Key Inputs_EB'!$F$23:$F$43,'Fuel Techs'!$D28)/(SUMIFS('OMNIA - Key Inputs_EB'!AE$6:AE$17,'OMNIA - Key Inputs_EB'!$E$6:$E$17,'Fuel Techs'!$E26)/1000),0%)</f>
        <v>0</v>
      </c>
      <c r="AG28" s="227">
        <f>IFERROR(SUMIFS('OMNIA - Key Inputs_EB'!AF$23:AF$43,'OMNIA - Key Inputs_EB'!$F$23:$F$43,'Fuel Techs'!$D28)/(SUMIFS('OMNIA - Key Inputs_EB'!AF$6:AF$17,'OMNIA - Key Inputs_EB'!$E$6:$E$17,'Fuel Techs'!$E26)/1000),0%)</f>
        <v>0</v>
      </c>
      <c r="AH28" s="227">
        <f>IFERROR(SUMIFS('OMNIA - Key Inputs_EB'!AG$23:AG$43,'OMNIA - Key Inputs_EB'!$F$23:$F$43,'Fuel Techs'!$D28)/(SUMIFS('OMNIA - Key Inputs_EB'!AG$6:AG$17,'OMNIA - Key Inputs_EB'!$E$6:$E$17,'Fuel Techs'!$E26)/1000),0%)</f>
        <v>0.29435630143001701</v>
      </c>
      <c r="AI28" s="227">
        <f>IFERROR(SUMIFS('OMNIA - Key Inputs_EB'!AH$23:AH$43,'OMNIA - Key Inputs_EB'!$F$23:$F$43,'Fuel Techs'!$D28)/(SUMIFS('OMNIA - Key Inputs_EB'!AH$6:AH$17,'OMNIA - Key Inputs_EB'!$E$6:$E$17,'Fuel Techs'!$E26)/1000),0%)</f>
        <v>0</v>
      </c>
      <c r="AJ28" s="227">
        <f>IFERROR(SUMIFS('OMNIA - Key Inputs_EB'!AI$23:AI$43,'OMNIA - Key Inputs_EB'!$F$23:$F$43,'Fuel Techs'!$D28)/(SUMIFS('OMNIA - Key Inputs_EB'!AI$6:AI$17,'OMNIA - Key Inputs_EB'!$E$6:$E$17,'Fuel Techs'!$E26)/1000),0%)</f>
        <v>0</v>
      </c>
    </row>
    <row r="29" spans="2:36" s="46" customFormat="1" x14ac:dyDescent="0.25">
      <c r="D29" s="306" t="s">
        <v>423</v>
      </c>
      <c r="G29" s="46" t="s">
        <v>67</v>
      </c>
      <c r="H29" s="46" t="s">
        <v>77</v>
      </c>
      <c r="I29" s="227">
        <f>IFERROR(SUMIFS('OMNIA - Key Inputs_EB'!H$23:H$43,'OMNIA - Key Inputs_EB'!$F$23:$F$43,'Fuel Techs'!$D29)/(SUMIFS('OMNIA - Key Inputs_EB'!H$6:H$17,'OMNIA - Key Inputs_EB'!$E$6:$E$17,'Fuel Techs'!$E26)/1000),0%)</f>
        <v>0</v>
      </c>
      <c r="J29" s="227">
        <f>IFERROR(SUMIFS('OMNIA - Key Inputs_EB'!I$23:I$43,'OMNIA - Key Inputs_EB'!$F$23:$F$43,'Fuel Techs'!$D29)/(SUMIFS('OMNIA - Key Inputs_EB'!I$6:I$17,'OMNIA - Key Inputs_EB'!$E$6:$E$17,'Fuel Techs'!$E26)/1000),0%)</f>
        <v>0</v>
      </c>
      <c r="K29" s="227">
        <f>IFERROR(SUMIFS('OMNIA - Key Inputs_EB'!J$23:J$43,'OMNIA - Key Inputs_EB'!$F$23:$F$43,'Fuel Techs'!$D29)/(SUMIFS('OMNIA - Key Inputs_EB'!J$6:J$17,'OMNIA - Key Inputs_EB'!$E$6:$E$17,'Fuel Techs'!$E26)/1000),0%)</f>
        <v>0</v>
      </c>
      <c r="L29" s="227">
        <f>IFERROR(SUMIFS('OMNIA - Key Inputs_EB'!K$23:K$43,'OMNIA - Key Inputs_EB'!$F$23:$F$43,'Fuel Techs'!$D29)/(SUMIFS('OMNIA - Key Inputs_EB'!K$6:K$17,'OMNIA - Key Inputs_EB'!$E$6:$E$17,'Fuel Techs'!$E26)/1000),0%)</f>
        <v>0</v>
      </c>
      <c r="M29" s="227">
        <f>IFERROR(SUMIFS('OMNIA - Key Inputs_EB'!L$23:L$43,'OMNIA - Key Inputs_EB'!$F$23:$F$43,'Fuel Techs'!$D29)/(SUMIFS('OMNIA - Key Inputs_EB'!L$6:L$17,'OMNIA - Key Inputs_EB'!$E$6:$E$17,'Fuel Techs'!$E26)/1000),0%)</f>
        <v>0</v>
      </c>
      <c r="N29" s="227">
        <f>IFERROR(SUMIFS('OMNIA - Key Inputs_EB'!M$23:M$43,'OMNIA - Key Inputs_EB'!$F$23:$F$43,'Fuel Techs'!$D29)/(SUMIFS('OMNIA - Key Inputs_EB'!M$6:M$17,'OMNIA - Key Inputs_EB'!$E$6:$E$17,'Fuel Techs'!$E26)/1000),0%)</f>
        <v>1.5372365132379289E-3</v>
      </c>
      <c r="O29" s="227">
        <f>IFERROR(SUMIFS('OMNIA - Key Inputs_EB'!N$23:N$43,'OMNIA - Key Inputs_EB'!$F$23:$F$43,'Fuel Techs'!$D29)/(SUMIFS('OMNIA - Key Inputs_EB'!N$6:N$17,'OMNIA - Key Inputs_EB'!$E$6:$E$17,'Fuel Techs'!$E26)/1000),0%)</f>
        <v>0</v>
      </c>
      <c r="P29" s="227">
        <f>IFERROR(SUMIFS('OMNIA - Key Inputs_EB'!O$23:O$43,'OMNIA - Key Inputs_EB'!$F$23:$F$43,'Fuel Techs'!$D29)/(SUMIFS('OMNIA - Key Inputs_EB'!O$6:O$17,'OMNIA - Key Inputs_EB'!$E$6:$E$17,'Fuel Techs'!$E26)/1000),0%)</f>
        <v>0</v>
      </c>
      <c r="Q29" s="227">
        <f>IFERROR(SUMIFS('OMNIA - Key Inputs_EB'!P$23:P$43,'OMNIA - Key Inputs_EB'!$F$23:$F$43,'Fuel Techs'!$D29)/(SUMIFS('OMNIA - Key Inputs_EB'!P$6:P$17,'OMNIA - Key Inputs_EB'!$E$6:$E$17,'Fuel Techs'!$E26)/1000),0%)</f>
        <v>0</v>
      </c>
      <c r="R29" s="227">
        <f>IFERROR(SUMIFS('OMNIA - Key Inputs_EB'!Q$23:Q$43,'OMNIA - Key Inputs_EB'!$F$23:$F$43,'Fuel Techs'!$D29)/(SUMIFS('OMNIA - Key Inputs_EB'!Q$6:Q$17,'OMNIA - Key Inputs_EB'!$E$6:$E$17,'Fuel Techs'!$E26)/1000),0%)</f>
        <v>0</v>
      </c>
      <c r="S29" s="227">
        <f>IFERROR(SUMIFS('OMNIA - Key Inputs_EB'!R$23:R$43,'OMNIA - Key Inputs_EB'!$F$23:$F$43,'Fuel Techs'!$D29)/(SUMIFS('OMNIA - Key Inputs_EB'!R$6:R$17,'OMNIA - Key Inputs_EB'!$E$6:$E$17,'Fuel Techs'!$E26)/1000),0%)</f>
        <v>0</v>
      </c>
      <c r="T29" s="227">
        <f>IFERROR(SUMIFS('OMNIA - Key Inputs_EB'!S$23:S$43,'OMNIA - Key Inputs_EB'!$F$23:$F$43,'Fuel Techs'!$D29)/(SUMIFS('OMNIA - Key Inputs_EB'!S$6:S$17,'OMNIA - Key Inputs_EB'!$E$6:$E$17,'Fuel Techs'!$E26)/1000),0%)</f>
        <v>0</v>
      </c>
      <c r="U29" s="227">
        <f>IFERROR(SUMIFS('OMNIA - Key Inputs_EB'!T$23:T$43,'OMNIA - Key Inputs_EB'!$F$23:$F$43,'Fuel Techs'!$D29)/(SUMIFS('OMNIA - Key Inputs_EB'!T$6:T$17,'OMNIA - Key Inputs_EB'!$E$6:$E$17,'Fuel Techs'!$E26)/1000),0%)</f>
        <v>0</v>
      </c>
      <c r="V29" s="227">
        <f>IFERROR(SUMIFS('OMNIA - Key Inputs_EB'!U$23:U$43,'OMNIA - Key Inputs_EB'!$F$23:$F$43,'Fuel Techs'!$D29)/(SUMIFS('OMNIA - Key Inputs_EB'!U$6:U$17,'OMNIA - Key Inputs_EB'!$E$6:$E$17,'Fuel Techs'!$E26)/1000),0%)</f>
        <v>0</v>
      </c>
      <c r="W29" s="227">
        <f>IFERROR(SUMIFS('OMNIA - Key Inputs_EB'!V$23:V$43,'OMNIA - Key Inputs_EB'!$F$23:$F$43,'Fuel Techs'!$D29)/(SUMIFS('OMNIA - Key Inputs_EB'!V$6:V$17,'OMNIA - Key Inputs_EB'!$E$6:$E$17,'Fuel Techs'!$E26)/1000),0%)</f>
        <v>0</v>
      </c>
      <c r="X29" s="227">
        <f>IFERROR(SUMIFS('OMNIA - Key Inputs_EB'!W$23:W$43,'OMNIA - Key Inputs_EB'!$F$23:$F$43,'Fuel Techs'!$D29)/(SUMIFS('OMNIA - Key Inputs_EB'!W$6:W$17,'OMNIA - Key Inputs_EB'!$E$6:$E$17,'Fuel Techs'!$E26)/1000),0%)</f>
        <v>6.6628435425112621E-4</v>
      </c>
      <c r="Y29" s="227">
        <f>IFERROR(SUMIFS('OMNIA - Key Inputs_EB'!X$23:X$43,'OMNIA - Key Inputs_EB'!$F$23:$F$43,'Fuel Techs'!$D29)/(SUMIFS('OMNIA - Key Inputs_EB'!X$6:X$17,'OMNIA - Key Inputs_EB'!$E$6:$E$17,'Fuel Techs'!$E26)/1000),0%)</f>
        <v>5.7304569378201345E-5</v>
      </c>
      <c r="Z29" s="227">
        <f>IFERROR(SUMIFS('OMNIA - Key Inputs_EB'!Y$23:Y$43,'OMNIA - Key Inputs_EB'!$F$23:$F$43,'Fuel Techs'!$D29)/(SUMIFS('OMNIA - Key Inputs_EB'!Y$6:Y$17,'OMNIA - Key Inputs_EB'!$E$6:$E$17,'Fuel Techs'!$E26)/1000),0%)</f>
        <v>0</v>
      </c>
      <c r="AA29" s="227">
        <f>IFERROR(SUMIFS('OMNIA - Key Inputs_EB'!Z$23:Z$43,'OMNIA - Key Inputs_EB'!$F$23:$F$43,'Fuel Techs'!$D29)/(SUMIFS('OMNIA - Key Inputs_EB'!Z$6:Z$17,'OMNIA - Key Inputs_EB'!$E$6:$E$17,'Fuel Techs'!$E26)/1000),0%)</f>
        <v>0</v>
      </c>
      <c r="AB29" s="227">
        <f>IFERROR(SUMIFS('OMNIA - Key Inputs_EB'!AA$23:AA$43,'OMNIA - Key Inputs_EB'!$F$23:$F$43,'Fuel Techs'!$D29)/(SUMIFS('OMNIA - Key Inputs_EB'!AA$6:AA$17,'OMNIA - Key Inputs_EB'!$E$6:$E$17,'Fuel Techs'!$E26)/1000),0%)</f>
        <v>0</v>
      </c>
      <c r="AC29" s="227">
        <f>IFERROR(SUMIFS('OMNIA - Key Inputs_EB'!AB$23:AB$43,'OMNIA - Key Inputs_EB'!$F$23:$F$43,'Fuel Techs'!$D29)/(SUMIFS('OMNIA - Key Inputs_EB'!AB$6:AB$17,'OMNIA - Key Inputs_EB'!$E$6:$E$17,'Fuel Techs'!$E26)/1000),0%)</f>
        <v>2.7953687711891512E-2</v>
      </c>
      <c r="AD29" s="227">
        <f>IFERROR(SUMIFS('OMNIA - Key Inputs_EB'!AC$23:AC$43,'OMNIA - Key Inputs_EB'!$F$23:$F$43,'Fuel Techs'!$D29)/(SUMIFS('OMNIA - Key Inputs_EB'!AC$6:AC$17,'OMNIA - Key Inputs_EB'!$E$6:$E$17,'Fuel Techs'!$E26)/1000),0%)</f>
        <v>0</v>
      </c>
      <c r="AE29" s="227">
        <f>IFERROR(SUMIFS('OMNIA - Key Inputs_EB'!AD$23:AD$43,'OMNIA - Key Inputs_EB'!$F$23:$F$43,'Fuel Techs'!$D29)/(SUMIFS('OMNIA - Key Inputs_EB'!AD$6:AD$17,'OMNIA - Key Inputs_EB'!$E$6:$E$17,'Fuel Techs'!$E26)/1000),0%)</f>
        <v>0</v>
      </c>
      <c r="AF29" s="227">
        <f>IFERROR(SUMIFS('OMNIA - Key Inputs_EB'!AE$23:AE$43,'OMNIA - Key Inputs_EB'!$F$23:$F$43,'Fuel Techs'!$D29)/(SUMIFS('OMNIA - Key Inputs_EB'!AE$6:AE$17,'OMNIA - Key Inputs_EB'!$E$6:$E$17,'Fuel Techs'!$E26)/1000),0%)</f>
        <v>0</v>
      </c>
      <c r="AG29" s="227">
        <f>IFERROR(SUMIFS('OMNIA - Key Inputs_EB'!AF$23:AF$43,'OMNIA - Key Inputs_EB'!$F$23:$F$43,'Fuel Techs'!$D29)/(SUMIFS('OMNIA - Key Inputs_EB'!AF$6:AF$17,'OMNIA - Key Inputs_EB'!$E$6:$E$17,'Fuel Techs'!$E26)/1000),0%)</f>
        <v>0</v>
      </c>
      <c r="AH29" s="227">
        <f>IFERROR(SUMIFS('OMNIA - Key Inputs_EB'!AG$23:AG$43,'OMNIA - Key Inputs_EB'!$F$23:$F$43,'Fuel Techs'!$D29)/(SUMIFS('OMNIA - Key Inputs_EB'!AG$6:AG$17,'OMNIA - Key Inputs_EB'!$E$6:$E$17,'Fuel Techs'!$E26)/1000),0%)</f>
        <v>5.8136204822727532E-3</v>
      </c>
      <c r="AI29" s="227">
        <f>IFERROR(SUMIFS('OMNIA - Key Inputs_EB'!AH$23:AH$43,'OMNIA - Key Inputs_EB'!$F$23:$F$43,'Fuel Techs'!$D29)/(SUMIFS('OMNIA - Key Inputs_EB'!AH$6:AH$17,'OMNIA - Key Inputs_EB'!$E$6:$E$17,'Fuel Techs'!$E26)/1000),0%)</f>
        <v>7.3606740230251363E-2</v>
      </c>
      <c r="AJ29" s="227">
        <f>IFERROR(SUMIFS('OMNIA - Key Inputs_EB'!AI$23:AI$43,'OMNIA - Key Inputs_EB'!$F$23:$F$43,'Fuel Techs'!$D29)/(SUMIFS('OMNIA - Key Inputs_EB'!AI$6:AI$17,'OMNIA - Key Inputs_EB'!$E$6:$E$17,'Fuel Techs'!$E26)/1000),0%)</f>
        <v>0</v>
      </c>
    </row>
    <row r="30" spans="2:36" s="46" customFormat="1" x14ac:dyDescent="0.25">
      <c r="D30" s="234" t="s">
        <v>356</v>
      </c>
      <c r="G30" s="46" t="s">
        <v>67</v>
      </c>
      <c r="H30" s="46" t="s">
        <v>77</v>
      </c>
      <c r="I30" s="227">
        <f>IFERROR(SUMIFS('OMNIA - Key Inputs_EB'!H$23:H$43,'OMNIA - Key Inputs_EB'!$F$23:$F$43,'Fuel Techs'!$D30)/(SUMIFS('OMNIA - Key Inputs_EB'!H$6:H$17,'OMNIA - Key Inputs_EB'!$E$6:$E$17,'Fuel Techs'!$E26)/1000),0%)</f>
        <v>1</v>
      </c>
      <c r="J30" s="227">
        <f>IFERROR(SUMIFS('OMNIA - Key Inputs_EB'!I$23:I$43,'OMNIA - Key Inputs_EB'!$F$23:$F$43,'Fuel Techs'!$D30)/(SUMIFS('OMNIA - Key Inputs_EB'!I$6:I$17,'OMNIA - Key Inputs_EB'!$E$6:$E$17,'Fuel Techs'!$E26)/1000),0%)</f>
        <v>0.94375500400320245</v>
      </c>
      <c r="K30" s="227">
        <f>IFERROR(SUMIFS('OMNIA - Key Inputs_EB'!J$23:J$43,'OMNIA - Key Inputs_EB'!$F$23:$F$43,'Fuel Techs'!$D30)/(SUMIFS('OMNIA - Key Inputs_EB'!J$6:J$17,'OMNIA - Key Inputs_EB'!$E$6:$E$17,'Fuel Techs'!$E26)/1000),0%)</f>
        <v>0.91289600434163221</v>
      </c>
      <c r="L30" s="227">
        <f>IFERROR(SUMIFS('OMNIA - Key Inputs_EB'!K$23:K$43,'OMNIA - Key Inputs_EB'!$F$23:$F$43,'Fuel Techs'!$D30)/(SUMIFS('OMNIA - Key Inputs_EB'!K$6:K$17,'OMNIA - Key Inputs_EB'!$E$6:$E$17,'Fuel Techs'!$E26)/1000),0%)</f>
        <v>0.63072303252476403</v>
      </c>
      <c r="M30" s="227">
        <f>IFERROR(SUMIFS('OMNIA - Key Inputs_EB'!L$23:L$43,'OMNIA - Key Inputs_EB'!$F$23:$F$43,'Fuel Techs'!$D30)/(SUMIFS('OMNIA - Key Inputs_EB'!L$6:L$17,'OMNIA - Key Inputs_EB'!$E$6:$E$17,'Fuel Techs'!$E26)/1000),0%)</f>
        <v>0</v>
      </c>
      <c r="N30" s="227">
        <f>IFERROR(SUMIFS('OMNIA - Key Inputs_EB'!M$23:M$43,'OMNIA - Key Inputs_EB'!$F$23:$F$43,'Fuel Techs'!$D30)/(SUMIFS('OMNIA - Key Inputs_EB'!M$6:M$17,'OMNIA - Key Inputs_EB'!$E$6:$E$17,'Fuel Techs'!$E26)/1000),0%)</f>
        <v>8.3508438211939581E-2</v>
      </c>
      <c r="O30" s="227">
        <f>IFERROR(SUMIFS('OMNIA - Key Inputs_EB'!N$23:N$43,'OMNIA - Key Inputs_EB'!$F$23:$F$43,'Fuel Techs'!$D30)/(SUMIFS('OMNIA - Key Inputs_EB'!N$6:N$17,'OMNIA - Key Inputs_EB'!$E$6:$E$17,'Fuel Techs'!$E26)/1000),0%)</f>
        <v>9.6000310053484222E-2</v>
      </c>
      <c r="P30" s="227">
        <f>IFERROR(SUMIFS('OMNIA - Key Inputs_EB'!O$23:O$43,'OMNIA - Key Inputs_EB'!$F$23:$F$43,'Fuel Techs'!$D30)/(SUMIFS('OMNIA - Key Inputs_EB'!O$6:O$17,'OMNIA - Key Inputs_EB'!$E$6:$E$17,'Fuel Techs'!$E26)/1000),0%)</f>
        <v>0.87751398018247817</v>
      </c>
      <c r="Q30" s="227">
        <f>IFERROR(SUMIFS('OMNIA - Key Inputs_EB'!P$23:P$43,'OMNIA - Key Inputs_EB'!$F$23:$F$43,'Fuel Techs'!$D30)/(SUMIFS('OMNIA - Key Inputs_EB'!P$6:P$17,'OMNIA - Key Inputs_EB'!$E$6:$E$17,'Fuel Techs'!$E26)/1000),0%)</f>
        <v>0.9887640449438202</v>
      </c>
      <c r="R30" s="227">
        <f>IFERROR(SUMIFS('OMNIA - Key Inputs_EB'!Q$23:Q$43,'OMNIA - Key Inputs_EB'!$F$23:$F$43,'Fuel Techs'!$D30)/(SUMIFS('OMNIA - Key Inputs_EB'!Q$6:Q$17,'OMNIA - Key Inputs_EB'!$E$6:$E$17,'Fuel Techs'!$E26)/1000),0%)</f>
        <v>4.3486535350651827E-2</v>
      </c>
      <c r="S30" s="227">
        <f>IFERROR(SUMIFS('OMNIA - Key Inputs_EB'!R$23:R$43,'OMNIA - Key Inputs_EB'!$F$23:$F$43,'Fuel Techs'!$D30)/(SUMIFS('OMNIA - Key Inputs_EB'!R$6:R$17,'OMNIA - Key Inputs_EB'!$E$6:$E$17,'Fuel Techs'!$E26)/1000),0%)</f>
        <v>1</v>
      </c>
      <c r="T30" s="227">
        <f>IFERROR(SUMIFS('OMNIA - Key Inputs_EB'!S$23:S$43,'OMNIA - Key Inputs_EB'!$F$23:$F$43,'Fuel Techs'!$D30)/(SUMIFS('OMNIA - Key Inputs_EB'!S$6:S$17,'OMNIA - Key Inputs_EB'!$E$6:$E$17,'Fuel Techs'!$E26)/1000),0%)</f>
        <v>5.2625052898644942E-3</v>
      </c>
      <c r="U30" s="227">
        <f>IFERROR(SUMIFS('OMNIA - Key Inputs_EB'!T$23:T$43,'OMNIA - Key Inputs_EB'!$F$23:$F$43,'Fuel Techs'!$D30)/(SUMIFS('OMNIA - Key Inputs_EB'!T$6:T$17,'OMNIA - Key Inputs_EB'!$E$6:$E$17,'Fuel Techs'!$E26)/1000),0%)</f>
        <v>0</v>
      </c>
      <c r="V30" s="227">
        <f>IFERROR(SUMIFS('OMNIA - Key Inputs_EB'!U$23:U$43,'OMNIA - Key Inputs_EB'!$F$23:$F$43,'Fuel Techs'!$D30)/(SUMIFS('OMNIA - Key Inputs_EB'!U$6:U$17,'OMNIA - Key Inputs_EB'!$E$6:$E$17,'Fuel Techs'!$E26)/1000),0%)</f>
        <v>0.51236571428571431</v>
      </c>
      <c r="W30" s="227">
        <f>IFERROR(SUMIFS('OMNIA - Key Inputs_EB'!V$23:V$43,'OMNIA - Key Inputs_EB'!$F$23:$F$43,'Fuel Techs'!$D30)/(SUMIFS('OMNIA - Key Inputs_EB'!V$6:V$17,'OMNIA - Key Inputs_EB'!$E$6:$E$17,'Fuel Techs'!$E26)/1000),0%)</f>
        <v>0</v>
      </c>
      <c r="X30" s="227">
        <f>IFERROR(SUMIFS('OMNIA - Key Inputs_EB'!W$23:W$43,'OMNIA - Key Inputs_EB'!$F$23:$F$43,'Fuel Techs'!$D30)/(SUMIFS('OMNIA - Key Inputs_EB'!W$6:W$17,'OMNIA - Key Inputs_EB'!$E$6:$E$17,'Fuel Techs'!$E26)/1000),0%)</f>
        <v>2.7393900017568688E-2</v>
      </c>
      <c r="Y30" s="227">
        <f>IFERROR(SUMIFS('OMNIA - Key Inputs_EB'!X$23:X$43,'OMNIA - Key Inputs_EB'!$F$23:$F$43,'Fuel Techs'!$D30)/(SUMIFS('OMNIA - Key Inputs_EB'!X$6:X$17,'OMNIA - Key Inputs_EB'!$E$6:$E$17,'Fuel Techs'!$E26)/1000),0%)</f>
        <v>5.3238883648214594E-2</v>
      </c>
      <c r="Z30" s="227">
        <f>IFERROR(SUMIFS('OMNIA - Key Inputs_EB'!Y$23:Y$43,'OMNIA - Key Inputs_EB'!$F$23:$F$43,'Fuel Techs'!$D30)/(SUMIFS('OMNIA - Key Inputs_EB'!Y$6:Y$17,'OMNIA - Key Inputs_EB'!$E$6:$E$17,'Fuel Techs'!$E26)/1000),0%)</f>
        <v>2.8355262461496118E-2</v>
      </c>
      <c r="AA30" s="227">
        <f>IFERROR(SUMIFS('OMNIA - Key Inputs_EB'!Z$23:Z$43,'OMNIA - Key Inputs_EB'!$F$23:$F$43,'Fuel Techs'!$D30)/(SUMIFS('OMNIA - Key Inputs_EB'!Z$6:Z$17,'OMNIA - Key Inputs_EB'!$E$6:$E$17,'Fuel Techs'!$E26)/1000),0%)</f>
        <v>1</v>
      </c>
      <c r="AB30" s="227">
        <f>IFERROR(SUMIFS('OMNIA - Key Inputs_EB'!AA$23:AA$43,'OMNIA - Key Inputs_EB'!$F$23:$F$43,'Fuel Techs'!$D30)/(SUMIFS('OMNIA - Key Inputs_EB'!AA$6:AA$17,'OMNIA - Key Inputs_EB'!$E$6:$E$17,'Fuel Techs'!$E26)/1000),0%)</f>
        <v>1</v>
      </c>
      <c r="AC30" s="227">
        <f>IFERROR(SUMIFS('OMNIA - Key Inputs_EB'!AB$23:AB$43,'OMNIA - Key Inputs_EB'!$F$23:$F$43,'Fuel Techs'!$D30)/(SUMIFS('OMNIA - Key Inputs_EB'!AB$6:AB$17,'OMNIA - Key Inputs_EB'!$E$6:$E$17,'Fuel Techs'!$E26)/1000),0%)</f>
        <v>0.81603019254141884</v>
      </c>
      <c r="AD30" s="227">
        <f>IFERROR(SUMIFS('OMNIA - Key Inputs_EB'!AC$23:AC$43,'OMNIA - Key Inputs_EB'!$F$23:$F$43,'Fuel Techs'!$D30)/(SUMIFS('OMNIA - Key Inputs_EB'!AC$6:AC$17,'OMNIA - Key Inputs_EB'!$E$6:$E$17,'Fuel Techs'!$E26)/1000),0%)</f>
        <v>0.11174805213037273</v>
      </c>
      <c r="AE30" s="227">
        <f>IFERROR(SUMIFS('OMNIA - Key Inputs_EB'!AD$23:AD$43,'OMNIA - Key Inputs_EB'!$F$23:$F$43,'Fuel Techs'!$D30)/(SUMIFS('OMNIA - Key Inputs_EB'!AD$6:AD$17,'OMNIA - Key Inputs_EB'!$E$6:$E$17,'Fuel Techs'!$E26)/1000),0%)</f>
        <v>0.94238299070390674</v>
      </c>
      <c r="AF30" s="227">
        <f>IFERROR(SUMIFS('OMNIA - Key Inputs_EB'!AE$23:AE$43,'OMNIA - Key Inputs_EB'!$F$23:$F$43,'Fuel Techs'!$D30)/(SUMIFS('OMNIA - Key Inputs_EB'!AE$6:AE$17,'OMNIA - Key Inputs_EB'!$E$6:$E$17,'Fuel Techs'!$E26)/1000),0%)</f>
        <v>0</v>
      </c>
      <c r="AG30" s="227">
        <f>IFERROR(SUMIFS('OMNIA - Key Inputs_EB'!AF$23:AF$43,'OMNIA - Key Inputs_EB'!$F$23:$F$43,'Fuel Techs'!$D30)/(SUMIFS('OMNIA - Key Inputs_EB'!AF$6:AF$17,'OMNIA - Key Inputs_EB'!$E$6:$E$17,'Fuel Techs'!$E26)/1000),0%)</f>
        <v>1</v>
      </c>
      <c r="AH30" s="227">
        <f>IFERROR(SUMIFS('OMNIA - Key Inputs_EB'!AG$23:AG$43,'OMNIA - Key Inputs_EB'!$F$23:$F$43,'Fuel Techs'!$D30)/(SUMIFS('OMNIA - Key Inputs_EB'!AG$6:AG$17,'OMNIA - Key Inputs_EB'!$E$6:$E$17,'Fuel Techs'!$E26)/1000),0%)</f>
        <v>0</v>
      </c>
      <c r="AI30" s="227">
        <f>IFERROR(SUMIFS('OMNIA - Key Inputs_EB'!AH$23:AH$43,'OMNIA - Key Inputs_EB'!$F$23:$F$43,'Fuel Techs'!$D30)/(SUMIFS('OMNIA - Key Inputs_EB'!AH$6:AH$17,'OMNIA - Key Inputs_EB'!$E$6:$E$17,'Fuel Techs'!$E26)/1000),0%)</f>
        <v>0.68896147870772417</v>
      </c>
      <c r="AJ30" s="227">
        <f>IFERROR(SUMIFS('OMNIA - Key Inputs_EB'!AI$23:AI$43,'OMNIA - Key Inputs_EB'!$F$23:$F$43,'Fuel Techs'!$D30)/(SUMIFS('OMNIA - Key Inputs_EB'!AI$6:AI$17,'OMNIA - Key Inputs_EB'!$E$6:$E$17,'Fuel Techs'!$E26)/1000),0%)</f>
        <v>2.5646097945856469E-2</v>
      </c>
    </row>
    <row r="31" spans="2:36" s="46" customFormat="1" x14ac:dyDescent="0.25">
      <c r="B31" s="46" t="str">
        <f t="shared" ref="B31:C34" si="2">B9</f>
        <v>FT-RSDELC</v>
      </c>
      <c r="C31" s="46" t="str">
        <f t="shared" si="2"/>
        <v>RSD fuel Tech: Electricity</v>
      </c>
      <c r="D31" s="234" t="s">
        <v>353</v>
      </c>
      <c r="E31" s="46" t="str">
        <f>Legend!B66</f>
        <v>RSDELC</v>
      </c>
      <c r="F31" s="67">
        <v>1</v>
      </c>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row>
    <row r="32" spans="2:36" s="46" customFormat="1" x14ac:dyDescent="0.25">
      <c r="B32" s="46" t="str">
        <f t="shared" si="2"/>
        <v>FT-RSDGEO</v>
      </c>
      <c r="C32" s="46" t="str">
        <f t="shared" si="2"/>
        <v>RSD fuel Tech: Geothermal</v>
      </c>
      <c r="D32" s="223" t="s">
        <v>342</v>
      </c>
      <c r="E32" s="46" t="str">
        <f>Legend!B67</f>
        <v>RSDGEO</v>
      </c>
      <c r="F32" s="67">
        <v>1</v>
      </c>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row>
    <row r="33" spans="2:36" s="46" customFormat="1" x14ac:dyDescent="0.25">
      <c r="B33" s="46" t="str">
        <f t="shared" si="2"/>
        <v>FT-RSDHET</v>
      </c>
      <c r="C33" s="46" t="str">
        <f t="shared" si="2"/>
        <v>RSD fuel Tech: Heat</v>
      </c>
      <c r="D33" s="223" t="s">
        <v>360</v>
      </c>
      <c r="E33" s="46" t="str">
        <f>Legend!B68</f>
        <v>RSDHET</v>
      </c>
      <c r="F33" s="67">
        <v>1</v>
      </c>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row>
    <row r="34" spans="2:36" s="46" customFormat="1" x14ac:dyDescent="0.25">
      <c r="B34" s="46" t="str">
        <f t="shared" si="2"/>
        <v>FT-RSDBLQ</v>
      </c>
      <c r="C34" s="46" t="str">
        <f t="shared" si="2"/>
        <v>RSD fuel Tech: Liquid biofuels</v>
      </c>
      <c r="D34" s="223" t="s">
        <v>349</v>
      </c>
      <c r="E34" s="46" t="str">
        <f>Legend!B69</f>
        <v>RSDBLQ</v>
      </c>
      <c r="F34" s="67">
        <v>1</v>
      </c>
      <c r="G34" s="46" t="s">
        <v>67</v>
      </c>
      <c r="H34" s="46" t="s">
        <v>77</v>
      </c>
      <c r="I34" s="227">
        <f>1-SUM(I35:I36)</f>
        <v>1</v>
      </c>
      <c r="J34" s="227">
        <f t="shared" ref="J34:AJ34" si="3">1-SUM(J35:J36)</f>
        <v>1</v>
      </c>
      <c r="K34" s="227">
        <f t="shared" si="3"/>
        <v>1</v>
      </c>
      <c r="L34" s="227">
        <f t="shared" si="3"/>
        <v>1</v>
      </c>
      <c r="M34" s="227">
        <f t="shared" si="3"/>
        <v>1</v>
      </c>
      <c r="N34" s="227">
        <f t="shared" si="3"/>
        <v>1</v>
      </c>
      <c r="O34" s="227">
        <f t="shared" si="3"/>
        <v>1</v>
      </c>
      <c r="P34" s="227">
        <f t="shared" si="3"/>
        <v>1</v>
      </c>
      <c r="Q34" s="227">
        <f t="shared" si="3"/>
        <v>1</v>
      </c>
      <c r="R34" s="227">
        <f t="shared" si="3"/>
        <v>1</v>
      </c>
      <c r="S34" s="227">
        <f t="shared" si="3"/>
        <v>1</v>
      </c>
      <c r="T34" s="227">
        <f t="shared" si="3"/>
        <v>0</v>
      </c>
      <c r="U34" s="227">
        <f t="shared" si="3"/>
        <v>1</v>
      </c>
      <c r="V34" s="227">
        <f t="shared" si="3"/>
        <v>1</v>
      </c>
      <c r="W34" s="227">
        <f t="shared" si="3"/>
        <v>1</v>
      </c>
      <c r="X34" s="227">
        <f t="shared" si="3"/>
        <v>1</v>
      </c>
      <c r="Y34" s="227">
        <f t="shared" si="3"/>
        <v>0.55604075691411947</v>
      </c>
      <c r="Z34" s="227">
        <f t="shared" si="3"/>
        <v>1</v>
      </c>
      <c r="AA34" s="227">
        <f t="shared" si="3"/>
        <v>1</v>
      </c>
      <c r="AB34" s="227">
        <f t="shared" si="3"/>
        <v>1</v>
      </c>
      <c r="AC34" s="227">
        <f t="shared" si="3"/>
        <v>8.9126559714794995E-3</v>
      </c>
      <c r="AD34" s="227">
        <f t="shared" si="3"/>
        <v>1</v>
      </c>
      <c r="AE34" s="227">
        <f t="shared" si="3"/>
        <v>1</v>
      </c>
      <c r="AF34" s="227">
        <f t="shared" si="3"/>
        <v>1</v>
      </c>
      <c r="AG34" s="227">
        <f t="shared" si="3"/>
        <v>1</v>
      </c>
      <c r="AH34" s="227">
        <f t="shared" si="3"/>
        <v>1</v>
      </c>
      <c r="AI34" s="227">
        <f t="shared" si="3"/>
        <v>1</v>
      </c>
      <c r="AJ34" s="227">
        <f t="shared" si="3"/>
        <v>1</v>
      </c>
    </row>
    <row r="35" spans="2:36" s="46" customFormat="1" x14ac:dyDescent="0.25">
      <c r="D35" s="223" t="s">
        <v>576</v>
      </c>
      <c r="F35" s="67"/>
      <c r="G35" s="46" t="s">
        <v>67</v>
      </c>
      <c r="H35" s="46" t="s">
        <v>77</v>
      </c>
      <c r="I35" s="227">
        <f>IFERROR(SUMIFS('OMNIA - Key Inputs_EB'!H$23:H$43,'OMNIA - Key Inputs_EB'!$F$23:$F$43,'Fuel Techs'!$D35)/(SUMIFS('OMNIA - Key Inputs_EB'!H$6:H$17,'OMNIA - Key Inputs_EB'!$E$6:$E$17,'Fuel Techs'!$E34)/1000),0%)</f>
        <v>0</v>
      </c>
      <c r="J35" s="227">
        <f>IFERROR(SUMIFS('OMNIA - Key Inputs_EB'!I$23:I$43,'OMNIA - Key Inputs_EB'!$F$23:$F$43,'Fuel Techs'!$D35)/(SUMIFS('OMNIA - Key Inputs_EB'!I$6:I$17,'OMNIA - Key Inputs_EB'!$E$6:$E$17,'Fuel Techs'!$E34)/1000),0%)</f>
        <v>0</v>
      </c>
      <c r="K35" s="227">
        <f>IFERROR(SUMIFS('OMNIA - Key Inputs_EB'!J$23:J$43,'OMNIA - Key Inputs_EB'!$F$23:$F$43,'Fuel Techs'!$D35)/(SUMIFS('OMNIA - Key Inputs_EB'!J$6:J$17,'OMNIA - Key Inputs_EB'!$E$6:$E$17,'Fuel Techs'!$E34)/1000),0%)</f>
        <v>0</v>
      </c>
      <c r="L35" s="227">
        <f>IFERROR(SUMIFS('OMNIA - Key Inputs_EB'!K$23:K$43,'OMNIA - Key Inputs_EB'!$F$23:$F$43,'Fuel Techs'!$D35)/(SUMIFS('OMNIA - Key Inputs_EB'!K$6:K$17,'OMNIA - Key Inputs_EB'!$E$6:$E$17,'Fuel Techs'!$E34)/1000),0%)</f>
        <v>0</v>
      </c>
      <c r="M35" s="227">
        <f>IFERROR(SUMIFS('OMNIA - Key Inputs_EB'!L$23:L$43,'OMNIA - Key Inputs_EB'!$F$23:$F$43,'Fuel Techs'!$D35)/(SUMIFS('OMNIA - Key Inputs_EB'!L$6:L$17,'OMNIA - Key Inputs_EB'!$E$6:$E$17,'Fuel Techs'!$E34)/1000),0%)</f>
        <v>0</v>
      </c>
      <c r="N35" s="227">
        <f>IFERROR(SUMIFS('OMNIA - Key Inputs_EB'!M$23:M$43,'OMNIA - Key Inputs_EB'!$F$23:$F$43,'Fuel Techs'!$D35)/(SUMIFS('OMNIA - Key Inputs_EB'!M$6:M$17,'OMNIA - Key Inputs_EB'!$E$6:$E$17,'Fuel Techs'!$E34)/1000),0%)</f>
        <v>0</v>
      </c>
      <c r="O35" s="227">
        <f>IFERROR(SUMIFS('OMNIA - Key Inputs_EB'!N$23:N$43,'OMNIA - Key Inputs_EB'!$F$23:$F$43,'Fuel Techs'!$D35)/(SUMIFS('OMNIA - Key Inputs_EB'!N$6:N$17,'OMNIA - Key Inputs_EB'!$E$6:$E$17,'Fuel Techs'!$E34)/1000),0%)</f>
        <v>0</v>
      </c>
      <c r="P35" s="227">
        <f>IFERROR(SUMIFS('OMNIA - Key Inputs_EB'!O$23:O$43,'OMNIA - Key Inputs_EB'!$F$23:$F$43,'Fuel Techs'!$D35)/(SUMIFS('OMNIA - Key Inputs_EB'!O$6:O$17,'OMNIA - Key Inputs_EB'!$E$6:$E$17,'Fuel Techs'!$E34)/1000),0%)</f>
        <v>0</v>
      </c>
      <c r="Q35" s="227">
        <f>IFERROR(SUMIFS('OMNIA - Key Inputs_EB'!P$23:P$43,'OMNIA - Key Inputs_EB'!$F$23:$F$43,'Fuel Techs'!$D35)/(SUMIFS('OMNIA - Key Inputs_EB'!P$6:P$17,'OMNIA - Key Inputs_EB'!$E$6:$E$17,'Fuel Techs'!$E34)/1000),0%)</f>
        <v>0</v>
      </c>
      <c r="R35" s="227">
        <f>IFERROR(SUMIFS('OMNIA - Key Inputs_EB'!Q$23:Q$43,'OMNIA - Key Inputs_EB'!$F$23:$F$43,'Fuel Techs'!$D35)/(SUMIFS('OMNIA - Key Inputs_EB'!Q$6:Q$17,'OMNIA - Key Inputs_EB'!$E$6:$E$17,'Fuel Techs'!$E34)/1000),0%)</f>
        <v>0</v>
      </c>
      <c r="S35" s="227">
        <f>IFERROR(SUMIFS('OMNIA - Key Inputs_EB'!R$23:R$43,'OMNIA - Key Inputs_EB'!$F$23:$F$43,'Fuel Techs'!$D35)/(SUMIFS('OMNIA - Key Inputs_EB'!R$6:R$17,'OMNIA - Key Inputs_EB'!$E$6:$E$17,'Fuel Techs'!$E34)/1000),0%)</f>
        <v>0</v>
      </c>
      <c r="T35" s="227">
        <f>IFERROR(SUMIFS('OMNIA - Key Inputs_EB'!S$23:S$43,'OMNIA - Key Inputs_EB'!$F$23:$F$43,'Fuel Techs'!$D35)/(SUMIFS('OMNIA - Key Inputs_EB'!S$6:S$17,'OMNIA - Key Inputs_EB'!$E$6:$E$17,'Fuel Techs'!$E34)/1000),0%)</f>
        <v>1</v>
      </c>
      <c r="U35" s="227">
        <f>IFERROR(SUMIFS('OMNIA - Key Inputs_EB'!T$23:T$43,'OMNIA - Key Inputs_EB'!$F$23:$F$43,'Fuel Techs'!$D35)/(SUMIFS('OMNIA - Key Inputs_EB'!T$6:T$17,'OMNIA - Key Inputs_EB'!$E$6:$E$17,'Fuel Techs'!$E34)/1000),0%)</f>
        <v>0</v>
      </c>
      <c r="V35" s="227">
        <f>IFERROR(SUMIFS('OMNIA - Key Inputs_EB'!U$23:U$43,'OMNIA - Key Inputs_EB'!$F$23:$F$43,'Fuel Techs'!$D35)/(SUMIFS('OMNIA - Key Inputs_EB'!U$6:U$17,'OMNIA - Key Inputs_EB'!$E$6:$E$17,'Fuel Techs'!$E34)/1000),0%)</f>
        <v>0</v>
      </c>
      <c r="W35" s="227">
        <f>IFERROR(SUMIFS('OMNIA - Key Inputs_EB'!V$23:V$43,'OMNIA - Key Inputs_EB'!$F$23:$F$43,'Fuel Techs'!$D35)/(SUMIFS('OMNIA - Key Inputs_EB'!V$6:V$17,'OMNIA - Key Inputs_EB'!$E$6:$E$17,'Fuel Techs'!$E34)/1000),0%)</f>
        <v>0</v>
      </c>
      <c r="X35" s="227">
        <f>IFERROR(SUMIFS('OMNIA - Key Inputs_EB'!W$23:W$43,'OMNIA - Key Inputs_EB'!$F$23:$F$43,'Fuel Techs'!$D35)/(SUMIFS('OMNIA - Key Inputs_EB'!W$6:W$17,'OMNIA - Key Inputs_EB'!$E$6:$E$17,'Fuel Techs'!$E34)/1000),0%)</f>
        <v>0</v>
      </c>
      <c r="Y35" s="227">
        <f>IFERROR(SUMIFS('OMNIA - Key Inputs_EB'!X$23:X$43,'OMNIA - Key Inputs_EB'!$F$23:$F$43,'Fuel Techs'!$D35)/(SUMIFS('OMNIA - Key Inputs_EB'!X$6:X$17,'OMNIA - Key Inputs_EB'!$E$6:$E$17,'Fuel Techs'!$E34)/1000),0%)</f>
        <v>0.44395924308588058</v>
      </c>
      <c r="Z35" s="227">
        <f>IFERROR(SUMIFS('OMNIA - Key Inputs_EB'!Y$23:Y$43,'OMNIA - Key Inputs_EB'!$F$23:$F$43,'Fuel Techs'!$D35)/(SUMIFS('OMNIA - Key Inputs_EB'!Y$6:Y$17,'OMNIA - Key Inputs_EB'!$E$6:$E$17,'Fuel Techs'!$E34)/1000),0%)</f>
        <v>0</v>
      </c>
      <c r="AA35" s="227">
        <f>IFERROR(SUMIFS('OMNIA - Key Inputs_EB'!Z$23:Z$43,'OMNIA - Key Inputs_EB'!$F$23:$F$43,'Fuel Techs'!$D35)/(SUMIFS('OMNIA - Key Inputs_EB'!Z$6:Z$17,'OMNIA - Key Inputs_EB'!$E$6:$E$17,'Fuel Techs'!$E34)/1000),0%)</f>
        <v>0</v>
      </c>
      <c r="AB35" s="227">
        <f>IFERROR(SUMIFS('OMNIA - Key Inputs_EB'!AA$23:AA$43,'OMNIA - Key Inputs_EB'!$F$23:$F$43,'Fuel Techs'!$D35)/(SUMIFS('OMNIA - Key Inputs_EB'!AA$6:AA$17,'OMNIA - Key Inputs_EB'!$E$6:$E$17,'Fuel Techs'!$E34)/1000),0%)</f>
        <v>0</v>
      </c>
      <c r="AC35" s="227">
        <f>IFERROR(SUMIFS('OMNIA - Key Inputs_EB'!AB$23:AB$43,'OMNIA - Key Inputs_EB'!$F$23:$F$43,'Fuel Techs'!$D35)/(SUMIFS('OMNIA - Key Inputs_EB'!AB$6:AB$17,'OMNIA - Key Inputs_EB'!$E$6:$E$17,'Fuel Techs'!$E34)/1000),0%)</f>
        <v>0.9910873440285205</v>
      </c>
      <c r="AD35" s="227">
        <f>IFERROR(SUMIFS('OMNIA - Key Inputs_EB'!AC$23:AC$43,'OMNIA - Key Inputs_EB'!$F$23:$F$43,'Fuel Techs'!$D35)/(SUMIFS('OMNIA - Key Inputs_EB'!AC$6:AC$17,'OMNIA - Key Inputs_EB'!$E$6:$E$17,'Fuel Techs'!$E34)/1000),0%)</f>
        <v>0</v>
      </c>
      <c r="AE35" s="227">
        <f>IFERROR(SUMIFS('OMNIA - Key Inputs_EB'!AD$23:AD$43,'OMNIA - Key Inputs_EB'!$F$23:$F$43,'Fuel Techs'!$D35)/(SUMIFS('OMNIA - Key Inputs_EB'!AD$6:AD$17,'OMNIA - Key Inputs_EB'!$E$6:$E$17,'Fuel Techs'!$E34)/1000),0%)</f>
        <v>0</v>
      </c>
      <c r="AF35" s="227">
        <f>IFERROR(SUMIFS('OMNIA - Key Inputs_EB'!AE$23:AE$43,'OMNIA - Key Inputs_EB'!$F$23:$F$43,'Fuel Techs'!$D35)/(SUMIFS('OMNIA - Key Inputs_EB'!AE$6:AE$17,'OMNIA - Key Inputs_EB'!$E$6:$E$17,'Fuel Techs'!$E34)/1000),0%)</f>
        <v>0</v>
      </c>
      <c r="AG35" s="227">
        <f>IFERROR(SUMIFS('OMNIA - Key Inputs_EB'!AF$23:AF$43,'OMNIA - Key Inputs_EB'!$F$23:$F$43,'Fuel Techs'!$D35)/(SUMIFS('OMNIA - Key Inputs_EB'!AF$6:AF$17,'OMNIA - Key Inputs_EB'!$E$6:$E$17,'Fuel Techs'!$E34)/1000),0%)</f>
        <v>0</v>
      </c>
      <c r="AH35" s="227">
        <f>IFERROR(SUMIFS('OMNIA - Key Inputs_EB'!AG$23:AG$43,'OMNIA - Key Inputs_EB'!$F$23:$F$43,'Fuel Techs'!$D35)/(SUMIFS('OMNIA - Key Inputs_EB'!AG$6:AG$17,'OMNIA - Key Inputs_EB'!$E$6:$E$17,'Fuel Techs'!$E34)/1000),0%)</f>
        <v>0</v>
      </c>
      <c r="AI35" s="227">
        <f>IFERROR(SUMIFS('OMNIA - Key Inputs_EB'!AH$23:AH$43,'OMNIA - Key Inputs_EB'!$F$23:$F$43,'Fuel Techs'!$D35)/(SUMIFS('OMNIA - Key Inputs_EB'!AH$6:AH$17,'OMNIA - Key Inputs_EB'!$E$6:$E$17,'Fuel Techs'!$E34)/1000),0%)</f>
        <v>0</v>
      </c>
      <c r="AJ35" s="227">
        <f>IFERROR(SUMIFS('OMNIA - Key Inputs_EB'!AI$23:AI$43,'OMNIA - Key Inputs_EB'!$F$23:$F$43,'Fuel Techs'!$D35)/(SUMIFS('OMNIA - Key Inputs_EB'!AI$6:AI$17,'OMNIA - Key Inputs_EB'!$E$6:$E$17,'Fuel Techs'!$E34)/1000),0%)</f>
        <v>0</v>
      </c>
    </row>
    <row r="36" spans="2:36" s="46" customFormat="1" x14ac:dyDescent="0.25">
      <c r="D36" s="223" t="s">
        <v>578</v>
      </c>
      <c r="F36" s="67"/>
      <c r="G36" s="46" t="s">
        <v>67</v>
      </c>
      <c r="H36" s="46" t="s">
        <v>77</v>
      </c>
      <c r="I36" s="227">
        <f>IFERROR(SUMIFS('OMNIA - Key Inputs_EB'!H$23:H$43,'OMNIA - Key Inputs_EB'!$F$23:$F$43,'Fuel Techs'!$D36)/(SUMIFS('OMNIA - Key Inputs_EB'!H$6:H$17,'OMNIA - Key Inputs_EB'!$E$6:$E$17,'Fuel Techs'!$E34)/1000),0%)</f>
        <v>0</v>
      </c>
      <c r="J36" s="227">
        <f>IFERROR(SUMIFS('OMNIA - Key Inputs_EB'!I$23:I$43,'OMNIA - Key Inputs_EB'!$F$23:$F$43,'Fuel Techs'!$D36)/(SUMIFS('OMNIA - Key Inputs_EB'!I$6:I$17,'OMNIA - Key Inputs_EB'!$E$6:$E$17,'Fuel Techs'!$E34)/1000),0%)</f>
        <v>0</v>
      </c>
      <c r="K36" s="227">
        <f>IFERROR(SUMIFS('OMNIA - Key Inputs_EB'!J$23:J$43,'OMNIA - Key Inputs_EB'!$F$23:$F$43,'Fuel Techs'!$D36)/(SUMIFS('OMNIA - Key Inputs_EB'!J$6:J$17,'OMNIA - Key Inputs_EB'!$E$6:$E$17,'Fuel Techs'!$E34)/1000),0%)</f>
        <v>0</v>
      </c>
      <c r="L36" s="227">
        <f>IFERROR(SUMIFS('OMNIA - Key Inputs_EB'!K$23:K$43,'OMNIA - Key Inputs_EB'!$F$23:$F$43,'Fuel Techs'!$D36)/(SUMIFS('OMNIA - Key Inputs_EB'!K$6:K$17,'OMNIA - Key Inputs_EB'!$E$6:$E$17,'Fuel Techs'!$E34)/1000),0%)</f>
        <v>0</v>
      </c>
      <c r="M36" s="227">
        <f>IFERROR(SUMIFS('OMNIA - Key Inputs_EB'!L$23:L$43,'OMNIA - Key Inputs_EB'!$F$23:$F$43,'Fuel Techs'!$D36)/(SUMIFS('OMNIA - Key Inputs_EB'!L$6:L$17,'OMNIA - Key Inputs_EB'!$E$6:$E$17,'Fuel Techs'!$E34)/1000),0%)</f>
        <v>0</v>
      </c>
      <c r="N36" s="227">
        <f>IFERROR(SUMIFS('OMNIA - Key Inputs_EB'!M$23:M$43,'OMNIA - Key Inputs_EB'!$F$23:$F$43,'Fuel Techs'!$D36)/(SUMIFS('OMNIA - Key Inputs_EB'!M$6:M$17,'OMNIA - Key Inputs_EB'!$E$6:$E$17,'Fuel Techs'!$E34)/1000),0%)</f>
        <v>0</v>
      </c>
      <c r="O36" s="227">
        <f>IFERROR(SUMIFS('OMNIA - Key Inputs_EB'!N$23:N$43,'OMNIA - Key Inputs_EB'!$F$23:$F$43,'Fuel Techs'!$D36)/(SUMIFS('OMNIA - Key Inputs_EB'!N$6:N$17,'OMNIA - Key Inputs_EB'!$E$6:$E$17,'Fuel Techs'!$E34)/1000),0%)</f>
        <v>0</v>
      </c>
      <c r="P36" s="227">
        <f>IFERROR(SUMIFS('OMNIA - Key Inputs_EB'!O$23:O$43,'OMNIA - Key Inputs_EB'!$F$23:$F$43,'Fuel Techs'!$D36)/(SUMIFS('OMNIA - Key Inputs_EB'!O$6:O$17,'OMNIA - Key Inputs_EB'!$E$6:$E$17,'Fuel Techs'!$E34)/1000),0%)</f>
        <v>0</v>
      </c>
      <c r="Q36" s="227">
        <f>IFERROR(SUMIFS('OMNIA - Key Inputs_EB'!P$23:P$43,'OMNIA - Key Inputs_EB'!$F$23:$F$43,'Fuel Techs'!$D36)/(SUMIFS('OMNIA - Key Inputs_EB'!P$6:P$17,'OMNIA - Key Inputs_EB'!$E$6:$E$17,'Fuel Techs'!$E34)/1000),0%)</f>
        <v>0</v>
      </c>
      <c r="R36" s="227">
        <f>IFERROR(SUMIFS('OMNIA - Key Inputs_EB'!Q$23:Q$43,'OMNIA - Key Inputs_EB'!$F$23:$F$43,'Fuel Techs'!$D36)/(SUMIFS('OMNIA - Key Inputs_EB'!Q$6:Q$17,'OMNIA - Key Inputs_EB'!$E$6:$E$17,'Fuel Techs'!$E34)/1000),0%)</f>
        <v>0</v>
      </c>
      <c r="S36" s="227">
        <f>IFERROR(SUMIFS('OMNIA - Key Inputs_EB'!R$23:R$43,'OMNIA - Key Inputs_EB'!$F$23:$F$43,'Fuel Techs'!$D36)/(SUMIFS('OMNIA - Key Inputs_EB'!R$6:R$17,'OMNIA - Key Inputs_EB'!$E$6:$E$17,'Fuel Techs'!$E34)/1000),0%)</f>
        <v>0</v>
      </c>
      <c r="T36" s="227">
        <f>IFERROR(SUMIFS('OMNIA - Key Inputs_EB'!S$23:S$43,'OMNIA - Key Inputs_EB'!$F$23:$F$43,'Fuel Techs'!$D36)/(SUMIFS('OMNIA - Key Inputs_EB'!S$6:S$17,'OMNIA - Key Inputs_EB'!$E$6:$E$17,'Fuel Techs'!$E34)/1000),0%)</f>
        <v>0</v>
      </c>
      <c r="U36" s="227">
        <f>IFERROR(SUMIFS('OMNIA - Key Inputs_EB'!T$23:T$43,'OMNIA - Key Inputs_EB'!$F$23:$F$43,'Fuel Techs'!$D36)/(SUMIFS('OMNIA - Key Inputs_EB'!T$6:T$17,'OMNIA - Key Inputs_EB'!$E$6:$E$17,'Fuel Techs'!$E34)/1000),0%)</f>
        <v>0</v>
      </c>
      <c r="V36" s="227">
        <f>IFERROR(SUMIFS('OMNIA - Key Inputs_EB'!U$23:U$43,'OMNIA - Key Inputs_EB'!$F$23:$F$43,'Fuel Techs'!$D36)/(SUMIFS('OMNIA - Key Inputs_EB'!U$6:U$17,'OMNIA - Key Inputs_EB'!$E$6:$E$17,'Fuel Techs'!$E34)/1000),0%)</f>
        <v>0</v>
      </c>
      <c r="W36" s="227">
        <f>IFERROR(SUMIFS('OMNIA - Key Inputs_EB'!V$23:V$43,'OMNIA - Key Inputs_EB'!$F$23:$F$43,'Fuel Techs'!$D36)/(SUMIFS('OMNIA - Key Inputs_EB'!V$6:V$17,'OMNIA - Key Inputs_EB'!$E$6:$E$17,'Fuel Techs'!$E34)/1000),0%)</f>
        <v>0</v>
      </c>
      <c r="X36" s="227">
        <f>IFERROR(SUMIFS('OMNIA - Key Inputs_EB'!W$23:W$43,'OMNIA - Key Inputs_EB'!$F$23:$F$43,'Fuel Techs'!$D36)/(SUMIFS('OMNIA - Key Inputs_EB'!W$6:W$17,'OMNIA - Key Inputs_EB'!$E$6:$E$17,'Fuel Techs'!$E34)/1000),0%)</f>
        <v>0</v>
      </c>
      <c r="Y36" s="227">
        <f>IFERROR(SUMIFS('OMNIA - Key Inputs_EB'!X$23:X$43,'OMNIA - Key Inputs_EB'!$F$23:$F$43,'Fuel Techs'!$D36)/(SUMIFS('OMNIA - Key Inputs_EB'!X$6:X$17,'OMNIA - Key Inputs_EB'!$E$6:$E$17,'Fuel Techs'!$E34)/1000),0%)</f>
        <v>0</v>
      </c>
      <c r="Z36" s="227">
        <f>IFERROR(SUMIFS('OMNIA - Key Inputs_EB'!Y$23:Y$43,'OMNIA - Key Inputs_EB'!$F$23:$F$43,'Fuel Techs'!$D36)/(SUMIFS('OMNIA - Key Inputs_EB'!Y$6:Y$17,'OMNIA - Key Inputs_EB'!$E$6:$E$17,'Fuel Techs'!$E34)/1000),0%)</f>
        <v>0</v>
      </c>
      <c r="AA36" s="227">
        <f>IFERROR(SUMIFS('OMNIA - Key Inputs_EB'!Z$23:Z$43,'OMNIA - Key Inputs_EB'!$F$23:$F$43,'Fuel Techs'!$D36)/(SUMIFS('OMNIA - Key Inputs_EB'!Z$6:Z$17,'OMNIA - Key Inputs_EB'!$E$6:$E$17,'Fuel Techs'!$E34)/1000),0%)</f>
        <v>0</v>
      </c>
      <c r="AB36" s="227">
        <f>IFERROR(SUMIFS('OMNIA - Key Inputs_EB'!AA$23:AA$43,'OMNIA - Key Inputs_EB'!$F$23:$F$43,'Fuel Techs'!$D36)/(SUMIFS('OMNIA - Key Inputs_EB'!AA$6:AA$17,'OMNIA - Key Inputs_EB'!$E$6:$E$17,'Fuel Techs'!$E34)/1000),0%)</f>
        <v>0</v>
      </c>
      <c r="AC36" s="227">
        <f>IFERROR(SUMIFS('OMNIA - Key Inputs_EB'!AB$23:AB$43,'OMNIA - Key Inputs_EB'!$F$23:$F$43,'Fuel Techs'!$D36)/(SUMIFS('OMNIA - Key Inputs_EB'!AB$6:AB$17,'OMNIA - Key Inputs_EB'!$E$6:$E$17,'Fuel Techs'!$E34)/1000),0%)</f>
        <v>0</v>
      </c>
      <c r="AD36" s="227">
        <f>IFERROR(SUMIFS('OMNIA - Key Inputs_EB'!AC$23:AC$43,'OMNIA - Key Inputs_EB'!$F$23:$F$43,'Fuel Techs'!$D36)/(SUMIFS('OMNIA - Key Inputs_EB'!AC$6:AC$17,'OMNIA - Key Inputs_EB'!$E$6:$E$17,'Fuel Techs'!$E34)/1000),0%)</f>
        <v>0</v>
      </c>
      <c r="AE36" s="227">
        <f>IFERROR(SUMIFS('OMNIA - Key Inputs_EB'!AD$23:AD$43,'OMNIA - Key Inputs_EB'!$F$23:$F$43,'Fuel Techs'!$D36)/(SUMIFS('OMNIA - Key Inputs_EB'!AD$6:AD$17,'OMNIA - Key Inputs_EB'!$E$6:$E$17,'Fuel Techs'!$E34)/1000),0%)</f>
        <v>0</v>
      </c>
      <c r="AF36" s="227">
        <f>IFERROR(SUMIFS('OMNIA - Key Inputs_EB'!AE$23:AE$43,'OMNIA - Key Inputs_EB'!$F$23:$F$43,'Fuel Techs'!$D36)/(SUMIFS('OMNIA - Key Inputs_EB'!AE$6:AE$17,'OMNIA - Key Inputs_EB'!$E$6:$E$17,'Fuel Techs'!$E34)/1000),0%)</f>
        <v>0</v>
      </c>
      <c r="AG36" s="227">
        <f>IFERROR(SUMIFS('OMNIA - Key Inputs_EB'!AF$23:AF$43,'OMNIA - Key Inputs_EB'!$F$23:$F$43,'Fuel Techs'!$D36)/(SUMIFS('OMNIA - Key Inputs_EB'!AF$6:AF$17,'OMNIA - Key Inputs_EB'!$E$6:$E$17,'Fuel Techs'!$E34)/1000),0%)</f>
        <v>0</v>
      </c>
      <c r="AH36" s="227">
        <f>IFERROR(SUMIFS('OMNIA - Key Inputs_EB'!AG$23:AG$43,'OMNIA - Key Inputs_EB'!$F$23:$F$43,'Fuel Techs'!$D36)/(SUMIFS('OMNIA - Key Inputs_EB'!AG$6:AG$17,'OMNIA - Key Inputs_EB'!$E$6:$E$17,'Fuel Techs'!$E34)/1000),0%)</f>
        <v>0</v>
      </c>
      <c r="AI36" s="227">
        <f>IFERROR(SUMIFS('OMNIA - Key Inputs_EB'!AH$23:AH$43,'OMNIA - Key Inputs_EB'!$F$23:$F$43,'Fuel Techs'!$D36)/(SUMIFS('OMNIA - Key Inputs_EB'!AH$6:AH$17,'OMNIA - Key Inputs_EB'!$E$6:$E$17,'Fuel Techs'!$E34)/1000),0%)</f>
        <v>0</v>
      </c>
      <c r="AJ36" s="227">
        <f>IFERROR(SUMIFS('OMNIA - Key Inputs_EB'!AI$23:AI$43,'OMNIA - Key Inputs_EB'!$F$23:$F$43,'Fuel Techs'!$D36)/(SUMIFS('OMNIA - Key Inputs_EB'!AI$6:AI$17,'OMNIA - Key Inputs_EB'!$E$6:$E$17,'Fuel Techs'!$E34)/1000),0%)</f>
        <v>0</v>
      </c>
    </row>
    <row r="37" spans="2:36" s="46" customFormat="1" x14ac:dyDescent="0.25">
      <c r="B37" s="46" t="str">
        <f t="shared" ref="B37:C39" si="4">B13</f>
        <v>FT-RSDLPG</v>
      </c>
      <c r="C37" s="46" t="str">
        <f t="shared" si="4"/>
        <v>RSD fuel Tech: LPG</v>
      </c>
      <c r="D37" s="223" t="s">
        <v>357</v>
      </c>
      <c r="E37" s="46" t="str">
        <f>Legend!B70</f>
        <v>RSDLPG</v>
      </c>
      <c r="F37" s="67">
        <v>1</v>
      </c>
      <c r="I37" s="67"/>
      <c r="J37" s="67"/>
      <c r="K37" s="67"/>
      <c r="L37" s="67"/>
      <c r="M37" s="67"/>
      <c r="N37" s="67"/>
      <c r="O37" s="67"/>
      <c r="P37" s="67"/>
      <c r="Q37" s="67"/>
      <c r="R37" s="67"/>
      <c r="S37" s="67"/>
      <c r="T37" s="67"/>
      <c r="U37" s="67"/>
      <c r="V37" s="67"/>
      <c r="W37" s="67"/>
      <c r="X37" s="67"/>
      <c r="Y37" s="67"/>
      <c r="Z37" s="67"/>
      <c r="AA37" s="67"/>
      <c r="AB37" s="67"/>
      <c r="AC37" s="67"/>
      <c r="AD37" s="67"/>
      <c r="AE37" s="67"/>
      <c r="AF37" s="67"/>
      <c r="AG37" s="67"/>
      <c r="AH37" s="67"/>
      <c r="AI37" s="67"/>
      <c r="AJ37" s="67"/>
    </row>
    <row r="38" spans="2:36" s="46" customFormat="1" x14ac:dyDescent="0.25">
      <c r="B38" s="46" t="str">
        <f t="shared" si="4"/>
        <v>FT-RSDGAS</v>
      </c>
      <c r="C38" s="46" t="str">
        <f t="shared" si="4"/>
        <v>RSD fuel Tech: Natural gas</v>
      </c>
      <c r="D38" s="223" t="s">
        <v>343</v>
      </c>
      <c r="E38" s="46" t="str">
        <f>Legend!B71</f>
        <v>RSDGAS</v>
      </c>
      <c r="F38" s="67">
        <v>1</v>
      </c>
    </row>
    <row r="39" spans="2:36" s="46" customFormat="1" x14ac:dyDescent="0.25">
      <c r="B39" s="46" t="str">
        <f t="shared" si="4"/>
        <v>FT-RSDGAM</v>
      </c>
      <c r="C39" s="46" t="str">
        <f t="shared" si="4"/>
        <v>RSD fuel Tech: Manufactured gas</v>
      </c>
      <c r="D39" s="223" t="s">
        <v>451</v>
      </c>
      <c r="E39" s="46" t="str">
        <f>Legend!B72</f>
        <v>RSDGAM</v>
      </c>
      <c r="F39" s="67">
        <v>1</v>
      </c>
      <c r="G39" s="46" t="s">
        <v>67</v>
      </c>
      <c r="H39" s="46" t="s">
        <v>77</v>
      </c>
      <c r="I39" s="227">
        <f>IFERROR(SUMIFS('OMNIA - Key Inputs_EB'!H$23:H$43,'OMNIA - Key Inputs_EB'!$F$23:$F$43,'Fuel Techs'!$D39)/(SUMIFS('OMNIA - Key Inputs_EB'!H$6:H$17,'OMNIA - Key Inputs_EB'!$E$6:$E$17,'Fuel Techs'!$E39)/1000),0%)</f>
        <v>0</v>
      </c>
      <c r="J39" s="227">
        <f>IFERROR(SUMIFS('OMNIA - Key Inputs_EB'!I$23:I$43,'OMNIA - Key Inputs_EB'!$F$23:$F$43,'Fuel Techs'!$D39)/(SUMIFS('OMNIA - Key Inputs_EB'!I$6:I$17,'OMNIA - Key Inputs_EB'!$E$6:$E$17,'Fuel Techs'!$E39)/1000),0%)</f>
        <v>0</v>
      </c>
      <c r="K39" s="227">
        <f>IFERROR(SUMIFS('OMNIA - Key Inputs_EB'!J$23:J$43,'OMNIA - Key Inputs_EB'!$F$23:$F$43,'Fuel Techs'!$D39)/(SUMIFS('OMNIA - Key Inputs_EB'!J$6:J$17,'OMNIA - Key Inputs_EB'!$E$6:$E$17,'Fuel Techs'!$E39)/1000),0%)</f>
        <v>0</v>
      </c>
      <c r="L39" s="227">
        <f>IFERROR(SUMIFS('OMNIA - Key Inputs_EB'!K$23:K$43,'OMNIA - Key Inputs_EB'!$F$23:$F$43,'Fuel Techs'!$D39)/(SUMIFS('OMNIA - Key Inputs_EB'!K$6:K$17,'OMNIA - Key Inputs_EB'!$E$6:$E$17,'Fuel Techs'!$E39)/1000),0%)</f>
        <v>0</v>
      </c>
      <c r="M39" s="227">
        <f>IFERROR(SUMIFS('OMNIA - Key Inputs_EB'!L$23:L$43,'OMNIA - Key Inputs_EB'!$F$23:$F$43,'Fuel Techs'!$D39)/(SUMIFS('OMNIA - Key Inputs_EB'!L$6:L$17,'OMNIA - Key Inputs_EB'!$E$6:$E$17,'Fuel Techs'!$E39)/1000),0%)</f>
        <v>0</v>
      </c>
      <c r="N39" s="227">
        <f>IFERROR(SUMIFS('OMNIA - Key Inputs_EB'!M$23:M$43,'OMNIA - Key Inputs_EB'!$F$23:$F$43,'Fuel Techs'!$D39)/(SUMIFS('OMNIA - Key Inputs_EB'!M$6:M$17,'OMNIA - Key Inputs_EB'!$E$6:$E$17,'Fuel Techs'!$E39)/1000),0%)</f>
        <v>0</v>
      </c>
      <c r="O39" s="227">
        <f>IFERROR(SUMIFS('OMNIA - Key Inputs_EB'!N$23:N$43,'OMNIA - Key Inputs_EB'!$F$23:$F$43,'Fuel Techs'!$D39)/(SUMIFS('OMNIA - Key Inputs_EB'!N$6:N$17,'OMNIA - Key Inputs_EB'!$E$6:$E$17,'Fuel Techs'!$E39)/1000),0%)</f>
        <v>0</v>
      </c>
      <c r="P39" s="227">
        <f>IFERROR(SUMIFS('OMNIA - Key Inputs_EB'!O$23:O$43,'OMNIA - Key Inputs_EB'!$F$23:$F$43,'Fuel Techs'!$D39)/(SUMIFS('OMNIA - Key Inputs_EB'!O$6:O$17,'OMNIA - Key Inputs_EB'!$E$6:$E$17,'Fuel Techs'!$E39)/1000),0%)</f>
        <v>0</v>
      </c>
      <c r="Q39" s="227">
        <f>IFERROR(SUMIFS('OMNIA - Key Inputs_EB'!P$23:P$43,'OMNIA - Key Inputs_EB'!$F$23:$F$43,'Fuel Techs'!$D39)/(SUMIFS('OMNIA - Key Inputs_EB'!P$6:P$17,'OMNIA - Key Inputs_EB'!$E$6:$E$17,'Fuel Techs'!$E39)/1000),0%)</f>
        <v>0</v>
      </c>
      <c r="R39" s="227">
        <f>IFERROR(SUMIFS('OMNIA - Key Inputs_EB'!Q$23:Q$43,'OMNIA - Key Inputs_EB'!$F$23:$F$43,'Fuel Techs'!$D39)/(SUMIFS('OMNIA - Key Inputs_EB'!Q$6:Q$17,'OMNIA - Key Inputs_EB'!$E$6:$E$17,'Fuel Techs'!$E39)/1000),0%)</f>
        <v>0</v>
      </c>
      <c r="S39" s="227">
        <f>IFERROR(SUMIFS('OMNIA - Key Inputs_EB'!R$23:R$43,'OMNIA - Key Inputs_EB'!$F$23:$F$43,'Fuel Techs'!$D39)/(SUMIFS('OMNIA - Key Inputs_EB'!R$6:R$17,'OMNIA - Key Inputs_EB'!$E$6:$E$17,'Fuel Techs'!$E39)/1000),0%)</f>
        <v>0</v>
      </c>
      <c r="T39" s="227">
        <f>IFERROR(SUMIFS('OMNIA - Key Inputs_EB'!S$23:S$43,'OMNIA - Key Inputs_EB'!$F$23:$F$43,'Fuel Techs'!$D39)/(SUMIFS('OMNIA - Key Inputs_EB'!S$6:S$17,'OMNIA - Key Inputs_EB'!$E$6:$E$17,'Fuel Techs'!$E39)/1000),0%)</f>
        <v>1</v>
      </c>
      <c r="U39" s="227">
        <f>IFERROR(SUMIFS('OMNIA - Key Inputs_EB'!T$23:T$43,'OMNIA - Key Inputs_EB'!$F$23:$F$43,'Fuel Techs'!$D39)/(SUMIFS('OMNIA - Key Inputs_EB'!T$6:T$17,'OMNIA - Key Inputs_EB'!$E$6:$E$17,'Fuel Techs'!$E39)/1000),0%)</f>
        <v>0</v>
      </c>
      <c r="V39" s="227">
        <f>IFERROR(SUMIFS('OMNIA - Key Inputs_EB'!U$23:U$43,'OMNIA - Key Inputs_EB'!$F$23:$F$43,'Fuel Techs'!$D39)/(SUMIFS('OMNIA - Key Inputs_EB'!U$6:U$17,'OMNIA - Key Inputs_EB'!$E$6:$E$17,'Fuel Techs'!$E39)/1000),0%)</f>
        <v>0</v>
      </c>
      <c r="W39" s="227">
        <f>IFERROR(SUMIFS('OMNIA - Key Inputs_EB'!V$23:V$43,'OMNIA - Key Inputs_EB'!$F$23:$F$43,'Fuel Techs'!$D39)/(SUMIFS('OMNIA - Key Inputs_EB'!V$6:V$17,'OMNIA - Key Inputs_EB'!$E$6:$E$17,'Fuel Techs'!$E39)/1000),0%)</f>
        <v>0</v>
      </c>
      <c r="X39" s="227">
        <f>IFERROR(SUMIFS('OMNIA - Key Inputs_EB'!W$23:W$43,'OMNIA - Key Inputs_EB'!$F$23:$F$43,'Fuel Techs'!$D39)/(SUMIFS('OMNIA - Key Inputs_EB'!W$6:W$17,'OMNIA - Key Inputs_EB'!$E$6:$E$17,'Fuel Techs'!$E39)/1000),0%)</f>
        <v>0</v>
      </c>
      <c r="Y39" s="227">
        <f>IFERROR(SUMIFS('OMNIA - Key Inputs_EB'!X$23:X$43,'OMNIA - Key Inputs_EB'!$F$23:$F$43,'Fuel Techs'!$D39)/(SUMIFS('OMNIA - Key Inputs_EB'!X$6:X$17,'OMNIA - Key Inputs_EB'!$E$6:$E$17,'Fuel Techs'!$E39)/1000),0%)</f>
        <v>0</v>
      </c>
      <c r="Z39" s="227">
        <f>IFERROR(SUMIFS('OMNIA - Key Inputs_EB'!Y$23:Y$43,'OMNIA - Key Inputs_EB'!$F$23:$F$43,'Fuel Techs'!$D39)/(SUMIFS('OMNIA - Key Inputs_EB'!Y$6:Y$17,'OMNIA - Key Inputs_EB'!$E$6:$E$17,'Fuel Techs'!$E39)/1000),0%)</f>
        <v>0</v>
      </c>
      <c r="AA39" s="227">
        <f>IFERROR(SUMIFS('OMNIA - Key Inputs_EB'!Z$23:Z$43,'OMNIA - Key Inputs_EB'!$F$23:$F$43,'Fuel Techs'!$D39)/(SUMIFS('OMNIA - Key Inputs_EB'!Z$6:Z$17,'OMNIA - Key Inputs_EB'!$E$6:$E$17,'Fuel Techs'!$E39)/1000),0%)</f>
        <v>0</v>
      </c>
      <c r="AB39" s="227">
        <f>IFERROR(SUMIFS('OMNIA - Key Inputs_EB'!AA$23:AA$43,'OMNIA - Key Inputs_EB'!$F$23:$F$43,'Fuel Techs'!$D39)/(SUMIFS('OMNIA - Key Inputs_EB'!AA$6:AA$17,'OMNIA - Key Inputs_EB'!$E$6:$E$17,'Fuel Techs'!$E39)/1000),0%)</f>
        <v>0</v>
      </c>
      <c r="AC39" s="227">
        <f>IFERROR(SUMIFS('OMNIA - Key Inputs_EB'!AB$23:AB$43,'OMNIA - Key Inputs_EB'!$F$23:$F$43,'Fuel Techs'!$D39)/(SUMIFS('OMNIA - Key Inputs_EB'!AB$6:AB$17,'OMNIA - Key Inputs_EB'!$E$6:$E$17,'Fuel Techs'!$E39)/1000),0%)</f>
        <v>0</v>
      </c>
      <c r="AD39" s="227">
        <f>IFERROR(SUMIFS('OMNIA - Key Inputs_EB'!AC$23:AC$43,'OMNIA - Key Inputs_EB'!$F$23:$F$43,'Fuel Techs'!$D39)/(SUMIFS('OMNIA - Key Inputs_EB'!AC$6:AC$17,'OMNIA - Key Inputs_EB'!$E$6:$E$17,'Fuel Techs'!$E39)/1000),0%)</f>
        <v>0</v>
      </c>
      <c r="AE39" s="227">
        <f>IFERROR(SUMIFS('OMNIA - Key Inputs_EB'!AD$23:AD$43,'OMNIA - Key Inputs_EB'!$F$23:$F$43,'Fuel Techs'!$D39)/(SUMIFS('OMNIA - Key Inputs_EB'!AD$6:AD$17,'OMNIA - Key Inputs_EB'!$E$6:$E$17,'Fuel Techs'!$E39)/1000),0%)</f>
        <v>0</v>
      </c>
      <c r="AF39" s="227">
        <f>IFERROR(SUMIFS('OMNIA - Key Inputs_EB'!AE$23:AE$43,'OMNIA - Key Inputs_EB'!$F$23:$F$43,'Fuel Techs'!$D39)/(SUMIFS('OMNIA - Key Inputs_EB'!AE$6:AE$17,'OMNIA - Key Inputs_EB'!$E$6:$E$17,'Fuel Techs'!$E39)/1000),0%)</f>
        <v>0</v>
      </c>
      <c r="AG39" s="227">
        <f>IFERROR(SUMIFS('OMNIA - Key Inputs_EB'!AF$23:AF$43,'OMNIA - Key Inputs_EB'!$F$23:$F$43,'Fuel Techs'!$D39)/(SUMIFS('OMNIA - Key Inputs_EB'!AF$6:AF$17,'OMNIA - Key Inputs_EB'!$E$6:$E$17,'Fuel Techs'!$E39)/1000),0%)</f>
        <v>0</v>
      </c>
      <c r="AH39" s="227">
        <f>IFERROR(SUMIFS('OMNIA - Key Inputs_EB'!AG$23:AG$43,'OMNIA - Key Inputs_EB'!$F$23:$F$43,'Fuel Techs'!$D39)/(SUMIFS('OMNIA - Key Inputs_EB'!AG$6:AG$17,'OMNIA - Key Inputs_EB'!$E$6:$E$17,'Fuel Techs'!$E39)/1000),0%)</f>
        <v>0</v>
      </c>
      <c r="AI39" s="227">
        <f>IFERROR(SUMIFS('OMNIA - Key Inputs_EB'!AH$23:AH$43,'OMNIA - Key Inputs_EB'!$F$23:$F$43,'Fuel Techs'!$D39)/(SUMIFS('OMNIA - Key Inputs_EB'!AH$6:AH$17,'OMNIA - Key Inputs_EB'!$E$6:$E$17,'Fuel Techs'!$E39)/1000),0%)</f>
        <v>0</v>
      </c>
      <c r="AJ39" s="227">
        <f>IFERROR(SUMIFS('OMNIA - Key Inputs_EB'!AI$23:AI$43,'OMNIA - Key Inputs_EB'!$F$23:$F$43,'Fuel Techs'!$D39)/(SUMIFS('OMNIA - Key Inputs_EB'!AI$6:AI$17,'OMNIA - Key Inputs_EB'!$E$6:$E$17,'Fuel Techs'!$E39)/1000),0%)</f>
        <v>0</v>
      </c>
    </row>
    <row r="40" spans="2:36" s="46" customFormat="1" x14ac:dyDescent="0.25">
      <c r="D40" s="223" t="s">
        <v>502</v>
      </c>
      <c r="F40" s="67"/>
      <c r="G40" s="46" t="s">
        <v>67</v>
      </c>
      <c r="H40" s="46" t="s">
        <v>77</v>
      </c>
      <c r="I40" s="108">
        <f>1-I39</f>
        <v>1</v>
      </c>
      <c r="J40" s="108">
        <f t="shared" ref="J40:P40" si="5">1-J39</f>
        <v>1</v>
      </c>
      <c r="K40" s="108">
        <f t="shared" si="5"/>
        <v>1</v>
      </c>
      <c r="L40" s="108">
        <f t="shared" si="5"/>
        <v>1</v>
      </c>
      <c r="M40" s="108">
        <f t="shared" si="5"/>
        <v>1</v>
      </c>
      <c r="N40" s="108">
        <f t="shared" si="5"/>
        <v>1</v>
      </c>
      <c r="O40" s="108">
        <f t="shared" si="5"/>
        <v>1</v>
      </c>
      <c r="P40" s="108">
        <f t="shared" si="5"/>
        <v>1</v>
      </c>
      <c r="Q40" s="108">
        <f>1-Q39</f>
        <v>1</v>
      </c>
      <c r="R40" s="108">
        <f t="shared" ref="R40" si="6">1-R39</f>
        <v>1</v>
      </c>
      <c r="S40" s="108">
        <f t="shared" ref="S40" si="7">1-S39</f>
        <v>1</v>
      </c>
      <c r="T40" s="108">
        <f t="shared" ref="T40" si="8">1-T39</f>
        <v>0</v>
      </c>
      <c r="U40" s="108">
        <f t="shared" ref="U40" si="9">1-U39</f>
        <v>1</v>
      </c>
      <c r="V40" s="108">
        <f t="shared" ref="V40" si="10">1-V39</f>
        <v>1</v>
      </c>
      <c r="W40" s="108">
        <f t="shared" ref="W40" si="11">1-W39</f>
        <v>1</v>
      </c>
      <c r="X40" s="108">
        <f t="shared" ref="X40" si="12">1-X39</f>
        <v>1</v>
      </c>
      <c r="Y40" s="108">
        <f>1-Y39</f>
        <v>1</v>
      </c>
      <c r="Z40" s="108">
        <f t="shared" ref="Z40" si="13">1-Z39</f>
        <v>1</v>
      </c>
      <c r="AA40" s="108">
        <f t="shared" ref="AA40" si="14">1-AA39</f>
        <v>1</v>
      </c>
      <c r="AB40" s="108">
        <f t="shared" ref="AB40" si="15">1-AB39</f>
        <v>1</v>
      </c>
      <c r="AC40" s="108">
        <f t="shared" ref="AC40" si="16">1-AC39</f>
        <v>1</v>
      </c>
      <c r="AD40" s="108">
        <f t="shared" ref="AD40" si="17">1-AD39</f>
        <v>1</v>
      </c>
      <c r="AE40" s="108">
        <f t="shared" ref="AE40" si="18">1-AE39</f>
        <v>1</v>
      </c>
      <c r="AF40" s="108">
        <f t="shared" ref="AF40" si="19">1-AF39</f>
        <v>1</v>
      </c>
      <c r="AG40" s="108">
        <f>1-AG39</f>
        <v>1</v>
      </c>
      <c r="AH40" s="108">
        <f t="shared" ref="AH40" si="20">1-AH39</f>
        <v>1</v>
      </c>
      <c r="AI40" s="108">
        <f t="shared" ref="AI40" si="21">1-AI39</f>
        <v>1</v>
      </c>
      <c r="AJ40" s="108">
        <f t="shared" ref="AJ40" si="22">1-AJ39</f>
        <v>1</v>
      </c>
    </row>
    <row r="41" spans="2:36" s="46" customFormat="1" x14ac:dyDescent="0.25">
      <c r="B41" s="46" t="str">
        <f>B17</f>
        <v>FT-RSDSOL</v>
      </c>
      <c r="C41" s="46" t="str">
        <f>C17</f>
        <v>RSD fuel Tech: Solar</v>
      </c>
      <c r="D41" s="223" t="s">
        <v>14</v>
      </c>
      <c r="E41" s="46" t="str">
        <f>Legend!B74</f>
        <v>RSDSOL</v>
      </c>
      <c r="F41" s="67">
        <v>1</v>
      </c>
      <c r="I41" s="67"/>
      <c r="J41" s="67"/>
      <c r="K41" s="67"/>
      <c r="L41" s="67"/>
      <c r="M41" s="67"/>
      <c r="N41" s="67"/>
      <c r="O41" s="67"/>
      <c r="P41" s="67"/>
      <c r="Q41" s="67"/>
      <c r="R41" s="67"/>
      <c r="S41" s="67"/>
      <c r="T41" s="67"/>
      <c r="U41" s="67"/>
      <c r="V41" s="67"/>
      <c r="W41" s="67"/>
      <c r="X41" s="67"/>
      <c r="Y41" s="67"/>
      <c r="Z41" s="67"/>
      <c r="AA41" s="67"/>
      <c r="AB41" s="67"/>
      <c r="AC41" s="67"/>
      <c r="AD41" s="67"/>
      <c r="AE41" s="67"/>
      <c r="AF41" s="67"/>
      <c r="AG41" s="67"/>
      <c r="AH41" s="67"/>
      <c r="AI41" s="67"/>
      <c r="AJ41" s="67"/>
    </row>
    <row r="42" spans="2:36" s="46" customFormat="1" x14ac:dyDescent="0.25">
      <c r="B42" s="46" t="str">
        <f>B7</f>
        <v>FT-RSDBIO</v>
      </c>
      <c r="C42" s="46" t="str">
        <f>C7</f>
        <v>RSD fuel Tech: Biomass</v>
      </c>
      <c r="D42" s="223" t="s">
        <v>359</v>
      </c>
      <c r="E42" s="46" t="str">
        <f>Legend!B64</f>
        <v>RSDBIO</v>
      </c>
      <c r="F42" s="67">
        <v>1</v>
      </c>
      <c r="G42" s="46" t="s">
        <v>67</v>
      </c>
      <c r="H42" s="46" t="s">
        <v>77</v>
      </c>
      <c r="I42" s="227">
        <f t="shared" ref="I42:AJ42" si="23">1-SUM(I43:I43)</f>
        <v>0.85250627536598422</v>
      </c>
      <c r="J42" s="227">
        <f t="shared" si="23"/>
        <v>0.96733726056833758</v>
      </c>
      <c r="K42" s="227">
        <f t="shared" si="23"/>
        <v>0.99357641980969413</v>
      </c>
      <c r="L42" s="227">
        <f t="shared" si="23"/>
        <v>0.82109083864309729</v>
      </c>
      <c r="M42" s="227">
        <f t="shared" si="23"/>
        <v>1</v>
      </c>
      <c r="N42" s="227">
        <f t="shared" si="23"/>
        <v>0.97675943716419111</v>
      </c>
      <c r="O42" s="227">
        <f t="shared" si="23"/>
        <v>0.91718689563223754</v>
      </c>
      <c r="P42" s="227">
        <f t="shared" si="23"/>
        <v>0.75707484690841376</v>
      </c>
      <c r="Q42" s="227">
        <f t="shared" si="23"/>
        <v>1</v>
      </c>
      <c r="R42" s="227">
        <f t="shared" si="23"/>
        <v>1</v>
      </c>
      <c r="S42" s="227">
        <f t="shared" si="23"/>
        <v>1</v>
      </c>
      <c r="T42" s="227">
        <f t="shared" si="23"/>
        <v>0</v>
      </c>
      <c r="U42" s="227">
        <f t="shared" si="23"/>
        <v>0.98494146929568704</v>
      </c>
      <c r="V42" s="227">
        <f t="shared" si="23"/>
        <v>0.67990552270915139</v>
      </c>
      <c r="W42" s="227">
        <f t="shared" si="23"/>
        <v>0.95560653042012489</v>
      </c>
      <c r="X42" s="227">
        <f t="shared" si="23"/>
        <v>0.96354004036830476</v>
      </c>
      <c r="Y42" s="227">
        <f t="shared" si="23"/>
        <v>0.97809496776286442</v>
      </c>
      <c r="Z42" s="227">
        <f t="shared" si="23"/>
        <v>0.60371898160295601</v>
      </c>
      <c r="AA42" s="227">
        <f t="shared" si="23"/>
        <v>0.84999960348062309</v>
      </c>
      <c r="AB42" s="227">
        <f t="shared" si="23"/>
        <v>1</v>
      </c>
      <c r="AC42" s="227">
        <f t="shared" si="23"/>
        <v>0.99564737790767099</v>
      </c>
      <c r="AD42" s="227">
        <f t="shared" si="23"/>
        <v>0.67722405964459886</v>
      </c>
      <c r="AE42" s="227">
        <f t="shared" si="23"/>
        <v>0.93089478766752243</v>
      </c>
      <c r="AF42" s="227">
        <f t="shared" si="23"/>
        <v>1</v>
      </c>
      <c r="AG42" s="227">
        <f t="shared" si="23"/>
        <v>0.51453275997162096</v>
      </c>
      <c r="AH42" s="227">
        <f t="shared" si="23"/>
        <v>1</v>
      </c>
      <c r="AI42" s="227">
        <f t="shared" si="23"/>
        <v>1</v>
      </c>
      <c r="AJ42" s="227">
        <f t="shared" si="23"/>
        <v>1</v>
      </c>
    </row>
    <row r="43" spans="2:36" s="46" customFormat="1" x14ac:dyDescent="0.25">
      <c r="B43" s="48"/>
      <c r="C43" s="48"/>
      <c r="D43" s="235" t="s">
        <v>370</v>
      </c>
      <c r="E43" s="48"/>
      <c r="F43" s="48"/>
      <c r="G43" s="48" t="s">
        <v>67</v>
      </c>
      <c r="H43" s="48" t="s">
        <v>77</v>
      </c>
      <c r="I43" s="228">
        <f>IFERROR(SUMIFS('OMNIA - Key Inputs_EB'!H$23:H$43,'OMNIA - Key Inputs_EB'!$F$23:$F$43,'Fuel Techs'!$D43)/(SUMIFS('OMNIA - Key Inputs_EB'!H$6:H$17,'OMNIA - Key Inputs_EB'!$E$6:$E$17,'Fuel Techs'!$E42)/1000),0%)</f>
        <v>0.14749372463401583</v>
      </c>
      <c r="J43" s="228">
        <f>IFERROR(SUMIFS('OMNIA - Key Inputs_EB'!I$23:I$43,'OMNIA - Key Inputs_EB'!$F$23:$F$43,'Fuel Techs'!$D43)/(SUMIFS('OMNIA - Key Inputs_EB'!I$6:I$17,'OMNIA - Key Inputs_EB'!$E$6:$E$17,'Fuel Techs'!$E42)/1000),0%)</f>
        <v>3.2662739431662403E-2</v>
      </c>
      <c r="K43" s="228">
        <f>IFERROR(SUMIFS('OMNIA - Key Inputs_EB'!J$23:J$43,'OMNIA - Key Inputs_EB'!$F$23:$F$43,'Fuel Techs'!$D43)/(SUMIFS('OMNIA - Key Inputs_EB'!J$6:J$17,'OMNIA - Key Inputs_EB'!$E$6:$E$17,'Fuel Techs'!$E42)/1000),0%)</f>
        <v>6.4235801903058456E-3</v>
      </c>
      <c r="L43" s="228">
        <f>IFERROR(SUMIFS('OMNIA - Key Inputs_EB'!K$23:K$43,'OMNIA - Key Inputs_EB'!$F$23:$F$43,'Fuel Techs'!$D43)/(SUMIFS('OMNIA - Key Inputs_EB'!K$6:K$17,'OMNIA - Key Inputs_EB'!$E$6:$E$17,'Fuel Techs'!$E42)/1000),0%)</f>
        <v>0.17890916135690277</v>
      </c>
      <c r="M43" s="228">
        <f>IFERROR(SUMIFS('OMNIA - Key Inputs_EB'!L$23:L$43,'OMNIA - Key Inputs_EB'!$F$23:$F$43,'Fuel Techs'!$D43)/(SUMIFS('OMNIA - Key Inputs_EB'!L$6:L$17,'OMNIA - Key Inputs_EB'!$E$6:$E$17,'Fuel Techs'!$E42)/1000),0%)</f>
        <v>0</v>
      </c>
      <c r="N43" s="228">
        <f>IFERROR(SUMIFS('OMNIA - Key Inputs_EB'!M$23:M$43,'OMNIA - Key Inputs_EB'!$F$23:$F$43,'Fuel Techs'!$D43)/(SUMIFS('OMNIA - Key Inputs_EB'!M$6:M$17,'OMNIA - Key Inputs_EB'!$E$6:$E$17,'Fuel Techs'!$E42)/1000),0%)</f>
        <v>2.3240562835808876E-2</v>
      </c>
      <c r="O43" s="228">
        <f>IFERROR(SUMIFS('OMNIA - Key Inputs_EB'!N$23:N$43,'OMNIA - Key Inputs_EB'!$F$23:$F$43,'Fuel Techs'!$D43)/(SUMIFS('OMNIA - Key Inputs_EB'!N$6:N$17,'OMNIA - Key Inputs_EB'!$E$6:$E$17,'Fuel Techs'!$E42)/1000),0%)</f>
        <v>8.2813104367762444E-2</v>
      </c>
      <c r="P43" s="228">
        <f>IFERROR(SUMIFS('OMNIA - Key Inputs_EB'!O$23:O$43,'OMNIA - Key Inputs_EB'!$F$23:$F$43,'Fuel Techs'!$D43)/(SUMIFS('OMNIA - Key Inputs_EB'!O$6:O$17,'OMNIA - Key Inputs_EB'!$E$6:$E$17,'Fuel Techs'!$E42)/1000),0%)</f>
        <v>0.24292515309158622</v>
      </c>
      <c r="Q43" s="228">
        <f>IFERROR(SUMIFS('OMNIA - Key Inputs_EB'!P$23:P$43,'OMNIA - Key Inputs_EB'!$F$23:$F$43,'Fuel Techs'!$D43)/(SUMIFS('OMNIA - Key Inputs_EB'!P$6:P$17,'OMNIA - Key Inputs_EB'!$E$6:$E$17,'Fuel Techs'!$E42)/1000),0%)</f>
        <v>0</v>
      </c>
      <c r="R43" s="228">
        <f>IFERROR(SUMIFS('OMNIA - Key Inputs_EB'!Q$23:Q$43,'OMNIA - Key Inputs_EB'!$F$23:$F$43,'Fuel Techs'!$D43)/(SUMIFS('OMNIA - Key Inputs_EB'!Q$6:Q$17,'OMNIA - Key Inputs_EB'!$E$6:$E$17,'Fuel Techs'!$E42)/1000),0%)</f>
        <v>0</v>
      </c>
      <c r="S43" s="228">
        <f>IFERROR(SUMIFS('OMNIA - Key Inputs_EB'!R$23:R$43,'OMNIA - Key Inputs_EB'!$F$23:$F$43,'Fuel Techs'!$D43)/(SUMIFS('OMNIA - Key Inputs_EB'!R$6:R$17,'OMNIA - Key Inputs_EB'!$E$6:$E$17,'Fuel Techs'!$E42)/1000),0%)</f>
        <v>0</v>
      </c>
      <c r="T43" s="228">
        <f>IFERROR(SUMIFS('OMNIA - Key Inputs_EB'!S$23:S$43,'OMNIA - Key Inputs_EB'!$F$23:$F$43,'Fuel Techs'!$D43)/(SUMIFS('OMNIA - Key Inputs_EB'!S$6:S$17,'OMNIA - Key Inputs_EB'!$E$6:$E$17,'Fuel Techs'!$E42)/1000),0%)</f>
        <v>1</v>
      </c>
      <c r="U43" s="228">
        <f>IFERROR(SUMIFS('OMNIA - Key Inputs_EB'!T$23:T$43,'OMNIA - Key Inputs_EB'!$F$23:$F$43,'Fuel Techs'!$D43)/(SUMIFS('OMNIA - Key Inputs_EB'!T$6:T$17,'OMNIA - Key Inputs_EB'!$E$6:$E$17,'Fuel Techs'!$E42)/1000),0%)</f>
        <v>1.5058530704312994E-2</v>
      </c>
      <c r="V43" s="228">
        <f>IFERROR(SUMIFS('OMNIA - Key Inputs_EB'!U$23:U$43,'OMNIA - Key Inputs_EB'!$F$23:$F$43,'Fuel Techs'!$D43)/(SUMIFS('OMNIA - Key Inputs_EB'!U$6:U$17,'OMNIA - Key Inputs_EB'!$E$6:$E$17,'Fuel Techs'!$E42)/1000),0%)</f>
        <v>0.32009447729084861</v>
      </c>
      <c r="W43" s="228">
        <f>IFERROR(SUMIFS('OMNIA - Key Inputs_EB'!V$23:V$43,'OMNIA - Key Inputs_EB'!$F$23:$F$43,'Fuel Techs'!$D43)/(SUMIFS('OMNIA - Key Inputs_EB'!V$6:V$17,'OMNIA - Key Inputs_EB'!$E$6:$E$17,'Fuel Techs'!$E42)/1000),0%)</f>
        <v>4.4393469579875083E-2</v>
      </c>
      <c r="X43" s="228">
        <f>IFERROR(SUMIFS('OMNIA - Key Inputs_EB'!W$23:W$43,'OMNIA - Key Inputs_EB'!$F$23:$F$43,'Fuel Techs'!$D43)/(SUMIFS('OMNIA - Key Inputs_EB'!W$6:W$17,'OMNIA - Key Inputs_EB'!$E$6:$E$17,'Fuel Techs'!$E42)/1000),0%)</f>
        <v>3.6459959631695245E-2</v>
      </c>
      <c r="Y43" s="228">
        <f>IFERROR(SUMIFS('OMNIA - Key Inputs_EB'!X$23:X$43,'OMNIA - Key Inputs_EB'!$F$23:$F$43,'Fuel Techs'!$D43)/(SUMIFS('OMNIA - Key Inputs_EB'!X$6:X$17,'OMNIA - Key Inputs_EB'!$E$6:$E$17,'Fuel Techs'!$E42)/1000),0%)</f>
        <v>2.1905032237135559E-2</v>
      </c>
      <c r="Z43" s="228">
        <f>IFERROR(SUMIFS('OMNIA - Key Inputs_EB'!Y$23:Y$43,'OMNIA - Key Inputs_EB'!$F$23:$F$43,'Fuel Techs'!$D43)/(SUMIFS('OMNIA - Key Inputs_EB'!Y$6:Y$17,'OMNIA - Key Inputs_EB'!$E$6:$E$17,'Fuel Techs'!$E42)/1000),0%)</f>
        <v>0.39628101839704405</v>
      </c>
      <c r="AA43" s="228">
        <f>IFERROR(SUMIFS('OMNIA - Key Inputs_EB'!Z$23:Z$43,'OMNIA - Key Inputs_EB'!$F$23:$F$43,'Fuel Techs'!$D43)/(SUMIFS('OMNIA - Key Inputs_EB'!Z$6:Z$17,'OMNIA - Key Inputs_EB'!$E$6:$E$17,'Fuel Techs'!$E42)/1000),0%)</f>
        <v>0.15000039651937694</v>
      </c>
      <c r="AB43" s="228">
        <f>IFERROR(SUMIFS('OMNIA - Key Inputs_EB'!AA$23:AA$43,'OMNIA - Key Inputs_EB'!$F$23:$F$43,'Fuel Techs'!$D43)/(SUMIFS('OMNIA - Key Inputs_EB'!AA$6:AA$17,'OMNIA - Key Inputs_EB'!$E$6:$E$17,'Fuel Techs'!$E42)/1000),0%)</f>
        <v>0</v>
      </c>
      <c r="AC43" s="228">
        <f>IFERROR(SUMIFS('OMNIA - Key Inputs_EB'!AB$23:AB$43,'OMNIA - Key Inputs_EB'!$F$23:$F$43,'Fuel Techs'!$D43)/(SUMIFS('OMNIA - Key Inputs_EB'!AB$6:AB$17,'OMNIA - Key Inputs_EB'!$E$6:$E$17,'Fuel Techs'!$E42)/1000),0%)</f>
        <v>4.3526220923290363E-3</v>
      </c>
      <c r="AD43" s="228">
        <f>IFERROR(SUMIFS('OMNIA - Key Inputs_EB'!AC$23:AC$43,'OMNIA - Key Inputs_EB'!$F$23:$F$43,'Fuel Techs'!$D43)/(SUMIFS('OMNIA - Key Inputs_EB'!AC$6:AC$17,'OMNIA - Key Inputs_EB'!$E$6:$E$17,'Fuel Techs'!$E42)/1000),0%)</f>
        <v>0.32277594035540114</v>
      </c>
      <c r="AE43" s="228">
        <f>IFERROR(SUMIFS('OMNIA - Key Inputs_EB'!AD$23:AD$43,'OMNIA - Key Inputs_EB'!$F$23:$F$43,'Fuel Techs'!$D43)/(SUMIFS('OMNIA - Key Inputs_EB'!AD$6:AD$17,'OMNIA - Key Inputs_EB'!$E$6:$E$17,'Fuel Techs'!$E42)/1000),0%)</f>
        <v>6.9105212332477572E-2</v>
      </c>
      <c r="AF43" s="228">
        <f>IFERROR(SUMIFS('OMNIA - Key Inputs_EB'!AE$23:AE$43,'OMNIA - Key Inputs_EB'!$F$23:$F$43,'Fuel Techs'!$D43)/(SUMIFS('OMNIA - Key Inputs_EB'!AE$6:AE$17,'OMNIA - Key Inputs_EB'!$E$6:$E$17,'Fuel Techs'!$E42)/1000),0%)</f>
        <v>0</v>
      </c>
      <c r="AG43" s="228">
        <f>IFERROR(SUMIFS('OMNIA - Key Inputs_EB'!AF$23:AF$43,'OMNIA - Key Inputs_EB'!$F$23:$F$43,'Fuel Techs'!$D43)/(SUMIFS('OMNIA - Key Inputs_EB'!AF$6:AF$17,'OMNIA - Key Inputs_EB'!$E$6:$E$17,'Fuel Techs'!$E42)/1000),0%)</f>
        <v>0.48546724002837899</v>
      </c>
      <c r="AH43" s="228">
        <f>IFERROR(SUMIFS('OMNIA - Key Inputs_EB'!AG$23:AG$43,'OMNIA - Key Inputs_EB'!$F$23:$F$43,'Fuel Techs'!$D43)/(SUMIFS('OMNIA - Key Inputs_EB'!AG$6:AG$17,'OMNIA - Key Inputs_EB'!$E$6:$E$17,'Fuel Techs'!$E42)/1000),0%)</f>
        <v>0</v>
      </c>
      <c r="AI43" s="228">
        <f>IFERROR(SUMIFS('OMNIA - Key Inputs_EB'!AH$23:AH$43,'OMNIA - Key Inputs_EB'!$F$23:$F$43,'Fuel Techs'!$D43)/(SUMIFS('OMNIA - Key Inputs_EB'!AH$6:AH$17,'OMNIA - Key Inputs_EB'!$E$6:$E$17,'Fuel Techs'!$E42)/1000),0%)</f>
        <v>0</v>
      </c>
      <c r="AJ43" s="228">
        <f>IFERROR(SUMIFS('OMNIA - Key Inputs_EB'!AI$23:AI$43,'OMNIA - Key Inputs_EB'!$F$23:$F$43,'Fuel Techs'!$D43)/(SUMIFS('OMNIA - Key Inputs_EB'!AI$6:AI$17,'OMNIA - Key Inputs_EB'!$E$6:$E$17,'Fuel Techs'!$E42)/1000),0%)</f>
        <v>0</v>
      </c>
    </row>
    <row r="44" spans="2:36" s="46" customFormat="1" x14ac:dyDescent="0.25"/>
    <row r="46" spans="2:36" x14ac:dyDescent="0.25">
      <c r="F46" s="46"/>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08C23-3FBA-4E5C-AF78-1C357D430F29}">
  <sheetPr codeName="Sheet7">
    <tabColor theme="9" tint="0.59999389629810485"/>
  </sheetPr>
  <dimension ref="A1:AP192"/>
  <sheetViews>
    <sheetView showGridLines="0" topLeftCell="AC1" zoomScale="85" zoomScaleNormal="85" workbookViewId="0">
      <pane ySplit="1" topLeftCell="A180" activePane="bottomLeft" state="frozen"/>
      <selection activeCell="F1" sqref="F1"/>
      <selection pane="bottomLeft" activeCell="AO190" sqref="AO190"/>
    </sheetView>
  </sheetViews>
  <sheetFormatPr defaultColWidth="9" defaultRowHeight="15" x14ac:dyDescent="0.25"/>
  <cols>
    <col min="1" max="1" width="16.25" style="232" bestFit="1" customWidth="1"/>
    <col min="2" max="2" width="5.875" style="232" bestFit="1" customWidth="1"/>
    <col min="3" max="3" width="19.25" style="232" bestFit="1" customWidth="1"/>
    <col min="4" max="4" width="21.875" style="232" customWidth="1"/>
    <col min="5" max="5" width="8.375" style="232" bestFit="1" customWidth="1"/>
    <col min="6" max="7" width="8.375" style="232" customWidth="1"/>
    <col min="8" max="8" width="1.875" style="81" customWidth="1"/>
    <col min="9" max="9" width="14.75" style="81" customWidth="1"/>
    <col min="10" max="10" width="47.375" style="81" bestFit="1" customWidth="1"/>
    <col min="11" max="11" width="14.375" style="81" bestFit="1" customWidth="1"/>
    <col min="12" max="12" width="9" style="81"/>
    <col min="13" max="13" width="10.625" style="81" bestFit="1" customWidth="1"/>
    <col min="14" max="14" width="10.625" style="81" customWidth="1"/>
    <col min="15" max="18" width="9" style="81"/>
    <col min="19" max="19" width="9" style="81" customWidth="1"/>
    <col min="20" max="24" width="9" style="81"/>
    <col min="25" max="25" width="10.125" style="81" bestFit="1" customWidth="1"/>
    <col min="26" max="16384" width="9" style="81"/>
  </cols>
  <sheetData>
    <row r="1" spans="1:14" ht="23.25" x14ac:dyDescent="0.25">
      <c r="I1" s="54" t="str">
        <f>"Characterization of base-year technologies - "&amp;Legend!$B$4</f>
        <v>Characterization of base-year technologies - Residential</v>
      </c>
    </row>
    <row r="3" spans="1:14" ht="15.75" x14ac:dyDescent="0.25">
      <c r="I3" s="82" t="s">
        <v>34</v>
      </c>
      <c r="J3" s="8"/>
      <c r="K3" s="8"/>
      <c r="L3" s="8"/>
      <c r="M3" s="8"/>
      <c r="N3" s="8"/>
    </row>
    <row r="4" spans="1:14" ht="30.75" thickBot="1" x14ac:dyDescent="0.3">
      <c r="A4" s="278" t="s">
        <v>95</v>
      </c>
      <c r="B4" s="278"/>
      <c r="C4" s="276" t="s">
        <v>96</v>
      </c>
      <c r="D4" s="276"/>
      <c r="E4" s="276" t="s">
        <v>199</v>
      </c>
      <c r="F4" s="276" t="s">
        <v>386</v>
      </c>
      <c r="G4" s="276"/>
      <c r="I4" s="77" t="s">
        <v>35</v>
      </c>
      <c r="J4" s="83" t="s">
        <v>192</v>
      </c>
      <c r="K4" s="77" t="s">
        <v>188</v>
      </c>
      <c r="L4" s="77" t="s">
        <v>189</v>
      </c>
      <c r="M4" s="77" t="s">
        <v>309</v>
      </c>
      <c r="N4" s="77" t="s">
        <v>311</v>
      </c>
    </row>
    <row r="5" spans="1:14" ht="39" thickBot="1" x14ac:dyDescent="0.3">
      <c r="A5" s="277" t="s">
        <v>27</v>
      </c>
      <c r="B5" s="277" t="s">
        <v>32</v>
      </c>
      <c r="C5" s="277" t="s">
        <v>27</v>
      </c>
      <c r="D5" s="277" t="s">
        <v>32</v>
      </c>
      <c r="E5" s="279"/>
      <c r="F5" s="277" t="s">
        <v>27</v>
      </c>
      <c r="G5" s="277" t="s">
        <v>32</v>
      </c>
      <c r="I5" s="1" t="s">
        <v>196</v>
      </c>
      <c r="J5" s="1" t="s">
        <v>27</v>
      </c>
      <c r="K5" s="1" t="s">
        <v>197</v>
      </c>
      <c r="L5" s="1" t="s">
        <v>198</v>
      </c>
      <c r="M5" s="2" t="s">
        <v>85</v>
      </c>
      <c r="N5" s="2" t="s">
        <v>302</v>
      </c>
    </row>
    <row r="6" spans="1:14" x14ac:dyDescent="0.25">
      <c r="A6" s="254" t="str">
        <f>Legend!A$45</f>
        <v>Thermal uses</v>
      </c>
      <c r="B6" s="419" t="str">
        <f>LEFT(Legend!$C$4)&amp;"-"&amp;Legend!B$46</f>
        <v>R-THL</v>
      </c>
      <c r="C6" s="254" t="str">
        <f>Legend!A$64</f>
        <v>Biomass</v>
      </c>
      <c r="D6" s="254" t="str">
        <f>Legend!B$64</f>
        <v>RSDBIO</v>
      </c>
      <c r="E6" s="254" t="str">
        <f t="shared" ref="E6" si="0">LEFT(D6,6)</f>
        <v>RSDBIO</v>
      </c>
      <c r="F6" s="254" t="str">
        <f>Legend!$A$60</f>
        <v>Stove</v>
      </c>
      <c r="G6" s="254" t="str">
        <f>Legend!$B$60</f>
        <v>STV</v>
      </c>
      <c r="I6" s="286" t="str">
        <f>IF(A6="","",$B6&amp;"-"&amp;G6&amp;"_"&amp;RIGHT(E6,3)&amp;"00")</f>
        <v>R-THL-STV_BIO00</v>
      </c>
      <c r="J6" s="229" t="str">
        <f>IF(A6="","",Legend!$C$4&amp;" "&amp;$A6&amp;" technology: "&amp;$C6&amp;" - Existing")</f>
        <v>RSD Thermal uses technology: Biomass - Existing</v>
      </c>
      <c r="K6" s="229" t="str">
        <f>IF(D6="","",D6)</f>
        <v>RSDBIO</v>
      </c>
      <c r="L6" s="209" t="str">
        <f>'Key Inputs_BY Techs'!C60</f>
        <v>R-THL</v>
      </c>
      <c r="M6" s="81">
        <f>IF(A6="","",31.536)</f>
        <v>31.536000000000001</v>
      </c>
      <c r="N6" s="209">
        <f>'Key Inputs_BY Techs'!H157</f>
        <v>15</v>
      </c>
    </row>
    <row r="7" spans="1:14" x14ac:dyDescent="0.25">
      <c r="A7" s="254" t="str">
        <f>Legend!A$45</f>
        <v>Thermal uses</v>
      </c>
      <c r="B7" s="254" t="str">
        <f>LEFT(Legend!$C$4)&amp;"-"&amp;Legend!B$46</f>
        <v>R-THL</v>
      </c>
      <c r="C7" s="254" t="str">
        <f>Legend!A$65</f>
        <v>Coal</v>
      </c>
      <c r="D7" s="254" t="str">
        <f>Legend!B$65</f>
        <v>RSDCOA</v>
      </c>
      <c r="E7" s="254" t="str">
        <f t="shared" ref="E7:E16" si="1">LEFT(D7,6)</f>
        <v>RSDCOA</v>
      </c>
      <c r="F7" s="254" t="str">
        <f>Legend!$A$60</f>
        <v>Stove</v>
      </c>
      <c r="G7" s="254" t="str">
        <f>Legend!$B$60</f>
        <v>STV</v>
      </c>
      <c r="I7" s="81" t="str">
        <f t="shared" ref="I7:I15" si="2">IF(A7="","",$B7&amp;"-"&amp;G7&amp;"_"&amp;RIGHT(E7,3)&amp;"00")</f>
        <v>R-THL-STV_COA00</v>
      </c>
      <c r="J7" s="81" t="str">
        <f>IF(A7="","",Legend!$C$4&amp;" "&amp;$A7&amp;" technology: "&amp;$C7&amp;" - Existing")</f>
        <v>RSD Thermal uses technology: Coal - Existing</v>
      </c>
      <c r="K7" s="81" t="str">
        <f t="shared" ref="K7:K49" si="3">IF(D7="","",D7)</f>
        <v>RSDCOA</v>
      </c>
      <c r="L7" s="81" t="str">
        <f>'Key Inputs_BY Techs'!C61</f>
        <v>R-THL</v>
      </c>
      <c r="M7" s="81">
        <f t="shared" ref="M7:M38" si="4">IF(A7="","",31.536)</f>
        <v>31.536000000000001</v>
      </c>
      <c r="N7" s="81">
        <f>'Key Inputs_BY Techs'!H158</f>
        <v>20</v>
      </c>
    </row>
    <row r="8" spans="1:14" x14ac:dyDescent="0.25">
      <c r="A8" s="254" t="str">
        <f>Legend!A$45</f>
        <v>Thermal uses</v>
      </c>
      <c r="B8" s="254" t="str">
        <f>LEFT(Legend!$C$4)&amp;"-"&amp;Legend!B$46</f>
        <v>R-THL</v>
      </c>
      <c r="C8" s="254" t="str">
        <f>Legend!A$66</f>
        <v>Electricity</v>
      </c>
      <c r="D8" s="254" t="str">
        <f>Legend!B$66</f>
        <v>RSDELC</v>
      </c>
      <c r="E8" s="254" t="str">
        <f t="shared" si="1"/>
        <v>RSDELC</v>
      </c>
      <c r="F8" s="254" t="str">
        <f>Legend!$A$59</f>
        <v>Resistance</v>
      </c>
      <c r="G8" s="254" t="str">
        <f>Legend!$B$59</f>
        <v>RST</v>
      </c>
      <c r="I8" s="81" t="str">
        <f t="shared" si="2"/>
        <v>R-THL-RST_ELC00</v>
      </c>
      <c r="J8" s="81" t="str">
        <f>IF(A8="","",Legend!$C$4&amp;" "&amp;$A8&amp;" technology: "&amp;$C8&amp;" - Existing")</f>
        <v>RSD Thermal uses technology: Electricity - Existing</v>
      </c>
      <c r="K8" s="81" t="str">
        <f t="shared" si="3"/>
        <v>RSDELC</v>
      </c>
      <c r="L8" s="81" t="str">
        <f>'Key Inputs_BY Techs'!C62</f>
        <v>R-THL</v>
      </c>
      <c r="M8" s="81">
        <f t="shared" si="4"/>
        <v>31.536000000000001</v>
      </c>
      <c r="N8" s="81">
        <f>'Key Inputs_BY Techs'!H159</f>
        <v>15</v>
      </c>
    </row>
    <row r="9" spans="1:14" x14ac:dyDescent="0.25">
      <c r="A9" s="254" t="str">
        <f>Legend!A$45</f>
        <v>Thermal uses</v>
      </c>
      <c r="B9" s="254" t="str">
        <f>LEFT(Legend!$C$4)&amp;"-"&amp;Legend!B$46</f>
        <v>R-THL</v>
      </c>
      <c r="C9" s="254" t="str">
        <f>Legend!A$66&amp;" (Heat Pump)"</f>
        <v>Electricity (Heat Pump)</v>
      </c>
      <c r="D9" s="254" t="str">
        <f>Legend!B$66</f>
        <v>RSDELC</v>
      </c>
      <c r="E9" s="254" t="str">
        <f t="shared" ref="E9" si="5">LEFT(D9,6)</f>
        <v>RSDELC</v>
      </c>
      <c r="F9" s="254" t="str">
        <f>Legend!$A$57</f>
        <v>Heat pump (Air)</v>
      </c>
      <c r="G9" s="254" t="str">
        <f>Legend!$B$57</f>
        <v>HPA</v>
      </c>
      <c r="I9" s="81" t="str">
        <f t="shared" si="2"/>
        <v>R-THL-HPA_ELC00</v>
      </c>
      <c r="J9" s="81" t="str">
        <f>IF(A9="","",Legend!$C$4&amp;" "&amp;$A9&amp;" technology: "&amp;$C9&amp;" - Existing")</f>
        <v>RSD Thermal uses technology: Electricity (Heat Pump) - Existing</v>
      </c>
      <c r="K9" s="81" t="str">
        <f t="shared" si="3"/>
        <v>RSDELC</v>
      </c>
      <c r="L9" s="81" t="str">
        <f>'Key Inputs_BY Techs'!C63</f>
        <v>R-THL</v>
      </c>
      <c r="M9" s="81">
        <f t="shared" si="4"/>
        <v>31.536000000000001</v>
      </c>
      <c r="N9" s="81">
        <f>'Key Inputs_BY Techs'!H160</f>
        <v>15</v>
      </c>
    </row>
    <row r="10" spans="1:14" x14ac:dyDescent="0.25">
      <c r="A10" s="254" t="str">
        <f>Legend!A$45</f>
        <v>Thermal uses</v>
      </c>
      <c r="B10" s="254" t="str">
        <f>LEFT(Legend!$C$4)&amp;"-"&amp;Legend!B$46</f>
        <v>R-THL</v>
      </c>
      <c r="C10" s="254" t="str">
        <f>Legend!$A$71&amp;", "&amp;Legend!$A$63&amp;", "&amp;Legend!$A$72</f>
        <v>Natural gas, Biogas, Manufactured gas</v>
      </c>
      <c r="D10" s="254" t="str">
        <f>Legend!$B$71&amp;", "&amp;Legend!$B$63&amp;", "&amp;Legend!$B$72</f>
        <v>RSDGAS, RSDBGS, RSDGAM</v>
      </c>
      <c r="E10" s="254" t="str">
        <f t="shared" si="1"/>
        <v>RSDGAS</v>
      </c>
      <c r="F10" s="254" t="str">
        <f>Legend!$A$56</f>
        <v>Boiler</v>
      </c>
      <c r="G10" s="254" t="str">
        <f>Legend!$B$56</f>
        <v>BLR</v>
      </c>
      <c r="I10" s="81" t="str">
        <f t="shared" si="2"/>
        <v>R-THL-BLR_GAS00</v>
      </c>
      <c r="J10" s="81" t="str">
        <f>IF(A10="","",Legend!$C$4&amp;" "&amp;$A10&amp;" technology: "&amp;$C10&amp;" - Existing")</f>
        <v>RSD Thermal uses technology: Natural gas, Biogas, Manufactured gas - Existing</v>
      </c>
      <c r="K10" s="81" t="str">
        <f t="shared" si="3"/>
        <v>RSDGAS, RSDBGS, RSDGAM</v>
      </c>
      <c r="L10" s="81" t="str">
        <f>'Key Inputs_BY Techs'!C64</f>
        <v>R-THL</v>
      </c>
      <c r="M10" s="81">
        <f t="shared" si="4"/>
        <v>31.536000000000001</v>
      </c>
      <c r="N10" s="81">
        <f>'Key Inputs_BY Techs'!H161</f>
        <v>15</v>
      </c>
    </row>
    <row r="11" spans="1:14" x14ac:dyDescent="0.25">
      <c r="A11" s="254" t="str">
        <f>Legend!A$45</f>
        <v>Thermal uses</v>
      </c>
      <c r="B11" s="254" t="str">
        <f>LEFT(Legend!$C$4)&amp;"-"&amp;Legend!B$46</f>
        <v>R-THL</v>
      </c>
      <c r="C11" s="254" t="str">
        <f>Legend!$A$67</f>
        <v>Geothermal</v>
      </c>
      <c r="D11" s="254" t="str">
        <f>Legend!$B$67</f>
        <v>RSDGEO</v>
      </c>
      <c r="E11" s="254" t="str">
        <f t="shared" si="1"/>
        <v>RSDGEO</v>
      </c>
      <c r="F11" s="254" t="str">
        <f>Legend!$A$61</f>
        <v>Heat exchanger</v>
      </c>
      <c r="G11" s="254" t="str">
        <f>Legend!$B$61</f>
        <v>HEX</v>
      </c>
      <c r="I11" s="81" t="str">
        <f t="shared" si="2"/>
        <v>R-THL-HEX_GEO00</v>
      </c>
      <c r="J11" s="81" t="str">
        <f>IF(A11="","",Legend!$C$4&amp;" "&amp;$A11&amp;" technology: "&amp;$C11&amp;" - Existing")</f>
        <v>RSD Thermal uses technology: Geothermal - Existing</v>
      </c>
      <c r="K11" s="81" t="str">
        <f t="shared" si="3"/>
        <v>RSDGEO</v>
      </c>
      <c r="L11" s="81" t="str">
        <f>'Key Inputs_BY Techs'!C65</f>
        <v>R-THL</v>
      </c>
      <c r="M11" s="81">
        <f t="shared" si="4"/>
        <v>31.536000000000001</v>
      </c>
      <c r="N11" s="81">
        <f>'Key Inputs_BY Techs'!H162</f>
        <v>20</v>
      </c>
    </row>
    <row r="12" spans="1:14" x14ac:dyDescent="0.25">
      <c r="A12" s="254" t="str">
        <f>Legend!A$45</f>
        <v>Thermal uses</v>
      </c>
      <c r="B12" s="254" t="str">
        <f>LEFT(Legend!$C$4)&amp;"-"&amp;Legend!B$46</f>
        <v>R-THL</v>
      </c>
      <c r="C12" s="254" t="str">
        <f>Legend!$A$68</f>
        <v>Heat</v>
      </c>
      <c r="D12" s="254" t="str">
        <f>Legend!$B$68</f>
        <v>RSDHET</v>
      </c>
      <c r="E12" s="254" t="str">
        <f t="shared" si="1"/>
        <v>RSDHET</v>
      </c>
      <c r="F12" s="254" t="str">
        <f>Legend!$A$61</f>
        <v>Heat exchanger</v>
      </c>
      <c r="G12" s="254" t="str">
        <f>Legend!$B$61</f>
        <v>HEX</v>
      </c>
      <c r="I12" s="81" t="str">
        <f t="shared" si="2"/>
        <v>R-THL-HEX_HET00</v>
      </c>
      <c r="J12" s="81" t="str">
        <f>IF(A12="","",Legend!$C$4&amp;" "&amp;$A12&amp;" technology: "&amp;$C12&amp;" - Existing")</f>
        <v>RSD Thermal uses technology: Heat - Existing</v>
      </c>
      <c r="K12" s="81" t="str">
        <f t="shared" si="3"/>
        <v>RSDHET</v>
      </c>
      <c r="L12" s="81" t="str">
        <f>'Key Inputs_BY Techs'!C66</f>
        <v>R-THL</v>
      </c>
      <c r="M12" s="81">
        <f t="shared" si="4"/>
        <v>31.536000000000001</v>
      </c>
      <c r="N12" s="81">
        <f>'Key Inputs_BY Techs'!H163</f>
        <v>15</v>
      </c>
    </row>
    <row r="13" spans="1:14" x14ac:dyDescent="0.25">
      <c r="A13" s="254" t="str">
        <f>Legend!A$45</f>
        <v>Thermal uses</v>
      </c>
      <c r="B13" s="254" t="str">
        <f>LEFT(Legend!$C$4)&amp;"-"&amp;Legend!B$46</f>
        <v>R-THL</v>
      </c>
      <c r="C13" s="254" t="str">
        <f>Legend!$A$70</f>
        <v>LPG</v>
      </c>
      <c r="D13" s="254" t="str">
        <f>Legend!$B$70</f>
        <v>RSDLPG</v>
      </c>
      <c r="E13" s="254" t="str">
        <f t="shared" si="1"/>
        <v>RSDLPG</v>
      </c>
      <c r="F13" s="254" t="str">
        <f>Legend!$A$56</f>
        <v>Boiler</v>
      </c>
      <c r="G13" s="254" t="str">
        <f>Legend!$B$56</f>
        <v>BLR</v>
      </c>
      <c r="I13" s="81" t="str">
        <f t="shared" si="2"/>
        <v>R-THL-BLR_LPG00</v>
      </c>
      <c r="J13" s="81" t="str">
        <f>IF(A13="","",Legend!$C$4&amp;" "&amp;$A13&amp;" technology: "&amp;$C13&amp;" - Existing")</f>
        <v>RSD Thermal uses technology: LPG - Existing</v>
      </c>
      <c r="K13" s="81" t="str">
        <f t="shared" si="3"/>
        <v>RSDLPG</v>
      </c>
      <c r="L13" s="81" t="str">
        <f>'Key Inputs_BY Techs'!C67</f>
        <v>R-THL</v>
      </c>
      <c r="M13" s="81">
        <f t="shared" si="4"/>
        <v>31.536000000000001</v>
      </c>
      <c r="N13" s="81">
        <f>'Key Inputs_BY Techs'!H164</f>
        <v>17</v>
      </c>
    </row>
    <row r="14" spans="1:14" x14ac:dyDescent="0.25">
      <c r="A14" s="254" t="str">
        <f>Legend!A$45</f>
        <v>Thermal uses</v>
      </c>
      <c r="B14" s="254" t="str">
        <f>LEFT(Legend!$C$4)&amp;"-"&amp;Legend!B$46</f>
        <v>R-THL</v>
      </c>
      <c r="C14" s="254" t="str">
        <f>Legend!$A$73&amp;", "&amp;Legend!$A$69</f>
        <v>Oil, Liquid biofuels</v>
      </c>
      <c r="D14" s="254" t="str">
        <f>Legend!$B$73&amp;", "&amp;Legend!$B$69</f>
        <v>RSDOIL, RSDBLQ</v>
      </c>
      <c r="E14" s="254" t="str">
        <f t="shared" si="1"/>
        <v>RSDOIL</v>
      </c>
      <c r="F14" s="254" t="str">
        <f>Legend!$A$56</f>
        <v>Boiler</v>
      </c>
      <c r="G14" s="254" t="str">
        <f>Legend!$B$56</f>
        <v>BLR</v>
      </c>
      <c r="I14" s="81" t="str">
        <f t="shared" si="2"/>
        <v>R-THL-BLR_OIL00</v>
      </c>
      <c r="J14" s="81" t="str">
        <f>IF(A14="","",Legend!$C$4&amp;" "&amp;$A14&amp;" technology: "&amp;$C14&amp;" - Existing")</f>
        <v>RSD Thermal uses technology: Oil, Liquid biofuels - Existing</v>
      </c>
      <c r="K14" s="81" t="str">
        <f t="shared" si="3"/>
        <v>RSDOIL, RSDBLQ</v>
      </c>
      <c r="L14" s="81" t="str">
        <f>'Key Inputs_BY Techs'!C68</f>
        <v>R-THL</v>
      </c>
      <c r="M14" s="81">
        <f t="shared" si="4"/>
        <v>31.536000000000001</v>
      </c>
      <c r="N14" s="81">
        <f>'Key Inputs_BY Techs'!H165</f>
        <v>15</v>
      </c>
    </row>
    <row r="15" spans="1:14" x14ac:dyDescent="0.25">
      <c r="A15" s="281" t="str">
        <f>Legend!A$45</f>
        <v>Thermal uses</v>
      </c>
      <c r="B15" s="281" t="str">
        <f>LEFT(Legend!$C$4)&amp;"-"&amp;Legend!B$46</f>
        <v>R-THL</v>
      </c>
      <c r="C15" s="281" t="str">
        <f>Legend!$A$74</f>
        <v>Solar</v>
      </c>
      <c r="D15" s="281" t="str">
        <f>Legend!$B$74</f>
        <v>RSDSOL</v>
      </c>
      <c r="E15" s="281" t="str">
        <f t="shared" si="1"/>
        <v>RSDSOL</v>
      </c>
      <c r="F15" s="281" t="str">
        <f>Legend!$A$61</f>
        <v>Heat exchanger</v>
      </c>
      <c r="G15" s="281" t="str">
        <f>Legend!$B$61</f>
        <v>HEX</v>
      </c>
      <c r="I15" s="84" t="str">
        <f t="shared" si="2"/>
        <v>R-THL-HEX_SOL00</v>
      </c>
      <c r="J15" s="84" t="str">
        <f>IF(A15="","",Legend!$C$4&amp;" "&amp;$A15&amp;" technology: "&amp;$C15&amp;" - Existing")</f>
        <v>RSD Thermal uses technology: Solar - Existing</v>
      </c>
      <c r="K15" s="84" t="str">
        <f t="shared" si="3"/>
        <v>RSDSOL</v>
      </c>
      <c r="L15" s="84" t="str">
        <f>'Key Inputs_BY Techs'!C69</f>
        <v>R-THL</v>
      </c>
      <c r="M15" s="84">
        <f t="shared" si="4"/>
        <v>31.536000000000001</v>
      </c>
      <c r="N15" s="84">
        <f>'Key Inputs_BY Techs'!H166</f>
        <v>15</v>
      </c>
    </row>
    <row r="16" spans="1:14" x14ac:dyDescent="0.25">
      <c r="A16" s="254" t="str">
        <f>Legend!A$45</f>
        <v>Thermal uses</v>
      </c>
      <c r="B16" s="280" t="str">
        <f>LEFT(Legend!$C$4)&amp;"-"&amp;Legend!B$47</f>
        <v>R-THH</v>
      </c>
      <c r="C16" s="254" t="str">
        <f>Legend!A$64</f>
        <v>Biomass</v>
      </c>
      <c r="D16" s="254" t="str">
        <f>Legend!B$64</f>
        <v>RSDBIO</v>
      </c>
      <c r="E16" s="254" t="str">
        <f t="shared" si="1"/>
        <v>RSDBIO</v>
      </c>
      <c r="F16" s="254" t="str">
        <f>Legend!$A$60</f>
        <v>Stove</v>
      </c>
      <c r="G16" s="254" t="str">
        <f>Legend!$B$60</f>
        <v>STV</v>
      </c>
      <c r="I16" s="286" t="str">
        <f>IF(A16="","",$B16&amp;"-"&amp;G16&amp;"_"&amp;RIGHT(E16,3)&amp;"00")</f>
        <v>R-THH-STV_BIO00</v>
      </c>
      <c r="J16" s="229" t="str">
        <f>IF(A16="","",Legend!$C$4&amp;" "&amp;$A16&amp;" technology: "&amp;$C16&amp;" - Existing")</f>
        <v>RSD Thermal uses technology: Biomass - Existing</v>
      </c>
      <c r="K16" s="229" t="str">
        <f>IF(D16="","",D16)</f>
        <v>RSDBIO</v>
      </c>
      <c r="L16" s="209" t="str">
        <f>'Key Inputs_BY Techs'!C70</f>
        <v>R-THH</v>
      </c>
      <c r="M16" s="81">
        <f>IF(A16="","",31.536)</f>
        <v>31.536000000000001</v>
      </c>
      <c r="N16" s="209">
        <f>'Key Inputs_BY Techs'!H167</f>
        <v>15</v>
      </c>
    </row>
    <row r="17" spans="1:14" x14ac:dyDescent="0.25">
      <c r="A17" s="254" t="str">
        <f>Legend!A$45</f>
        <v>Thermal uses</v>
      </c>
      <c r="B17" s="254" t="str">
        <f>LEFT(Legend!$C$4)&amp;"-"&amp;Legend!B$47</f>
        <v>R-THH</v>
      </c>
      <c r="C17" s="254" t="str">
        <f>Legend!A$65</f>
        <v>Coal</v>
      </c>
      <c r="D17" s="254" t="str">
        <f>Legend!B$65</f>
        <v>RSDCOA</v>
      </c>
      <c r="E17" s="254" t="str">
        <f t="shared" ref="E17:E25" si="6">LEFT(D17,6)</f>
        <v>RSDCOA</v>
      </c>
      <c r="F17" s="254" t="str">
        <f>Legend!$A$60</f>
        <v>Stove</v>
      </c>
      <c r="G17" s="254" t="str">
        <f>Legend!$B$60</f>
        <v>STV</v>
      </c>
      <c r="I17" s="81" t="str">
        <f t="shared" ref="I17:I25" si="7">IF(A17="","",$B17&amp;"-"&amp;G17&amp;"_"&amp;RIGHT(E17,3)&amp;"00")</f>
        <v>R-THH-STV_COA00</v>
      </c>
      <c r="J17" s="81" t="str">
        <f>IF(A17="","",Legend!$C$4&amp;" "&amp;$A17&amp;" technology: "&amp;$C17&amp;" - Existing")</f>
        <v>RSD Thermal uses technology: Coal - Existing</v>
      </c>
      <c r="K17" s="81" t="str">
        <f t="shared" ref="K17:K25" si="8">IF(D17="","",D17)</f>
        <v>RSDCOA</v>
      </c>
      <c r="L17" s="81" t="str">
        <f>'Key Inputs_BY Techs'!C71</f>
        <v>R-THH</v>
      </c>
      <c r="M17" s="81">
        <f t="shared" ref="M17:M25" si="9">IF(A17="","",31.536)</f>
        <v>31.536000000000001</v>
      </c>
      <c r="N17" s="81">
        <f>'Key Inputs_BY Techs'!H168</f>
        <v>20</v>
      </c>
    </row>
    <row r="18" spans="1:14" x14ac:dyDescent="0.25">
      <c r="A18" s="254" t="str">
        <f>Legend!A$45</f>
        <v>Thermal uses</v>
      </c>
      <c r="B18" s="254" t="str">
        <f>LEFT(Legend!$C$4)&amp;"-"&amp;Legend!B$47</f>
        <v>R-THH</v>
      </c>
      <c r="C18" s="254" t="str">
        <f>Legend!A$66</f>
        <v>Electricity</v>
      </c>
      <c r="D18" s="254" t="str">
        <f>Legend!B$66</f>
        <v>RSDELC</v>
      </c>
      <c r="E18" s="254" t="str">
        <f t="shared" si="6"/>
        <v>RSDELC</v>
      </c>
      <c r="F18" s="254" t="str">
        <f>Legend!$A$59</f>
        <v>Resistance</v>
      </c>
      <c r="G18" s="254" t="str">
        <f>Legend!$B$59</f>
        <v>RST</v>
      </c>
      <c r="I18" s="81" t="str">
        <f t="shared" si="7"/>
        <v>R-THH-RST_ELC00</v>
      </c>
      <c r="J18" s="81" t="str">
        <f>IF(A18="","",Legend!$C$4&amp;" "&amp;$A18&amp;" technology: "&amp;$C18&amp;" - Existing")</f>
        <v>RSD Thermal uses technology: Electricity - Existing</v>
      </c>
      <c r="K18" s="81" t="str">
        <f t="shared" si="8"/>
        <v>RSDELC</v>
      </c>
      <c r="L18" s="81" t="str">
        <f>'Key Inputs_BY Techs'!C72</f>
        <v>R-THH</v>
      </c>
      <c r="M18" s="81">
        <f t="shared" si="9"/>
        <v>31.536000000000001</v>
      </c>
      <c r="N18" s="81">
        <f>'Key Inputs_BY Techs'!H169</f>
        <v>15</v>
      </c>
    </row>
    <row r="19" spans="1:14" x14ac:dyDescent="0.25">
      <c r="A19" s="254" t="str">
        <f>Legend!A$45</f>
        <v>Thermal uses</v>
      </c>
      <c r="B19" s="254" t="str">
        <f>LEFT(Legend!$C$4)&amp;"-"&amp;Legend!B$47</f>
        <v>R-THH</v>
      </c>
      <c r="C19" s="254" t="str">
        <f>Legend!A$66&amp;" (Heat Pump)"</f>
        <v>Electricity (Heat Pump)</v>
      </c>
      <c r="D19" s="254" t="str">
        <f>Legend!B$66</f>
        <v>RSDELC</v>
      </c>
      <c r="E19" s="254" t="str">
        <f t="shared" si="6"/>
        <v>RSDELC</v>
      </c>
      <c r="F19" s="254" t="str">
        <f>Legend!$A$57</f>
        <v>Heat pump (Air)</v>
      </c>
      <c r="G19" s="254" t="str">
        <f>Legend!$B$57</f>
        <v>HPA</v>
      </c>
      <c r="I19" s="81" t="str">
        <f t="shared" si="7"/>
        <v>R-THH-HPA_ELC00</v>
      </c>
      <c r="J19" s="81" t="str">
        <f>IF(A19="","",Legend!$C$4&amp;" "&amp;$A19&amp;" technology: "&amp;$C19&amp;" - Existing")</f>
        <v>RSD Thermal uses technology: Electricity (Heat Pump) - Existing</v>
      </c>
      <c r="K19" s="81" t="str">
        <f t="shared" si="8"/>
        <v>RSDELC</v>
      </c>
      <c r="L19" s="81" t="str">
        <f>'Key Inputs_BY Techs'!C73</f>
        <v>R-THH</v>
      </c>
      <c r="M19" s="81">
        <f t="shared" si="9"/>
        <v>31.536000000000001</v>
      </c>
      <c r="N19" s="81">
        <f>'Key Inputs_BY Techs'!H170</f>
        <v>15</v>
      </c>
    </row>
    <row r="20" spans="1:14" x14ac:dyDescent="0.25">
      <c r="A20" s="254" t="str">
        <f>Legend!A$45</f>
        <v>Thermal uses</v>
      </c>
      <c r="B20" s="254" t="str">
        <f>LEFT(Legend!$C$4)&amp;"-"&amp;Legend!B$47</f>
        <v>R-THH</v>
      </c>
      <c r="C20" s="254" t="str">
        <f>Legend!$A$71&amp;", "&amp;Legend!$A$63&amp;", "&amp;Legend!$A$72</f>
        <v>Natural gas, Biogas, Manufactured gas</v>
      </c>
      <c r="D20" s="254" t="str">
        <f>Legend!$B$71&amp;", "&amp;Legend!$B$63&amp;", "&amp;Legend!$B$72</f>
        <v>RSDGAS, RSDBGS, RSDGAM</v>
      </c>
      <c r="E20" s="254" t="str">
        <f t="shared" si="6"/>
        <v>RSDGAS</v>
      </c>
      <c r="F20" s="254" t="str">
        <f>Legend!$A$56</f>
        <v>Boiler</v>
      </c>
      <c r="G20" s="254" t="str">
        <f>Legend!$B$56</f>
        <v>BLR</v>
      </c>
      <c r="I20" s="81" t="str">
        <f t="shared" si="7"/>
        <v>R-THH-BLR_GAS00</v>
      </c>
      <c r="J20" s="81" t="str">
        <f>IF(A20="","",Legend!$C$4&amp;" "&amp;$A20&amp;" technology: "&amp;$C20&amp;" - Existing")</f>
        <v>RSD Thermal uses technology: Natural gas, Biogas, Manufactured gas - Existing</v>
      </c>
      <c r="K20" s="81" t="str">
        <f t="shared" si="8"/>
        <v>RSDGAS, RSDBGS, RSDGAM</v>
      </c>
      <c r="L20" s="81" t="str">
        <f>'Key Inputs_BY Techs'!C74</f>
        <v>R-THH</v>
      </c>
      <c r="M20" s="81">
        <f t="shared" si="9"/>
        <v>31.536000000000001</v>
      </c>
      <c r="N20" s="81">
        <f>'Key Inputs_BY Techs'!H171</f>
        <v>15</v>
      </c>
    </row>
    <row r="21" spans="1:14" x14ac:dyDescent="0.25">
      <c r="A21" s="254" t="str">
        <f>Legend!A$45</f>
        <v>Thermal uses</v>
      </c>
      <c r="B21" s="254" t="str">
        <f>LEFT(Legend!$C$4)&amp;"-"&amp;Legend!B$47</f>
        <v>R-THH</v>
      </c>
      <c r="C21" s="254" t="str">
        <f>Legend!$A$67</f>
        <v>Geothermal</v>
      </c>
      <c r="D21" s="254" t="str">
        <f>Legend!$B$67</f>
        <v>RSDGEO</v>
      </c>
      <c r="E21" s="254" t="str">
        <f t="shared" si="6"/>
        <v>RSDGEO</v>
      </c>
      <c r="F21" s="254" t="str">
        <f>Legend!$A$61</f>
        <v>Heat exchanger</v>
      </c>
      <c r="G21" s="254" t="str">
        <f>Legend!$B$61</f>
        <v>HEX</v>
      </c>
      <c r="I21" s="81" t="str">
        <f t="shared" si="7"/>
        <v>R-THH-HEX_GEO00</v>
      </c>
      <c r="J21" s="81" t="str">
        <f>IF(A21="","",Legend!$C$4&amp;" "&amp;$A21&amp;" technology: "&amp;$C21&amp;" - Existing")</f>
        <v>RSD Thermal uses technology: Geothermal - Existing</v>
      </c>
      <c r="K21" s="81" t="str">
        <f t="shared" si="8"/>
        <v>RSDGEO</v>
      </c>
      <c r="L21" s="81" t="str">
        <f>'Key Inputs_BY Techs'!C75</f>
        <v>R-THH</v>
      </c>
      <c r="M21" s="81">
        <f t="shared" si="9"/>
        <v>31.536000000000001</v>
      </c>
      <c r="N21" s="81">
        <f>'Key Inputs_BY Techs'!H172</f>
        <v>20</v>
      </c>
    </row>
    <row r="22" spans="1:14" x14ac:dyDescent="0.25">
      <c r="A22" s="254" t="str">
        <f>Legend!A$45</f>
        <v>Thermal uses</v>
      </c>
      <c r="B22" s="254" t="str">
        <f>LEFT(Legend!$C$4)&amp;"-"&amp;Legend!B$47</f>
        <v>R-THH</v>
      </c>
      <c r="C22" s="254" t="str">
        <f>Legend!$A$68</f>
        <v>Heat</v>
      </c>
      <c r="D22" s="254" t="str">
        <f>Legend!$B$68</f>
        <v>RSDHET</v>
      </c>
      <c r="E22" s="254" t="str">
        <f t="shared" si="6"/>
        <v>RSDHET</v>
      </c>
      <c r="F22" s="254" t="str">
        <f>Legend!$A$61</f>
        <v>Heat exchanger</v>
      </c>
      <c r="G22" s="254" t="str">
        <f>Legend!$B$61</f>
        <v>HEX</v>
      </c>
      <c r="I22" s="81" t="str">
        <f t="shared" si="7"/>
        <v>R-THH-HEX_HET00</v>
      </c>
      <c r="J22" s="81" t="str">
        <f>IF(A22="","",Legend!$C$4&amp;" "&amp;$A22&amp;" technology: "&amp;$C22&amp;" - Existing")</f>
        <v>RSD Thermal uses technology: Heat - Existing</v>
      </c>
      <c r="K22" s="81" t="str">
        <f t="shared" si="8"/>
        <v>RSDHET</v>
      </c>
      <c r="L22" s="81" t="str">
        <f>'Key Inputs_BY Techs'!C76</f>
        <v>R-THH</v>
      </c>
      <c r="M22" s="81">
        <f t="shared" si="9"/>
        <v>31.536000000000001</v>
      </c>
      <c r="N22" s="81">
        <f>'Key Inputs_BY Techs'!H173</f>
        <v>15</v>
      </c>
    </row>
    <row r="23" spans="1:14" x14ac:dyDescent="0.25">
      <c r="A23" s="254" t="str">
        <f>Legend!A$45</f>
        <v>Thermal uses</v>
      </c>
      <c r="B23" s="254" t="str">
        <f>LEFT(Legend!$C$4)&amp;"-"&amp;Legend!B$47</f>
        <v>R-THH</v>
      </c>
      <c r="C23" s="254" t="str">
        <f>Legend!$A$70</f>
        <v>LPG</v>
      </c>
      <c r="D23" s="254" t="str">
        <f>Legend!$B$70</f>
        <v>RSDLPG</v>
      </c>
      <c r="E23" s="254" t="str">
        <f t="shared" si="6"/>
        <v>RSDLPG</v>
      </c>
      <c r="F23" s="254" t="str">
        <f>Legend!$A$56</f>
        <v>Boiler</v>
      </c>
      <c r="G23" s="254" t="str">
        <f>Legend!$B$56</f>
        <v>BLR</v>
      </c>
      <c r="I23" s="81" t="str">
        <f t="shared" si="7"/>
        <v>R-THH-BLR_LPG00</v>
      </c>
      <c r="J23" s="81" t="str">
        <f>IF(A23="","",Legend!$C$4&amp;" "&amp;$A23&amp;" technology: "&amp;$C23&amp;" - Existing")</f>
        <v>RSD Thermal uses technology: LPG - Existing</v>
      </c>
      <c r="K23" s="81" t="str">
        <f t="shared" si="8"/>
        <v>RSDLPG</v>
      </c>
      <c r="L23" s="81" t="str">
        <f>'Key Inputs_BY Techs'!C77</f>
        <v>R-THH</v>
      </c>
      <c r="M23" s="81">
        <f t="shared" si="9"/>
        <v>31.536000000000001</v>
      </c>
      <c r="N23" s="81">
        <f>'Key Inputs_BY Techs'!H174</f>
        <v>17</v>
      </c>
    </row>
    <row r="24" spans="1:14" x14ac:dyDescent="0.25">
      <c r="A24" s="254" t="str">
        <f>Legend!A$45</f>
        <v>Thermal uses</v>
      </c>
      <c r="B24" s="254" t="str">
        <f>LEFT(Legend!$C$4)&amp;"-"&amp;Legend!B$47</f>
        <v>R-THH</v>
      </c>
      <c r="C24" s="254" t="str">
        <f>Legend!$A$73&amp;", "&amp;Legend!$A$69</f>
        <v>Oil, Liquid biofuels</v>
      </c>
      <c r="D24" s="254" t="str">
        <f>Legend!$B$73&amp;", "&amp;Legend!$B$69</f>
        <v>RSDOIL, RSDBLQ</v>
      </c>
      <c r="E24" s="254" t="str">
        <f t="shared" si="6"/>
        <v>RSDOIL</v>
      </c>
      <c r="F24" s="254" t="str">
        <f>Legend!$A$56</f>
        <v>Boiler</v>
      </c>
      <c r="G24" s="254" t="str">
        <f>Legend!$B$56</f>
        <v>BLR</v>
      </c>
      <c r="I24" s="81" t="str">
        <f t="shared" si="7"/>
        <v>R-THH-BLR_OIL00</v>
      </c>
      <c r="J24" s="81" t="str">
        <f>IF(A24="","",Legend!$C$4&amp;" "&amp;$A24&amp;" technology: "&amp;$C24&amp;" - Existing")</f>
        <v>RSD Thermal uses technology: Oil, Liquid biofuels - Existing</v>
      </c>
      <c r="K24" s="81" t="str">
        <f t="shared" si="8"/>
        <v>RSDOIL, RSDBLQ</v>
      </c>
      <c r="L24" s="81" t="str">
        <f>'Key Inputs_BY Techs'!C78</f>
        <v>R-THH</v>
      </c>
      <c r="M24" s="81">
        <f t="shared" si="9"/>
        <v>31.536000000000001</v>
      </c>
      <c r="N24" s="81">
        <f>'Key Inputs_BY Techs'!H175</f>
        <v>15</v>
      </c>
    </row>
    <row r="25" spans="1:14" x14ac:dyDescent="0.25">
      <c r="A25" s="254" t="str">
        <f>Legend!A$45</f>
        <v>Thermal uses</v>
      </c>
      <c r="B25" s="281" t="str">
        <f>LEFT(Legend!$C$4)&amp;"-"&amp;Legend!B$47</f>
        <v>R-THH</v>
      </c>
      <c r="C25" s="254" t="str">
        <f>Legend!$A$74</f>
        <v>Solar</v>
      </c>
      <c r="D25" s="254" t="str">
        <f>Legend!$B$74</f>
        <v>RSDSOL</v>
      </c>
      <c r="E25" s="254" t="str">
        <f t="shared" si="6"/>
        <v>RSDSOL</v>
      </c>
      <c r="F25" s="254" t="str">
        <f>Legend!$A$61</f>
        <v>Heat exchanger</v>
      </c>
      <c r="G25" s="254" t="str">
        <f>Legend!$B$61</f>
        <v>HEX</v>
      </c>
      <c r="I25" s="84" t="str">
        <f t="shared" si="7"/>
        <v>R-THH-HEX_SOL00</v>
      </c>
      <c r="J25" s="84" t="str">
        <f>IF(A25="","",Legend!$C$4&amp;" "&amp;$A25&amp;" technology: "&amp;$C25&amp;" - Existing")</f>
        <v>RSD Thermal uses technology: Solar - Existing</v>
      </c>
      <c r="K25" s="84" t="str">
        <f t="shared" si="8"/>
        <v>RSDSOL</v>
      </c>
      <c r="L25" s="84" t="str">
        <f>'Key Inputs_BY Techs'!C79</f>
        <v>R-THH</v>
      </c>
      <c r="M25" s="84">
        <f t="shared" si="9"/>
        <v>31.536000000000001</v>
      </c>
      <c r="N25" s="84">
        <f>'Key Inputs_BY Techs'!H176</f>
        <v>15</v>
      </c>
    </row>
    <row r="26" spans="1:14" x14ac:dyDescent="0.25">
      <c r="A26" s="280" t="str">
        <f>Legend!A$48</f>
        <v>Air conditioning</v>
      </c>
      <c r="B26" s="280" t="str">
        <f>LEFT(Legend!$C$4)&amp;"-"&amp;Legend!B$49</f>
        <v>R-ACL</v>
      </c>
      <c r="C26" s="280" t="str">
        <f>Legend!$A$71&amp;", "&amp;Legend!$A$63&amp;", "&amp;Legend!$A$72</f>
        <v>Natural gas, Biogas, Manufactured gas</v>
      </c>
      <c r="D26" s="254" t="str">
        <f>Legend!$B$71&amp;", "&amp;Legend!$B$63&amp;", "&amp;Legend!$B$72</f>
        <v>RSDGAS, RSDBGS, RSDGAM</v>
      </c>
      <c r="E26" s="280" t="str">
        <f t="shared" ref="E26" si="10">LEFT(D26,6)</f>
        <v>RSDGAS</v>
      </c>
      <c r="F26" s="254"/>
      <c r="G26" s="254"/>
      <c r="I26" s="81" t="str">
        <f t="shared" ref="I26:I38" si="11">L26&amp;"_"&amp;RIGHT(E26,3)&amp;"00"</f>
        <v>R-ACL_GAS00</v>
      </c>
      <c r="J26" s="81" t="str">
        <f>IF(A26="","",Legend!$C$4&amp;" "&amp;$A26&amp;" technology: "&amp;$C26&amp;" - Existing")</f>
        <v>RSD Air conditioning technology: Natural gas, Biogas, Manufactured gas - Existing</v>
      </c>
      <c r="K26" s="81" t="str">
        <f t="shared" si="3"/>
        <v>RSDGAS, RSDBGS, RSDGAM</v>
      </c>
      <c r="L26" s="81" t="str">
        <f>'Key Inputs_BY Techs'!C80</f>
        <v>R-ACL</v>
      </c>
      <c r="M26" s="81">
        <f t="shared" si="4"/>
        <v>31.536000000000001</v>
      </c>
      <c r="N26" s="81">
        <f>'Key Inputs_BY Techs'!H177</f>
        <v>14</v>
      </c>
    </row>
    <row r="27" spans="1:14" x14ac:dyDescent="0.25">
      <c r="A27" s="281" t="str">
        <f>Legend!A$48</f>
        <v>Air conditioning</v>
      </c>
      <c r="B27" s="281" t="str">
        <f>LEFT(Legend!$C$4)&amp;"-"&amp;Legend!B$49</f>
        <v>R-ACL</v>
      </c>
      <c r="C27" s="281" t="str">
        <f>Legend!A$66</f>
        <v>Electricity</v>
      </c>
      <c r="D27" s="281" t="str">
        <f>Legend!B$66</f>
        <v>RSDELC</v>
      </c>
      <c r="E27" s="281" t="str">
        <f t="shared" ref="E27:E28" si="12">LEFT(D27,6)</f>
        <v>RSDELC</v>
      </c>
      <c r="F27" s="254"/>
      <c r="G27" s="254"/>
      <c r="I27" s="84" t="str">
        <f t="shared" si="11"/>
        <v>R-ACL_ELC00</v>
      </c>
      <c r="J27" s="84" t="str">
        <f>IF(A27="","",Legend!$C$4&amp;" "&amp;$A27&amp;" technology: "&amp;$C27&amp;" - Existing")</f>
        <v>RSD Air conditioning technology: Electricity - Existing</v>
      </c>
      <c r="K27" s="84" t="str">
        <f t="shared" si="3"/>
        <v>RSDELC</v>
      </c>
      <c r="L27" s="84" t="str">
        <f>'Key Inputs_BY Techs'!C81</f>
        <v>R-ACL</v>
      </c>
      <c r="M27" s="84">
        <f t="shared" si="4"/>
        <v>31.536000000000001</v>
      </c>
      <c r="N27" s="84">
        <f>'Key Inputs_BY Techs'!H178</f>
        <v>14</v>
      </c>
    </row>
    <row r="28" spans="1:14" x14ac:dyDescent="0.25">
      <c r="A28" s="280" t="str">
        <f>Legend!A$48</f>
        <v>Air conditioning</v>
      </c>
      <c r="B28" s="280" t="str">
        <f>LEFT(Legend!$C$4)&amp;"-"&amp;Legend!B$50</f>
        <v>R-ACH</v>
      </c>
      <c r="C28" s="254" t="str">
        <f>Legend!$A$71&amp;", "&amp;Legend!$A$63&amp;", "&amp;Legend!$A$72</f>
        <v>Natural gas, Biogas, Manufactured gas</v>
      </c>
      <c r="D28" s="254" t="str">
        <f>Legend!$B$71&amp;", "&amp;Legend!$B$63&amp;", "&amp;Legend!$B$72</f>
        <v>RSDGAS, RSDBGS, RSDGAM</v>
      </c>
      <c r="E28" s="280" t="str">
        <f t="shared" si="12"/>
        <v>RSDGAS</v>
      </c>
      <c r="F28" s="254"/>
      <c r="G28" s="254"/>
      <c r="I28" s="81" t="str">
        <f t="shared" ref="I28:I29" si="13">L28&amp;"_"&amp;RIGHT(E28,3)&amp;"00"</f>
        <v>R-ACH_GAS00</v>
      </c>
      <c r="J28" s="81" t="str">
        <f>IF(A28="","",Legend!$C$4&amp;" "&amp;$A28&amp;" technology: "&amp;$C28&amp;" - Existing")</f>
        <v>RSD Air conditioning technology: Natural gas, Biogas, Manufactured gas - Existing</v>
      </c>
      <c r="K28" s="81" t="str">
        <f t="shared" ref="K28:K29" si="14">IF(D28="","",D28)</f>
        <v>RSDGAS, RSDBGS, RSDGAM</v>
      </c>
      <c r="L28" s="81" t="str">
        <f>'Key Inputs_BY Techs'!C82</f>
        <v>R-ACH</v>
      </c>
      <c r="M28" s="81">
        <f t="shared" ref="M28:M29" si="15">IF(A28="","",31.536)</f>
        <v>31.536000000000001</v>
      </c>
      <c r="N28" s="81">
        <f>'Key Inputs_BY Techs'!H179</f>
        <v>14</v>
      </c>
    </row>
    <row r="29" spans="1:14" x14ac:dyDescent="0.25">
      <c r="A29" s="281" t="str">
        <f>Legend!A$48</f>
        <v>Air conditioning</v>
      </c>
      <c r="B29" s="281" t="str">
        <f>LEFT(Legend!$C$4)&amp;"-"&amp;Legend!B$50</f>
        <v>R-ACH</v>
      </c>
      <c r="C29" s="281" t="str">
        <f>Legend!A$66</f>
        <v>Electricity</v>
      </c>
      <c r="D29" s="281" t="str">
        <f>Legend!B$66</f>
        <v>RSDELC</v>
      </c>
      <c r="E29" s="281" t="str">
        <f t="shared" ref="E29" si="16">LEFT(D29,6)</f>
        <v>RSDELC</v>
      </c>
      <c r="F29" s="254"/>
      <c r="G29" s="254"/>
      <c r="I29" s="84" t="str">
        <f t="shared" si="13"/>
        <v>R-ACH_ELC00</v>
      </c>
      <c r="J29" s="84" t="str">
        <f>IF(A29="","",Legend!$C$4&amp;" "&amp;$A29&amp;" technology: "&amp;$C29&amp;" - Existing")</f>
        <v>RSD Air conditioning technology: Electricity - Existing</v>
      </c>
      <c r="K29" s="84" t="str">
        <f t="shared" si="14"/>
        <v>RSDELC</v>
      </c>
      <c r="L29" s="84" t="str">
        <f>'Key Inputs_BY Techs'!C83</f>
        <v>R-ACH</v>
      </c>
      <c r="M29" s="84">
        <f t="shared" si="15"/>
        <v>31.536000000000001</v>
      </c>
      <c r="N29" s="84">
        <f>'Key Inputs_BY Techs'!H180</f>
        <v>14</v>
      </c>
    </row>
    <row r="30" spans="1:14" x14ac:dyDescent="0.25">
      <c r="A30" s="254" t="str">
        <f>Legend!A$51</f>
        <v>Cooking</v>
      </c>
      <c r="B30" s="254" t="str">
        <f>LEFT(Legend!$C$4)&amp;"-"&amp;Legend!B$51</f>
        <v>R-CK</v>
      </c>
      <c r="C30" s="254" t="str">
        <f>Legend!A$64</f>
        <v>Biomass</v>
      </c>
      <c r="D30" s="254" t="str">
        <f>Legend!B$64</f>
        <v>RSDBIO</v>
      </c>
      <c r="E30" s="254" t="str">
        <f>LEFT(D30,6)</f>
        <v>RSDBIO</v>
      </c>
      <c r="F30" s="254"/>
      <c r="G30" s="254"/>
      <c r="I30" s="81" t="str">
        <f t="shared" si="11"/>
        <v>R-CK_BIO00</v>
      </c>
      <c r="J30" s="81" t="str">
        <f>IF(A30="","",Legend!$C$4&amp;" "&amp;$A30&amp;" technology: "&amp;$C30&amp;" - Existing")</f>
        <v>RSD Cooking technology: Biomass - Existing</v>
      </c>
      <c r="K30" s="81" t="str">
        <f t="shared" si="3"/>
        <v>RSDBIO</v>
      </c>
      <c r="L30" s="81" t="str">
        <f>'Key Inputs_BY Techs'!C84</f>
        <v>R-CK</v>
      </c>
      <c r="M30" s="81">
        <f t="shared" si="4"/>
        <v>31.536000000000001</v>
      </c>
      <c r="N30" s="81">
        <f>'Key Inputs_BY Techs'!H181</f>
        <v>20</v>
      </c>
    </row>
    <row r="31" spans="1:14" x14ac:dyDescent="0.25">
      <c r="A31" s="254" t="str">
        <f>Legend!A$51</f>
        <v>Cooking</v>
      </c>
      <c r="B31" s="254" t="str">
        <f>LEFT(Legend!$C$4)&amp;"-"&amp;Legend!B$51</f>
        <v>R-CK</v>
      </c>
      <c r="C31" s="254" t="str">
        <f>Legend!A$65</f>
        <v>Coal</v>
      </c>
      <c r="D31" s="254" t="str">
        <f>Legend!B$65</f>
        <v>RSDCOA</v>
      </c>
      <c r="E31" s="254" t="str">
        <f t="shared" ref="E31:E36" si="17">LEFT(D31,6)</f>
        <v>RSDCOA</v>
      </c>
      <c r="F31" s="254"/>
      <c r="G31" s="254"/>
      <c r="I31" s="81" t="str">
        <f t="shared" si="11"/>
        <v>R-CK_COA00</v>
      </c>
      <c r="J31" s="81" t="str">
        <f>IF(A31="","",Legend!$C$4&amp;" "&amp;$A31&amp;" technology: "&amp;$C31&amp;" - Existing")</f>
        <v>RSD Cooking technology: Coal - Existing</v>
      </c>
      <c r="K31" s="81" t="str">
        <f t="shared" si="3"/>
        <v>RSDCOA</v>
      </c>
      <c r="L31" s="81" t="str">
        <f>'Key Inputs_BY Techs'!C85</f>
        <v>R-CK</v>
      </c>
      <c r="M31" s="81">
        <f t="shared" si="4"/>
        <v>31.536000000000001</v>
      </c>
      <c r="N31" s="81">
        <f>'Key Inputs_BY Techs'!H182</f>
        <v>20</v>
      </c>
    </row>
    <row r="32" spans="1:14" x14ac:dyDescent="0.25">
      <c r="A32" s="254" t="str">
        <f>Legend!A$51</f>
        <v>Cooking</v>
      </c>
      <c r="B32" s="254" t="str">
        <f>LEFT(Legend!$C$4)&amp;"-"&amp;Legend!B$51</f>
        <v>R-CK</v>
      </c>
      <c r="C32" s="254" t="str">
        <f>Legend!A$66</f>
        <v>Electricity</v>
      </c>
      <c r="D32" s="254" t="str">
        <f>Legend!B$66</f>
        <v>RSDELC</v>
      </c>
      <c r="E32" s="254" t="str">
        <f t="shared" si="17"/>
        <v>RSDELC</v>
      </c>
      <c r="F32" s="254"/>
      <c r="G32" s="254"/>
      <c r="I32" s="81" t="str">
        <f t="shared" si="11"/>
        <v>R-CK_ELC00</v>
      </c>
      <c r="J32" s="81" t="str">
        <f>IF(A32="","",Legend!$C$4&amp;" "&amp;$A32&amp;" technology: "&amp;$C32&amp;" - Existing")</f>
        <v>RSD Cooking technology: Electricity - Existing</v>
      </c>
      <c r="K32" s="81" t="str">
        <f t="shared" si="3"/>
        <v>RSDELC</v>
      </c>
      <c r="L32" s="81" t="str">
        <f>'Key Inputs_BY Techs'!C86</f>
        <v>R-CK</v>
      </c>
      <c r="M32" s="81">
        <f t="shared" si="4"/>
        <v>31.536000000000001</v>
      </c>
      <c r="N32" s="81">
        <f>'Key Inputs_BY Techs'!H183</f>
        <v>20</v>
      </c>
    </row>
    <row r="33" spans="1:14" x14ac:dyDescent="0.25">
      <c r="A33" s="254" t="str">
        <f>Legend!A$51</f>
        <v>Cooking</v>
      </c>
      <c r="B33" s="254" t="str">
        <f>LEFT(Legend!$C$4)&amp;"-"&amp;Legend!B$51</f>
        <v>R-CK</v>
      </c>
      <c r="C33" s="254" t="str">
        <f>Legend!$A$71&amp;", "&amp;Legend!$A$63&amp;", "&amp;Legend!$A$72</f>
        <v>Natural gas, Biogas, Manufactured gas</v>
      </c>
      <c r="D33" s="254" t="str">
        <f>Legend!$B$71&amp;", "&amp;Legend!$B$63&amp;", "&amp;Legend!$B$72</f>
        <v>RSDGAS, RSDBGS, RSDGAM</v>
      </c>
      <c r="E33" s="254" t="str">
        <f t="shared" si="17"/>
        <v>RSDGAS</v>
      </c>
      <c r="F33" s="254"/>
      <c r="G33" s="254"/>
      <c r="I33" s="81" t="str">
        <f t="shared" si="11"/>
        <v>R-CK_GAS00</v>
      </c>
      <c r="J33" s="81" t="str">
        <f>IF(A33="","",Legend!$C$4&amp;" "&amp;$A33&amp;" technology: "&amp;$C33&amp;" - Existing")</f>
        <v>RSD Cooking technology: Natural gas, Biogas, Manufactured gas - Existing</v>
      </c>
      <c r="K33" s="81" t="str">
        <f t="shared" si="3"/>
        <v>RSDGAS, RSDBGS, RSDGAM</v>
      </c>
      <c r="L33" s="81" t="str">
        <f>'Key Inputs_BY Techs'!C87</f>
        <v>R-CK</v>
      </c>
      <c r="M33" s="81">
        <f t="shared" si="4"/>
        <v>31.536000000000001</v>
      </c>
      <c r="N33" s="81">
        <f>'Key Inputs_BY Techs'!H184</f>
        <v>20</v>
      </c>
    </row>
    <row r="34" spans="1:14" x14ac:dyDescent="0.25">
      <c r="A34" s="254" t="str">
        <f>Legend!A$51</f>
        <v>Cooking</v>
      </c>
      <c r="B34" s="254" t="str">
        <f>LEFT(Legend!$C$4)&amp;"-"&amp;Legend!B$51</f>
        <v>R-CK</v>
      </c>
      <c r="C34" s="254" t="str">
        <f>Legend!$A$70</f>
        <v>LPG</v>
      </c>
      <c r="D34" s="254" t="str">
        <f>Legend!$B$70</f>
        <v>RSDLPG</v>
      </c>
      <c r="E34" s="254" t="str">
        <f t="shared" si="17"/>
        <v>RSDLPG</v>
      </c>
      <c r="F34" s="254"/>
      <c r="G34" s="254"/>
      <c r="I34" s="81" t="str">
        <f t="shared" si="11"/>
        <v>R-CK_LPG00</v>
      </c>
      <c r="J34" s="81" t="str">
        <f>IF(A34="","",Legend!$C$4&amp;" "&amp;$A34&amp;" technology: "&amp;$C34&amp;" - Existing")</f>
        <v>RSD Cooking technology: LPG - Existing</v>
      </c>
      <c r="K34" s="81" t="str">
        <f t="shared" si="3"/>
        <v>RSDLPG</v>
      </c>
      <c r="L34" s="81" t="str">
        <f>'Key Inputs_BY Techs'!C88</f>
        <v>R-CK</v>
      </c>
      <c r="M34" s="81">
        <f t="shared" si="4"/>
        <v>31.536000000000001</v>
      </c>
      <c r="N34" s="81">
        <f>'Key Inputs_BY Techs'!H185</f>
        <v>20</v>
      </c>
    </row>
    <row r="35" spans="1:14" x14ac:dyDescent="0.25">
      <c r="A35" s="254" t="str">
        <f>Legend!A$51</f>
        <v>Cooking</v>
      </c>
      <c r="B35" s="254" t="str">
        <f>LEFT(Legend!$C$4)&amp;"-"&amp;Legend!B$51</f>
        <v>R-CK</v>
      </c>
      <c r="C35" s="254" t="str">
        <f>Legend!$A$73&amp;", "&amp;Legend!$A$69</f>
        <v>Oil, Liquid biofuels</v>
      </c>
      <c r="D35" s="254" t="str">
        <f>Legend!$B$73&amp;", "&amp;Legend!$B$69</f>
        <v>RSDOIL, RSDBLQ</v>
      </c>
      <c r="E35" s="254" t="str">
        <f t="shared" si="17"/>
        <v>RSDOIL</v>
      </c>
      <c r="F35" s="254"/>
      <c r="G35" s="254"/>
      <c r="I35" s="81" t="str">
        <f t="shared" si="11"/>
        <v>R-CK_OIL00</v>
      </c>
      <c r="J35" s="81" t="str">
        <f>IF(A35="","",Legend!$C$4&amp;" "&amp;$A35&amp;" technology: "&amp;$C35&amp;" - Existing")</f>
        <v>RSD Cooking technology: Oil, Liquid biofuels - Existing</v>
      </c>
      <c r="K35" s="81" t="str">
        <f t="shared" si="3"/>
        <v>RSDOIL, RSDBLQ</v>
      </c>
      <c r="L35" s="81" t="str">
        <f>'Key Inputs_BY Techs'!C89</f>
        <v>R-CK</v>
      </c>
      <c r="M35" s="81">
        <f t="shared" si="4"/>
        <v>31.536000000000001</v>
      </c>
      <c r="N35" s="81">
        <f>'Key Inputs_BY Techs'!H186</f>
        <v>20</v>
      </c>
    </row>
    <row r="36" spans="1:14" x14ac:dyDescent="0.25">
      <c r="A36" s="281" t="str">
        <f>Legend!A$51</f>
        <v>Cooking</v>
      </c>
      <c r="B36" s="281" t="str">
        <f>LEFT(Legend!$C$4)&amp;"-"&amp;Legend!B$51</f>
        <v>R-CK</v>
      </c>
      <c r="C36" s="281" t="str">
        <f>Legend!$A$74</f>
        <v>Solar</v>
      </c>
      <c r="D36" s="281" t="str">
        <f>Legend!$B$74</f>
        <v>RSDSOL</v>
      </c>
      <c r="E36" s="281" t="str">
        <f t="shared" si="17"/>
        <v>RSDSOL</v>
      </c>
      <c r="F36" s="254"/>
      <c r="G36" s="254"/>
      <c r="I36" s="84" t="str">
        <f t="shared" si="11"/>
        <v>R-CK_SOL00</v>
      </c>
      <c r="J36" s="84" t="str">
        <f>IF(A36="","",Legend!$C$4&amp;" "&amp;$A36&amp;" technology: "&amp;$C36&amp;" - Existing")</f>
        <v>RSD Cooking technology: Solar - Existing</v>
      </c>
      <c r="K36" s="84" t="str">
        <f t="shared" si="3"/>
        <v>RSDSOL</v>
      </c>
      <c r="L36" s="84" t="str">
        <f>'Key Inputs_BY Techs'!C90</f>
        <v>R-CK</v>
      </c>
      <c r="M36" s="84">
        <f t="shared" si="4"/>
        <v>31.536000000000001</v>
      </c>
      <c r="N36" s="84">
        <f>'Key Inputs_BY Techs'!H187</f>
        <v>12</v>
      </c>
    </row>
    <row r="37" spans="1:14" x14ac:dyDescent="0.25">
      <c r="A37" s="282" t="str">
        <f>Legend!A$52</f>
        <v>Lighting</v>
      </c>
      <c r="B37" s="282" t="str">
        <f>LEFT(Legend!$C$4)&amp;"-"&amp;Legend!B$52</f>
        <v>R-LIG</v>
      </c>
      <c r="C37" s="282" t="str">
        <f>Legend!A$66</f>
        <v>Electricity</v>
      </c>
      <c r="D37" s="282" t="str">
        <f>Legend!B$66</f>
        <v>RSDELC</v>
      </c>
      <c r="E37" s="282" t="str">
        <f t="shared" ref="E37" si="18">LEFT(D37,6)</f>
        <v>RSDELC</v>
      </c>
      <c r="F37" s="254"/>
      <c r="G37" s="254"/>
      <c r="I37" s="85" t="str">
        <f t="shared" si="11"/>
        <v>R-LIG_ELC00</v>
      </c>
      <c r="J37" s="85" t="str">
        <f>IF(A37="","",Legend!$C$4&amp;" "&amp;$A37&amp;" technology: "&amp;$C37&amp;" - Existing")</f>
        <v>RSD Lighting technology: Electricity - Existing</v>
      </c>
      <c r="K37" s="85" t="str">
        <f t="shared" si="3"/>
        <v>RSDELC</v>
      </c>
      <c r="L37" s="84" t="str">
        <f>'Key Inputs_BY Techs'!C91</f>
        <v>R-LIG</v>
      </c>
      <c r="M37" s="85">
        <f>IF(A37="","",1)</f>
        <v>1</v>
      </c>
      <c r="N37" s="210">
        <f>'Key Inputs_BY Techs'!H188</f>
        <v>5.71</v>
      </c>
    </row>
    <row r="38" spans="1:14" x14ac:dyDescent="0.25">
      <c r="A38" s="283" t="str">
        <f>Legend!A$53</f>
        <v>Electric Appliances</v>
      </c>
      <c r="B38" s="283" t="str">
        <f>LEFT(Legend!$C$4)&amp;"-"&amp;Legend!B$53</f>
        <v>R-EAP</v>
      </c>
      <c r="C38" s="283" t="str">
        <f>Legend!A$66</f>
        <v>Electricity</v>
      </c>
      <c r="D38" s="283" t="str">
        <f>Legend!B$66</f>
        <v>RSDELC</v>
      </c>
      <c r="E38" s="283" t="str">
        <f t="shared" ref="E38:E49" si="19">LEFT(D38,6)</f>
        <v>RSDELC</v>
      </c>
      <c r="F38" s="284"/>
      <c r="G38" s="284"/>
      <c r="I38" s="84" t="str">
        <f t="shared" si="11"/>
        <v>R-EAP_ELC00</v>
      </c>
      <c r="J38" s="84" t="str">
        <f>IF(A38="","",Legend!$C$4&amp;" "&amp;$A38&amp;" technology: "&amp;$C38&amp;" - Existing")</f>
        <v>RSD Electric Appliances technology: Electricity - Existing</v>
      </c>
      <c r="K38" s="84" t="str">
        <f t="shared" si="3"/>
        <v>RSDELC</v>
      </c>
      <c r="L38" s="84" t="str">
        <f>'Key Inputs_BY Techs'!C92</f>
        <v>R-EAP</v>
      </c>
      <c r="M38" s="84">
        <f t="shared" si="4"/>
        <v>31.536000000000001</v>
      </c>
      <c r="N38" s="84">
        <f>'Key Inputs_BY Techs'!H189</f>
        <v>7</v>
      </c>
    </row>
    <row r="39" spans="1:14" x14ac:dyDescent="0.25">
      <c r="A39" s="254" t="str">
        <f>Legend!A$54</f>
        <v>Other uses</v>
      </c>
      <c r="B39" s="254" t="str">
        <f>LEFT(Legend!$C$4)&amp;"-"&amp;Legend!B$54</f>
        <v>R-OTH</v>
      </c>
      <c r="C39" s="254" t="str">
        <f>Legend!A$63</f>
        <v>Biogas</v>
      </c>
      <c r="D39" s="254" t="str">
        <f>Legend!B$63</f>
        <v>RSDBGS</v>
      </c>
      <c r="E39" s="254" t="str">
        <f t="shared" si="19"/>
        <v>RSDBGS</v>
      </c>
      <c r="F39" s="254"/>
      <c r="G39" s="254"/>
      <c r="I39" s="81" t="str">
        <f>L39&amp;"_"&amp;"00"</f>
        <v>R-OTH_00</v>
      </c>
      <c r="J39" s="81" t="str">
        <f>IF(A39="","",Legend!$C$4&amp;" "&amp;$A39&amp;" - Existing")</f>
        <v>RSD Other uses - Existing</v>
      </c>
      <c r="K39" s="81" t="str">
        <f t="shared" si="3"/>
        <v>RSDBGS</v>
      </c>
      <c r="L39" s="84" t="str">
        <f>'Key Inputs_BY Techs'!C93</f>
        <v>R-OTH</v>
      </c>
      <c r="M39" s="81">
        <f>IF(A39="","",1)</f>
        <v>1</v>
      </c>
      <c r="N39" s="84">
        <f>'Key Inputs_BY Techs'!H190</f>
        <v>20</v>
      </c>
    </row>
    <row r="40" spans="1:14" x14ac:dyDescent="0.25">
      <c r="A40" s="254"/>
      <c r="B40" s="254"/>
      <c r="C40" s="254" t="str">
        <f>Legend!A$64</f>
        <v>Biomass</v>
      </c>
      <c r="D40" s="254" t="str">
        <f>Legend!B$64</f>
        <v>RSDBIO</v>
      </c>
      <c r="E40" s="254" t="str">
        <f t="shared" si="19"/>
        <v>RSDBIO</v>
      </c>
      <c r="F40" s="254"/>
      <c r="G40" s="254"/>
      <c r="K40" s="81" t="str">
        <f t="shared" si="3"/>
        <v>RSDBIO</v>
      </c>
    </row>
    <row r="41" spans="1:14" x14ac:dyDescent="0.25">
      <c r="A41" s="254"/>
      <c r="B41" s="254"/>
      <c r="C41" s="254" t="str">
        <f>Legend!A$65</f>
        <v>Coal</v>
      </c>
      <c r="D41" s="254" t="str">
        <f>Legend!B$65</f>
        <v>RSDCOA</v>
      </c>
      <c r="E41" s="254" t="str">
        <f t="shared" si="19"/>
        <v>RSDCOA</v>
      </c>
      <c r="F41" s="254"/>
      <c r="G41" s="254"/>
      <c r="K41" s="81" t="str">
        <f t="shared" si="3"/>
        <v>RSDCOA</v>
      </c>
    </row>
    <row r="42" spans="1:14" x14ac:dyDescent="0.25">
      <c r="A42" s="254"/>
      <c r="B42" s="254"/>
      <c r="C42" s="254" t="str">
        <f>Legend!A$66</f>
        <v>Electricity</v>
      </c>
      <c r="D42" s="254" t="str">
        <f>Legend!B$66</f>
        <v>RSDELC</v>
      </c>
      <c r="E42" s="254" t="str">
        <f t="shared" si="19"/>
        <v>RSDELC</v>
      </c>
      <c r="F42" s="254"/>
      <c r="G42" s="254"/>
      <c r="K42" s="81" t="str">
        <f t="shared" si="3"/>
        <v>RSDELC</v>
      </c>
    </row>
    <row r="43" spans="1:14" x14ac:dyDescent="0.25">
      <c r="A43" s="254"/>
      <c r="B43" s="254"/>
      <c r="C43" s="254" t="str">
        <f>Legend!A$67</f>
        <v>Geothermal</v>
      </c>
      <c r="D43" s="254" t="str">
        <f>Legend!B$67</f>
        <v>RSDGEO</v>
      </c>
      <c r="E43" s="254" t="str">
        <f t="shared" si="19"/>
        <v>RSDGEO</v>
      </c>
      <c r="F43" s="254"/>
      <c r="G43" s="254"/>
      <c r="K43" s="81" t="str">
        <f t="shared" si="3"/>
        <v>RSDGEO</v>
      </c>
    </row>
    <row r="44" spans="1:14" x14ac:dyDescent="0.25">
      <c r="A44" s="254"/>
      <c r="B44" s="254"/>
      <c r="C44" s="254" t="str">
        <f>Legend!A$68</f>
        <v>Heat</v>
      </c>
      <c r="D44" s="254" t="str">
        <f>Legend!B$68</f>
        <v>RSDHET</v>
      </c>
      <c r="E44" s="254" t="str">
        <f t="shared" si="19"/>
        <v>RSDHET</v>
      </c>
      <c r="F44" s="254"/>
      <c r="G44" s="254"/>
      <c r="K44" s="81" t="str">
        <f t="shared" si="3"/>
        <v>RSDHET</v>
      </c>
    </row>
    <row r="45" spans="1:14" x14ac:dyDescent="0.25">
      <c r="A45" s="254"/>
      <c r="B45" s="254"/>
      <c r="C45" s="254" t="str">
        <f>Legend!A$69</f>
        <v>Liquid biofuels</v>
      </c>
      <c r="D45" s="254" t="str">
        <f>Legend!B$69</f>
        <v>RSDBLQ</v>
      </c>
      <c r="E45" s="254" t="str">
        <f t="shared" si="19"/>
        <v>RSDBLQ</v>
      </c>
      <c r="F45" s="254"/>
      <c r="G45" s="254"/>
      <c r="K45" s="81" t="str">
        <f t="shared" si="3"/>
        <v>RSDBLQ</v>
      </c>
    </row>
    <row r="46" spans="1:14" x14ac:dyDescent="0.25">
      <c r="A46" s="254"/>
      <c r="B46" s="254"/>
      <c r="C46" s="254" t="str">
        <f>Legend!A$70</f>
        <v>LPG</v>
      </c>
      <c r="D46" s="254" t="str">
        <f>Legend!B$70</f>
        <v>RSDLPG</v>
      </c>
      <c r="E46" s="254" t="str">
        <f t="shared" si="19"/>
        <v>RSDLPG</v>
      </c>
      <c r="F46" s="254"/>
      <c r="G46" s="254"/>
      <c r="K46" s="81" t="str">
        <f t="shared" si="3"/>
        <v>RSDLPG</v>
      </c>
    </row>
    <row r="47" spans="1:14" x14ac:dyDescent="0.25">
      <c r="A47" s="254"/>
      <c r="B47" s="254"/>
      <c r="C47" s="254" t="str">
        <f>Legend!A$71</f>
        <v>Natural gas</v>
      </c>
      <c r="D47" s="254" t="str">
        <f>Legend!B$71</f>
        <v>RSDGAS</v>
      </c>
      <c r="E47" s="254" t="str">
        <f t="shared" si="19"/>
        <v>RSDGAS</v>
      </c>
      <c r="F47" s="254"/>
      <c r="G47" s="254"/>
      <c r="K47" s="81" t="str">
        <f t="shared" si="3"/>
        <v>RSDGAS</v>
      </c>
    </row>
    <row r="48" spans="1:14" x14ac:dyDescent="0.25">
      <c r="A48" s="254"/>
      <c r="B48" s="254"/>
      <c r="C48" s="254" t="str">
        <f>Legend!A$73</f>
        <v>Oil</v>
      </c>
      <c r="D48" s="254" t="str">
        <f>Legend!B$73</f>
        <v>RSDOIL</v>
      </c>
      <c r="E48" s="254" t="str">
        <f t="shared" si="19"/>
        <v>RSDOIL</v>
      </c>
      <c r="F48" s="254"/>
      <c r="G48" s="254"/>
      <c r="K48" s="81" t="str">
        <f t="shared" si="3"/>
        <v>RSDOIL</v>
      </c>
    </row>
    <row r="49" spans="1:42" x14ac:dyDescent="0.25">
      <c r="A49" s="281"/>
      <c r="B49" s="281"/>
      <c r="C49" s="281" t="str">
        <f>Legend!A$74</f>
        <v>Solar</v>
      </c>
      <c r="D49" s="281" t="str">
        <f>Legend!B$74</f>
        <v>RSDSOL</v>
      </c>
      <c r="E49" s="281" t="str">
        <f t="shared" si="19"/>
        <v>RSDSOL</v>
      </c>
      <c r="F49" s="254"/>
      <c r="G49" s="254"/>
      <c r="I49" s="84"/>
      <c r="J49" s="84"/>
      <c r="K49" s="84" t="str">
        <f t="shared" si="3"/>
        <v>RSDSOL</v>
      </c>
      <c r="L49" s="84"/>
      <c r="M49" s="84"/>
      <c r="N49" s="84"/>
    </row>
    <row r="50" spans="1:42" x14ac:dyDescent="0.25">
      <c r="A50" s="254"/>
      <c r="B50" s="254"/>
      <c r="C50" s="254"/>
      <c r="D50" s="254"/>
      <c r="E50" s="254"/>
      <c r="F50" s="254"/>
      <c r="G50" s="254"/>
    </row>
    <row r="53" spans="1:42" ht="15.75" x14ac:dyDescent="0.25">
      <c r="I53" s="82" t="s">
        <v>34</v>
      </c>
      <c r="J53" s="8"/>
      <c r="K53" s="8"/>
      <c r="L53" s="8"/>
      <c r="M53" s="8"/>
      <c r="N53" s="8"/>
    </row>
    <row r="54" spans="1:42" ht="15.75" thickBot="1" x14ac:dyDescent="0.3">
      <c r="A54" s="278" t="s">
        <v>95</v>
      </c>
      <c r="B54" s="278"/>
      <c r="C54" s="276" t="s">
        <v>96</v>
      </c>
      <c r="D54" s="276"/>
      <c r="E54" s="276" t="s">
        <v>199</v>
      </c>
      <c r="F54" s="231"/>
      <c r="G54" s="231"/>
      <c r="I54" s="77" t="s">
        <v>35</v>
      </c>
      <c r="J54" s="83" t="s">
        <v>192</v>
      </c>
      <c r="K54" s="77" t="s">
        <v>188</v>
      </c>
      <c r="L54" s="77" t="s">
        <v>40</v>
      </c>
      <c r="M54" s="77" t="s">
        <v>195</v>
      </c>
      <c r="N54" s="77" t="s">
        <v>47</v>
      </c>
      <c r="O54" s="77" t="s">
        <v>314</v>
      </c>
      <c r="P54" s="77" t="s">
        <v>315</v>
      </c>
      <c r="Q54" s="77" t="s">
        <v>317</v>
      </c>
      <c r="R54" s="77" t="s">
        <v>316</v>
      </c>
      <c r="S54" s="77" t="s">
        <v>318</v>
      </c>
      <c r="T54" s="77" t="s">
        <v>319</v>
      </c>
      <c r="U54" s="77" t="s">
        <v>320</v>
      </c>
      <c r="V54" s="77" t="s">
        <v>321</v>
      </c>
      <c r="W54" s="77" t="s">
        <v>1</v>
      </c>
      <c r="X54" s="77" t="s">
        <v>2</v>
      </c>
      <c r="Y54" s="77" t="s">
        <v>416</v>
      </c>
      <c r="Z54" s="77" t="s">
        <v>3</v>
      </c>
      <c r="AA54" s="77" t="s">
        <v>322</v>
      </c>
      <c r="AB54" s="77" t="s">
        <v>323</v>
      </c>
      <c r="AC54" s="77" t="s">
        <v>324</v>
      </c>
      <c r="AD54" s="77" t="s">
        <v>417</v>
      </c>
      <c r="AE54" s="77" t="s">
        <v>325</v>
      </c>
      <c r="AF54" s="77" t="s">
        <v>4</v>
      </c>
      <c r="AG54" s="77" t="s">
        <v>5</v>
      </c>
      <c r="AH54" s="77" t="s">
        <v>6</v>
      </c>
      <c r="AI54" s="77" t="s">
        <v>7</v>
      </c>
      <c r="AJ54" s="77" t="s">
        <v>418</v>
      </c>
      <c r="AK54" s="77" t="s">
        <v>8</v>
      </c>
      <c r="AL54" s="77" t="s">
        <v>9</v>
      </c>
      <c r="AM54" s="77" t="s">
        <v>419</v>
      </c>
      <c r="AN54" s="77" t="s">
        <v>10</v>
      </c>
      <c r="AO54" s="77" t="s">
        <v>420</v>
      </c>
      <c r="AP54" s="77" t="s">
        <v>11</v>
      </c>
    </row>
    <row r="55" spans="1:42" ht="26.25" thickBot="1" x14ac:dyDescent="0.3">
      <c r="A55" s="277" t="s">
        <v>27</v>
      </c>
      <c r="B55" s="277" t="s">
        <v>32</v>
      </c>
      <c r="C55" s="277" t="s">
        <v>27</v>
      </c>
      <c r="D55" s="277" t="s">
        <v>32</v>
      </c>
      <c r="E55" s="279"/>
      <c r="I55" s="2" t="s">
        <v>196</v>
      </c>
      <c r="J55" s="2" t="s">
        <v>27</v>
      </c>
      <c r="K55" s="2" t="s">
        <v>197</v>
      </c>
      <c r="L55" s="6"/>
      <c r="M55" s="6" t="s">
        <v>46</v>
      </c>
      <c r="N55" s="2" t="s">
        <v>371</v>
      </c>
      <c r="O55" s="6" t="s">
        <v>327</v>
      </c>
      <c r="P55" s="6" t="s">
        <v>328</v>
      </c>
      <c r="Q55" s="6" t="s">
        <v>330</v>
      </c>
      <c r="R55" s="6" t="s">
        <v>329</v>
      </c>
      <c r="S55" s="6" t="s">
        <v>331</v>
      </c>
      <c r="T55" s="6" t="s">
        <v>332</v>
      </c>
      <c r="U55" s="6" t="s">
        <v>333</v>
      </c>
      <c r="V55" s="6" t="s">
        <v>334</v>
      </c>
      <c r="W55" s="6" t="s">
        <v>87</v>
      </c>
      <c r="X55" s="6" t="s">
        <v>88</v>
      </c>
      <c r="Y55" s="6" t="s">
        <v>425</v>
      </c>
      <c r="Z55" s="6" t="s">
        <v>426</v>
      </c>
      <c r="AA55" s="6" t="s">
        <v>335</v>
      </c>
      <c r="AB55" s="6" t="s">
        <v>336</v>
      </c>
      <c r="AC55" s="6" t="s">
        <v>337</v>
      </c>
      <c r="AD55" s="6" t="s">
        <v>427</v>
      </c>
      <c r="AE55" s="6" t="s">
        <v>338</v>
      </c>
      <c r="AF55" s="6" t="s">
        <v>428</v>
      </c>
      <c r="AG55" s="6" t="s">
        <v>89</v>
      </c>
      <c r="AH55" s="6" t="s">
        <v>90</v>
      </c>
      <c r="AI55" s="6" t="s">
        <v>91</v>
      </c>
      <c r="AJ55" s="6" t="s">
        <v>429</v>
      </c>
      <c r="AK55" s="6" t="s">
        <v>430</v>
      </c>
      <c r="AL55" s="6" t="s">
        <v>92</v>
      </c>
      <c r="AM55" s="6" t="s">
        <v>431</v>
      </c>
      <c r="AN55" s="6" t="s">
        <v>432</v>
      </c>
      <c r="AO55" s="6" t="s">
        <v>587</v>
      </c>
      <c r="AP55" s="6" t="s">
        <v>339</v>
      </c>
    </row>
    <row r="56" spans="1:42" customFormat="1" ht="15.75" x14ac:dyDescent="0.25">
      <c r="A56" s="285"/>
      <c r="B56" s="285"/>
      <c r="C56" s="285"/>
      <c r="D56" s="285"/>
      <c r="E56" s="285"/>
      <c r="F56" s="285"/>
      <c r="G56" s="285"/>
      <c r="I56" s="231" t="str">
        <f>"*"&amp;L57</f>
        <v>*EFF</v>
      </c>
      <c r="J56" s="232"/>
      <c r="K56" s="232"/>
      <c r="L56" s="232"/>
      <c r="M56" s="232"/>
      <c r="N56" s="232"/>
      <c r="O56" s="232"/>
      <c r="P56" s="232"/>
      <c r="Q56" s="232"/>
      <c r="R56" s="232"/>
      <c r="S56" s="232"/>
      <c r="T56" s="232"/>
      <c r="U56" s="232"/>
      <c r="V56" s="232"/>
      <c r="W56" s="232"/>
      <c r="X56" s="232"/>
      <c r="Y56" s="232"/>
      <c r="Z56" s="232"/>
      <c r="AA56" s="232"/>
      <c r="AB56" s="232"/>
      <c r="AC56" s="232"/>
      <c r="AD56" s="232"/>
      <c r="AE56" s="232"/>
      <c r="AF56" s="232"/>
      <c r="AG56" s="232"/>
      <c r="AH56" s="232"/>
      <c r="AI56" s="232"/>
      <c r="AJ56" s="232"/>
      <c r="AK56" s="232"/>
      <c r="AL56" s="232"/>
      <c r="AM56" s="232"/>
      <c r="AN56" s="232"/>
      <c r="AO56" s="232"/>
      <c r="AP56" s="232"/>
    </row>
    <row r="57" spans="1:42" x14ac:dyDescent="0.25">
      <c r="A57" s="254" t="s">
        <v>122</v>
      </c>
      <c r="B57" s="254" t="s">
        <v>468</v>
      </c>
      <c r="C57" s="254" t="str">
        <f>Legend!A$64</f>
        <v>Biomass</v>
      </c>
      <c r="D57" s="254" t="str">
        <f>Legend!B$64</f>
        <v>RSDBIO</v>
      </c>
      <c r="E57" s="254" t="str">
        <f t="shared" ref="E57:E78" si="20">LEFT(D57,6)</f>
        <v>RSDBIO</v>
      </c>
      <c r="F57" s="254"/>
      <c r="G57" s="254"/>
      <c r="I57" s="213" t="str">
        <f t="shared" ref="I57:J76" si="21">I6</f>
        <v>R-THL-STV_BIO00</v>
      </c>
      <c r="J57" s="213" t="str">
        <f t="shared" si="21"/>
        <v>RSD Thermal uses technology: Biomass - Existing</v>
      </c>
      <c r="K57" s="213"/>
      <c r="L57" s="214" t="s">
        <v>37</v>
      </c>
      <c r="M57" s="214" t="s">
        <v>174</v>
      </c>
      <c r="N57" s="214"/>
      <c r="O57" s="213">
        <f>SUMIFS('Key Inputs_BY Techs'!I:I,'Key Inputs_BY Techs'!$A:$A,'RSD_BY Techs'!$L57,'Key Inputs_BY Techs'!$C:$C,'RSD_BY Techs'!$B57,'Key Inputs_BY Techs'!$E:$E,'RSD_BY Techs'!$D57)</f>
        <v>0.72</v>
      </c>
      <c r="P57" s="213">
        <f>SUMIFS('Key Inputs_BY Techs'!J:J,'Key Inputs_BY Techs'!$A:$A,'RSD_BY Techs'!$L57,'Key Inputs_BY Techs'!$C:$C,'RSD_BY Techs'!$B57,'Key Inputs_BY Techs'!$E:$E,'RSD_BY Techs'!$D57)</f>
        <v>0.72</v>
      </c>
      <c r="Q57" s="213">
        <f>SUMIFS('Key Inputs_BY Techs'!K:K,'Key Inputs_BY Techs'!$A:$A,'RSD_BY Techs'!$L57,'Key Inputs_BY Techs'!$C:$C,'RSD_BY Techs'!$B57,'Key Inputs_BY Techs'!$E:$E,'RSD_BY Techs'!$D57)</f>
        <v>0.72</v>
      </c>
      <c r="R57" s="213">
        <f>SUMIFS('Key Inputs_BY Techs'!L:L,'Key Inputs_BY Techs'!$A:$A,'RSD_BY Techs'!$L57,'Key Inputs_BY Techs'!$C:$C,'RSD_BY Techs'!$B57,'Key Inputs_BY Techs'!$E:$E,'RSD_BY Techs'!$D57)</f>
        <v>0.72</v>
      </c>
      <c r="S57" s="213">
        <f>SUMIFS('Key Inputs_BY Techs'!M:M,'Key Inputs_BY Techs'!$A:$A,'RSD_BY Techs'!$L57,'Key Inputs_BY Techs'!$C:$C,'RSD_BY Techs'!$B57,'Key Inputs_BY Techs'!$E:$E,'RSD_BY Techs'!$D57)</f>
        <v>0.72</v>
      </c>
      <c r="T57" s="213">
        <f>SUMIFS('Key Inputs_BY Techs'!N:N,'Key Inputs_BY Techs'!$A:$A,'RSD_BY Techs'!$L57,'Key Inputs_BY Techs'!$C:$C,'RSD_BY Techs'!$B57,'Key Inputs_BY Techs'!$E:$E,'RSD_BY Techs'!$D57)</f>
        <v>0.72</v>
      </c>
      <c r="U57" s="213">
        <f>SUMIFS('Key Inputs_BY Techs'!O:O,'Key Inputs_BY Techs'!$A:$A,'RSD_BY Techs'!$L57,'Key Inputs_BY Techs'!$C:$C,'RSD_BY Techs'!$B57,'Key Inputs_BY Techs'!$E:$E,'RSD_BY Techs'!$D57)</f>
        <v>0.72</v>
      </c>
      <c r="V57" s="213">
        <f>SUMIFS('Key Inputs_BY Techs'!P:P,'Key Inputs_BY Techs'!$A:$A,'RSD_BY Techs'!$L57,'Key Inputs_BY Techs'!$C:$C,'RSD_BY Techs'!$B57,'Key Inputs_BY Techs'!$E:$E,'RSD_BY Techs'!$D57)</f>
        <v>0.72</v>
      </c>
      <c r="W57" s="213">
        <f>SUMIFS('Key Inputs_BY Techs'!Q:Q,'Key Inputs_BY Techs'!$A:$A,'RSD_BY Techs'!$L57,'Key Inputs_BY Techs'!$C:$C,'RSD_BY Techs'!$B57,'Key Inputs_BY Techs'!$E:$E,'RSD_BY Techs'!$D57)</f>
        <v>0.72</v>
      </c>
      <c r="X57" s="213">
        <f>SUMIFS('Key Inputs_BY Techs'!R:R,'Key Inputs_BY Techs'!$A:$A,'RSD_BY Techs'!$L57,'Key Inputs_BY Techs'!$C:$C,'RSD_BY Techs'!$B57,'Key Inputs_BY Techs'!$E:$E,'RSD_BY Techs'!$D57)</f>
        <v>0.72</v>
      </c>
      <c r="Y57" s="213">
        <f>SUMIFS('Key Inputs_BY Techs'!S:S,'Key Inputs_BY Techs'!$A:$A,'RSD_BY Techs'!$L57,'Key Inputs_BY Techs'!$C:$C,'RSD_BY Techs'!$B57,'Key Inputs_BY Techs'!$E:$E,'RSD_BY Techs'!$D57)</f>
        <v>0.72</v>
      </c>
      <c r="Z57" s="213">
        <f>SUMIFS('Key Inputs_BY Techs'!T:T,'Key Inputs_BY Techs'!$A:$A,'RSD_BY Techs'!$L57,'Key Inputs_BY Techs'!$C:$C,'RSD_BY Techs'!$B57,'Key Inputs_BY Techs'!$E:$E,'RSD_BY Techs'!$D57)</f>
        <v>0.72</v>
      </c>
      <c r="AA57" s="213">
        <f>SUMIFS('Key Inputs_BY Techs'!U:U,'Key Inputs_BY Techs'!$A:$A,'RSD_BY Techs'!$L57,'Key Inputs_BY Techs'!$C:$C,'RSD_BY Techs'!$B57,'Key Inputs_BY Techs'!$E:$E,'RSD_BY Techs'!$D57)</f>
        <v>0.72</v>
      </c>
      <c r="AB57" s="213">
        <f>SUMIFS('Key Inputs_BY Techs'!V:V,'Key Inputs_BY Techs'!$A:$A,'RSD_BY Techs'!$L57,'Key Inputs_BY Techs'!$C:$C,'RSD_BY Techs'!$B57,'Key Inputs_BY Techs'!$E:$E,'RSD_BY Techs'!$D57)</f>
        <v>0.72</v>
      </c>
      <c r="AC57" s="213">
        <f>SUMIFS('Key Inputs_BY Techs'!W:W,'Key Inputs_BY Techs'!$A:$A,'RSD_BY Techs'!$L57,'Key Inputs_BY Techs'!$C:$C,'RSD_BY Techs'!$B57,'Key Inputs_BY Techs'!$E:$E,'RSD_BY Techs'!$D57)</f>
        <v>0.72</v>
      </c>
      <c r="AD57" s="213">
        <f>SUMIFS('Key Inputs_BY Techs'!X:X,'Key Inputs_BY Techs'!$A:$A,'RSD_BY Techs'!$L57,'Key Inputs_BY Techs'!$C:$C,'RSD_BY Techs'!$B57,'Key Inputs_BY Techs'!$E:$E,'RSD_BY Techs'!$D57)</f>
        <v>0.72</v>
      </c>
      <c r="AE57" s="213">
        <f>SUMIFS('Key Inputs_BY Techs'!Y:Y,'Key Inputs_BY Techs'!$A:$A,'RSD_BY Techs'!$L57,'Key Inputs_BY Techs'!$C:$C,'RSD_BY Techs'!$B57,'Key Inputs_BY Techs'!$E:$E,'RSD_BY Techs'!$D57)</f>
        <v>0.72</v>
      </c>
      <c r="AF57" s="213">
        <f>SUMIFS('Key Inputs_BY Techs'!Z:Z,'Key Inputs_BY Techs'!$A:$A,'RSD_BY Techs'!$L57,'Key Inputs_BY Techs'!$C:$C,'RSD_BY Techs'!$B57,'Key Inputs_BY Techs'!$E:$E,'RSD_BY Techs'!$D57)</f>
        <v>0.72</v>
      </c>
      <c r="AG57" s="213">
        <f>SUMIFS('Key Inputs_BY Techs'!AA:AA,'Key Inputs_BY Techs'!$A:$A,'RSD_BY Techs'!$L57,'Key Inputs_BY Techs'!$C:$C,'RSD_BY Techs'!$B57,'Key Inputs_BY Techs'!$E:$E,'RSD_BY Techs'!$D57)</f>
        <v>0.72</v>
      </c>
      <c r="AH57" s="213">
        <f>SUMIFS('Key Inputs_BY Techs'!AB:AB,'Key Inputs_BY Techs'!$A:$A,'RSD_BY Techs'!$L57,'Key Inputs_BY Techs'!$C:$C,'RSD_BY Techs'!$B57,'Key Inputs_BY Techs'!$E:$E,'RSD_BY Techs'!$D57)</f>
        <v>0.72</v>
      </c>
      <c r="AI57" s="213">
        <f>SUMIFS('Key Inputs_BY Techs'!AC:AC,'Key Inputs_BY Techs'!$A:$A,'RSD_BY Techs'!$L57,'Key Inputs_BY Techs'!$C:$C,'RSD_BY Techs'!$B57,'Key Inputs_BY Techs'!$E:$E,'RSD_BY Techs'!$D57)</f>
        <v>0.72</v>
      </c>
      <c r="AJ57" s="213">
        <f>SUMIFS('Key Inputs_BY Techs'!AD:AD,'Key Inputs_BY Techs'!$A:$A,'RSD_BY Techs'!$L57,'Key Inputs_BY Techs'!$C:$C,'RSD_BY Techs'!$B57,'Key Inputs_BY Techs'!$E:$E,'RSD_BY Techs'!$D57)</f>
        <v>0.72</v>
      </c>
      <c r="AK57" s="213">
        <f>SUMIFS('Key Inputs_BY Techs'!AE:AE,'Key Inputs_BY Techs'!$A:$A,'RSD_BY Techs'!$L57,'Key Inputs_BY Techs'!$C:$C,'RSD_BY Techs'!$B57,'Key Inputs_BY Techs'!$E:$E,'RSD_BY Techs'!$D57)</f>
        <v>0.72</v>
      </c>
      <c r="AL57" s="213">
        <f>SUMIFS('Key Inputs_BY Techs'!AF:AF,'Key Inputs_BY Techs'!$A:$A,'RSD_BY Techs'!$L57,'Key Inputs_BY Techs'!$C:$C,'RSD_BY Techs'!$B57,'Key Inputs_BY Techs'!$E:$E,'RSD_BY Techs'!$D57)</f>
        <v>0.72</v>
      </c>
      <c r="AM57" s="213">
        <f>SUMIFS('Key Inputs_BY Techs'!AG:AG,'Key Inputs_BY Techs'!$A:$A,'RSD_BY Techs'!$L57,'Key Inputs_BY Techs'!$C:$C,'RSD_BY Techs'!$B57,'Key Inputs_BY Techs'!$E:$E,'RSD_BY Techs'!$D57)</f>
        <v>0.72</v>
      </c>
      <c r="AN57" s="213">
        <f>SUMIFS('Key Inputs_BY Techs'!AH:AH,'Key Inputs_BY Techs'!$A:$A,'RSD_BY Techs'!$L57,'Key Inputs_BY Techs'!$C:$C,'RSD_BY Techs'!$B57,'Key Inputs_BY Techs'!$E:$E,'RSD_BY Techs'!$D57)</f>
        <v>0.72</v>
      </c>
      <c r="AO57" s="213">
        <f>SUMIFS('Key Inputs_BY Techs'!AI:AI,'Key Inputs_BY Techs'!$A:$A,'RSD_BY Techs'!$L57,'Key Inputs_BY Techs'!$C:$C,'RSD_BY Techs'!$B57,'Key Inputs_BY Techs'!$E:$E,'RSD_BY Techs'!$D57)</f>
        <v>0.72</v>
      </c>
      <c r="AP57" s="213">
        <f>SUMIFS('Key Inputs_BY Techs'!AJ:AJ,'Key Inputs_BY Techs'!$A:$A,'RSD_BY Techs'!$L57,'Key Inputs_BY Techs'!$C:$C,'RSD_BY Techs'!$B57,'Key Inputs_BY Techs'!$E:$E,'RSD_BY Techs'!$D57)</f>
        <v>0.72</v>
      </c>
    </row>
    <row r="58" spans="1:42" x14ac:dyDescent="0.25">
      <c r="A58" s="254" t="s">
        <v>122</v>
      </c>
      <c r="B58" s="254" t="s">
        <v>468</v>
      </c>
      <c r="C58" s="254" t="str">
        <f>Legend!A$65</f>
        <v>Coal</v>
      </c>
      <c r="D58" s="254" t="str">
        <f>Legend!B$65</f>
        <v>RSDCOA</v>
      </c>
      <c r="E58" s="254" t="str">
        <f t="shared" si="20"/>
        <v>RSDCOA</v>
      </c>
      <c r="F58" s="254"/>
      <c r="G58" s="254"/>
      <c r="I58" s="211" t="str">
        <f t="shared" si="21"/>
        <v>R-THL-STV_COA00</v>
      </c>
      <c r="J58" s="211" t="str">
        <f t="shared" si="21"/>
        <v>RSD Thermal uses technology: Coal - Existing</v>
      </c>
      <c r="K58" s="211"/>
      <c r="L58" s="211" t="s">
        <v>37</v>
      </c>
      <c r="M58" s="211" t="s">
        <v>174</v>
      </c>
      <c r="N58" s="211"/>
      <c r="O58" s="211">
        <f>SUMIFS('Key Inputs_BY Techs'!I:I,'Key Inputs_BY Techs'!$A:$A,'RSD_BY Techs'!$L58,'Key Inputs_BY Techs'!$C:$C,'RSD_BY Techs'!$B58,'Key Inputs_BY Techs'!$E:$E,'RSD_BY Techs'!$D58)</f>
        <v>0.75</v>
      </c>
      <c r="P58" s="211">
        <f>SUMIFS('Key Inputs_BY Techs'!J:J,'Key Inputs_BY Techs'!$A:$A,'RSD_BY Techs'!$L58,'Key Inputs_BY Techs'!$C:$C,'RSD_BY Techs'!$B58,'Key Inputs_BY Techs'!$E:$E,'RSD_BY Techs'!$D58)</f>
        <v>0.75</v>
      </c>
      <c r="Q58" s="211">
        <f>SUMIFS('Key Inputs_BY Techs'!K:K,'Key Inputs_BY Techs'!$A:$A,'RSD_BY Techs'!$L58,'Key Inputs_BY Techs'!$C:$C,'RSD_BY Techs'!$B58,'Key Inputs_BY Techs'!$E:$E,'RSD_BY Techs'!$D58)</f>
        <v>0.75</v>
      </c>
      <c r="R58" s="211">
        <f>SUMIFS('Key Inputs_BY Techs'!L:L,'Key Inputs_BY Techs'!$A:$A,'RSD_BY Techs'!$L58,'Key Inputs_BY Techs'!$C:$C,'RSD_BY Techs'!$B58,'Key Inputs_BY Techs'!$E:$E,'RSD_BY Techs'!$D58)</f>
        <v>0.75</v>
      </c>
      <c r="S58" s="211">
        <f>SUMIFS('Key Inputs_BY Techs'!M:M,'Key Inputs_BY Techs'!$A:$A,'RSD_BY Techs'!$L58,'Key Inputs_BY Techs'!$C:$C,'RSD_BY Techs'!$B58,'Key Inputs_BY Techs'!$E:$E,'RSD_BY Techs'!$D58)</f>
        <v>0.75</v>
      </c>
      <c r="T58" s="211">
        <f>SUMIFS('Key Inputs_BY Techs'!N:N,'Key Inputs_BY Techs'!$A:$A,'RSD_BY Techs'!$L58,'Key Inputs_BY Techs'!$C:$C,'RSD_BY Techs'!$B58,'Key Inputs_BY Techs'!$E:$E,'RSD_BY Techs'!$D58)</f>
        <v>0.75</v>
      </c>
      <c r="U58" s="211">
        <f>SUMIFS('Key Inputs_BY Techs'!O:O,'Key Inputs_BY Techs'!$A:$A,'RSD_BY Techs'!$L58,'Key Inputs_BY Techs'!$C:$C,'RSD_BY Techs'!$B58,'Key Inputs_BY Techs'!$E:$E,'RSD_BY Techs'!$D58)</f>
        <v>0.75</v>
      </c>
      <c r="V58" s="211">
        <f>SUMIFS('Key Inputs_BY Techs'!P:P,'Key Inputs_BY Techs'!$A:$A,'RSD_BY Techs'!$L58,'Key Inputs_BY Techs'!$C:$C,'RSD_BY Techs'!$B58,'Key Inputs_BY Techs'!$E:$E,'RSD_BY Techs'!$D58)</f>
        <v>0.75</v>
      </c>
      <c r="W58" s="211">
        <f>SUMIFS('Key Inputs_BY Techs'!Q:Q,'Key Inputs_BY Techs'!$A:$A,'RSD_BY Techs'!$L58,'Key Inputs_BY Techs'!$C:$C,'RSD_BY Techs'!$B58,'Key Inputs_BY Techs'!$E:$E,'RSD_BY Techs'!$D58)</f>
        <v>0.75</v>
      </c>
      <c r="X58" s="211">
        <f>SUMIFS('Key Inputs_BY Techs'!R:R,'Key Inputs_BY Techs'!$A:$A,'RSD_BY Techs'!$L58,'Key Inputs_BY Techs'!$C:$C,'RSD_BY Techs'!$B58,'Key Inputs_BY Techs'!$E:$E,'RSD_BY Techs'!$D58)</f>
        <v>0.75</v>
      </c>
      <c r="Y58" s="211">
        <f>SUMIFS('Key Inputs_BY Techs'!S:S,'Key Inputs_BY Techs'!$A:$A,'RSD_BY Techs'!$L58,'Key Inputs_BY Techs'!$C:$C,'RSD_BY Techs'!$B58,'Key Inputs_BY Techs'!$E:$E,'RSD_BY Techs'!$D58)</f>
        <v>0.75</v>
      </c>
      <c r="Z58" s="211">
        <f>SUMIFS('Key Inputs_BY Techs'!T:T,'Key Inputs_BY Techs'!$A:$A,'RSD_BY Techs'!$L58,'Key Inputs_BY Techs'!$C:$C,'RSD_BY Techs'!$B58,'Key Inputs_BY Techs'!$E:$E,'RSD_BY Techs'!$D58)</f>
        <v>0.75</v>
      </c>
      <c r="AA58" s="211">
        <f>SUMIFS('Key Inputs_BY Techs'!U:U,'Key Inputs_BY Techs'!$A:$A,'RSD_BY Techs'!$L58,'Key Inputs_BY Techs'!$C:$C,'RSD_BY Techs'!$B58,'Key Inputs_BY Techs'!$E:$E,'RSD_BY Techs'!$D58)</f>
        <v>0.75</v>
      </c>
      <c r="AB58" s="211">
        <f>SUMIFS('Key Inputs_BY Techs'!V:V,'Key Inputs_BY Techs'!$A:$A,'RSD_BY Techs'!$L58,'Key Inputs_BY Techs'!$C:$C,'RSD_BY Techs'!$B58,'Key Inputs_BY Techs'!$E:$E,'RSD_BY Techs'!$D58)</f>
        <v>0.75</v>
      </c>
      <c r="AC58" s="211">
        <f>SUMIFS('Key Inputs_BY Techs'!W:W,'Key Inputs_BY Techs'!$A:$A,'RSD_BY Techs'!$L58,'Key Inputs_BY Techs'!$C:$C,'RSD_BY Techs'!$B58,'Key Inputs_BY Techs'!$E:$E,'RSD_BY Techs'!$D58)</f>
        <v>0.75</v>
      </c>
      <c r="AD58" s="211">
        <f>SUMIFS('Key Inputs_BY Techs'!X:X,'Key Inputs_BY Techs'!$A:$A,'RSD_BY Techs'!$L58,'Key Inputs_BY Techs'!$C:$C,'RSD_BY Techs'!$B58,'Key Inputs_BY Techs'!$E:$E,'RSD_BY Techs'!$D58)</f>
        <v>0.75</v>
      </c>
      <c r="AE58" s="211">
        <f>SUMIFS('Key Inputs_BY Techs'!Y:Y,'Key Inputs_BY Techs'!$A:$A,'RSD_BY Techs'!$L58,'Key Inputs_BY Techs'!$C:$C,'RSD_BY Techs'!$B58,'Key Inputs_BY Techs'!$E:$E,'RSD_BY Techs'!$D58)</f>
        <v>0.75</v>
      </c>
      <c r="AF58" s="211">
        <f>SUMIFS('Key Inputs_BY Techs'!Z:Z,'Key Inputs_BY Techs'!$A:$A,'RSD_BY Techs'!$L58,'Key Inputs_BY Techs'!$C:$C,'RSD_BY Techs'!$B58,'Key Inputs_BY Techs'!$E:$E,'RSD_BY Techs'!$D58)</f>
        <v>0.75</v>
      </c>
      <c r="AG58" s="211">
        <f>SUMIFS('Key Inputs_BY Techs'!AA:AA,'Key Inputs_BY Techs'!$A:$A,'RSD_BY Techs'!$L58,'Key Inputs_BY Techs'!$C:$C,'RSD_BY Techs'!$B58,'Key Inputs_BY Techs'!$E:$E,'RSD_BY Techs'!$D58)</f>
        <v>0.75</v>
      </c>
      <c r="AH58" s="211">
        <f>SUMIFS('Key Inputs_BY Techs'!AB:AB,'Key Inputs_BY Techs'!$A:$A,'RSD_BY Techs'!$L58,'Key Inputs_BY Techs'!$C:$C,'RSD_BY Techs'!$B58,'Key Inputs_BY Techs'!$E:$E,'RSD_BY Techs'!$D58)</f>
        <v>0.75</v>
      </c>
      <c r="AI58" s="211">
        <f>SUMIFS('Key Inputs_BY Techs'!AC:AC,'Key Inputs_BY Techs'!$A:$A,'RSD_BY Techs'!$L58,'Key Inputs_BY Techs'!$C:$C,'RSD_BY Techs'!$B58,'Key Inputs_BY Techs'!$E:$E,'RSD_BY Techs'!$D58)</f>
        <v>0.75</v>
      </c>
      <c r="AJ58" s="211">
        <f>SUMIFS('Key Inputs_BY Techs'!AD:AD,'Key Inputs_BY Techs'!$A:$A,'RSD_BY Techs'!$L58,'Key Inputs_BY Techs'!$C:$C,'RSD_BY Techs'!$B58,'Key Inputs_BY Techs'!$E:$E,'RSD_BY Techs'!$D58)</f>
        <v>0.75</v>
      </c>
      <c r="AK58" s="211">
        <f>SUMIFS('Key Inputs_BY Techs'!AE:AE,'Key Inputs_BY Techs'!$A:$A,'RSD_BY Techs'!$L58,'Key Inputs_BY Techs'!$C:$C,'RSD_BY Techs'!$B58,'Key Inputs_BY Techs'!$E:$E,'RSD_BY Techs'!$D58)</f>
        <v>0.75</v>
      </c>
      <c r="AL58" s="211">
        <f>SUMIFS('Key Inputs_BY Techs'!AF:AF,'Key Inputs_BY Techs'!$A:$A,'RSD_BY Techs'!$L58,'Key Inputs_BY Techs'!$C:$C,'RSD_BY Techs'!$B58,'Key Inputs_BY Techs'!$E:$E,'RSD_BY Techs'!$D58)</f>
        <v>0.75</v>
      </c>
      <c r="AM58" s="211">
        <f>SUMIFS('Key Inputs_BY Techs'!AG:AG,'Key Inputs_BY Techs'!$A:$A,'RSD_BY Techs'!$L58,'Key Inputs_BY Techs'!$C:$C,'RSD_BY Techs'!$B58,'Key Inputs_BY Techs'!$E:$E,'RSD_BY Techs'!$D58)</f>
        <v>0.75</v>
      </c>
      <c r="AN58" s="211">
        <f>SUMIFS('Key Inputs_BY Techs'!AH:AH,'Key Inputs_BY Techs'!$A:$A,'RSD_BY Techs'!$L58,'Key Inputs_BY Techs'!$C:$C,'RSD_BY Techs'!$B58,'Key Inputs_BY Techs'!$E:$E,'RSD_BY Techs'!$D58)</f>
        <v>0.75</v>
      </c>
      <c r="AO58" s="211">
        <f>SUMIFS('Key Inputs_BY Techs'!AI:AI,'Key Inputs_BY Techs'!$A:$A,'RSD_BY Techs'!$L58,'Key Inputs_BY Techs'!$C:$C,'RSD_BY Techs'!$B58,'Key Inputs_BY Techs'!$E:$E,'RSD_BY Techs'!$D58)</f>
        <v>0.75</v>
      </c>
      <c r="AP58" s="211">
        <f>SUMIFS('Key Inputs_BY Techs'!AJ:AJ,'Key Inputs_BY Techs'!$A:$A,'RSD_BY Techs'!$L58,'Key Inputs_BY Techs'!$C:$C,'RSD_BY Techs'!$B58,'Key Inputs_BY Techs'!$E:$E,'RSD_BY Techs'!$D58)</f>
        <v>0.75</v>
      </c>
    </row>
    <row r="59" spans="1:42" x14ac:dyDescent="0.25">
      <c r="A59" s="254" t="s">
        <v>122</v>
      </c>
      <c r="B59" s="254" t="s">
        <v>468</v>
      </c>
      <c r="C59" s="254" t="str">
        <f>Legend!A$66</f>
        <v>Electricity</v>
      </c>
      <c r="D59" s="254" t="str">
        <f>Legend!B$66</f>
        <v>RSDELC</v>
      </c>
      <c r="E59" s="254" t="str">
        <f t="shared" si="20"/>
        <v>RSDELC</v>
      </c>
      <c r="F59" s="254"/>
      <c r="G59" s="254"/>
      <c r="I59" s="211" t="str">
        <f t="shared" si="21"/>
        <v>R-THL-RST_ELC00</v>
      </c>
      <c r="J59" s="211" t="str">
        <f t="shared" si="21"/>
        <v>RSD Thermal uses technology: Electricity - Existing</v>
      </c>
      <c r="K59" s="211"/>
      <c r="L59" s="211" t="s">
        <v>37</v>
      </c>
      <c r="M59" s="211" t="s">
        <v>174</v>
      </c>
      <c r="N59" s="211"/>
      <c r="O59" s="211">
        <f>'Key Inputs_BY Techs'!I10</f>
        <v>0.99</v>
      </c>
      <c r="P59" s="211">
        <f>'Key Inputs_BY Techs'!J10</f>
        <v>0.99</v>
      </c>
      <c r="Q59" s="211">
        <f>'Key Inputs_BY Techs'!K10</f>
        <v>0.99</v>
      </c>
      <c r="R59" s="211">
        <f>'Key Inputs_BY Techs'!L10</f>
        <v>0.99</v>
      </c>
      <c r="S59" s="211">
        <f>'Key Inputs_BY Techs'!M10</f>
        <v>0.99</v>
      </c>
      <c r="T59" s="211">
        <f>'Key Inputs_BY Techs'!N10</f>
        <v>0.99</v>
      </c>
      <c r="U59" s="211">
        <f>'Key Inputs_BY Techs'!O10</f>
        <v>0.99</v>
      </c>
      <c r="V59" s="211">
        <f>'Key Inputs_BY Techs'!P10</f>
        <v>0.99</v>
      </c>
      <c r="W59" s="211">
        <f>'Key Inputs_BY Techs'!Q10</f>
        <v>0.99</v>
      </c>
      <c r="X59" s="211">
        <f>'Key Inputs_BY Techs'!R10</f>
        <v>0.99</v>
      </c>
      <c r="Y59" s="211">
        <f>'Key Inputs_BY Techs'!S10</f>
        <v>0.99</v>
      </c>
      <c r="Z59" s="211">
        <f>'Key Inputs_BY Techs'!T10</f>
        <v>0.99</v>
      </c>
      <c r="AA59" s="211">
        <f>'Key Inputs_BY Techs'!U10</f>
        <v>0.99</v>
      </c>
      <c r="AB59" s="211">
        <f>'Key Inputs_BY Techs'!V10</f>
        <v>0.99</v>
      </c>
      <c r="AC59" s="211">
        <f>'Key Inputs_BY Techs'!W10</f>
        <v>0.99</v>
      </c>
      <c r="AD59" s="211">
        <f>'Key Inputs_BY Techs'!X10</f>
        <v>0.99</v>
      </c>
      <c r="AE59" s="211">
        <f>'Key Inputs_BY Techs'!Y10</f>
        <v>0.99</v>
      </c>
      <c r="AF59" s="211">
        <f>'Key Inputs_BY Techs'!Z10</f>
        <v>0.99</v>
      </c>
      <c r="AG59" s="211">
        <f>'Key Inputs_BY Techs'!AA10</f>
        <v>0.99</v>
      </c>
      <c r="AH59" s="211">
        <f>'Key Inputs_BY Techs'!AB10</f>
        <v>0.99</v>
      </c>
      <c r="AI59" s="211">
        <f>'Key Inputs_BY Techs'!AC10</f>
        <v>0.99</v>
      </c>
      <c r="AJ59" s="211">
        <f>'Key Inputs_BY Techs'!AD10</f>
        <v>0.99</v>
      </c>
      <c r="AK59" s="211">
        <f>'Key Inputs_BY Techs'!AE10</f>
        <v>0.99</v>
      </c>
      <c r="AL59" s="211">
        <f>'Key Inputs_BY Techs'!AF10</f>
        <v>0.99</v>
      </c>
      <c r="AM59" s="211">
        <f>'Key Inputs_BY Techs'!AG10</f>
        <v>0.99</v>
      </c>
      <c r="AN59" s="211">
        <f>'Key Inputs_BY Techs'!AH10</f>
        <v>0.99</v>
      </c>
      <c r="AO59" s="211">
        <f>'Key Inputs_BY Techs'!AI10</f>
        <v>0.99</v>
      </c>
      <c r="AP59" s="211">
        <f>'Key Inputs_BY Techs'!AJ10</f>
        <v>0.99</v>
      </c>
    </row>
    <row r="60" spans="1:42" x14ac:dyDescent="0.25">
      <c r="A60" s="254" t="s">
        <v>122</v>
      </c>
      <c r="B60" s="254" t="s">
        <v>468</v>
      </c>
      <c r="C60" s="254" t="str">
        <f>Legend!A$66&amp;" (Heat Pump)"</f>
        <v>Electricity (Heat Pump)</v>
      </c>
      <c r="D60" s="254" t="str">
        <f>Legend!B$66</f>
        <v>RSDELC</v>
      </c>
      <c r="E60" s="254" t="str">
        <f t="shared" si="20"/>
        <v>RSDELC</v>
      </c>
      <c r="F60" s="254"/>
      <c r="G60" s="254"/>
      <c r="I60" s="211" t="str">
        <f t="shared" si="21"/>
        <v>R-THL-HPA_ELC00</v>
      </c>
      <c r="J60" s="211" t="str">
        <f t="shared" si="21"/>
        <v>RSD Thermal uses technology: Electricity (Heat Pump) - Existing</v>
      </c>
      <c r="K60" s="211"/>
      <c r="L60" s="211" t="s">
        <v>37</v>
      </c>
      <c r="M60" s="211" t="s">
        <v>174</v>
      </c>
      <c r="N60" s="211"/>
      <c r="O60" s="211">
        <f>'Key Inputs_BY Techs'!I11</f>
        <v>2.6656</v>
      </c>
      <c r="P60" s="211">
        <f>'Key Inputs_BY Techs'!J11</f>
        <v>2.6656</v>
      </c>
      <c r="Q60" s="211">
        <f>'Key Inputs_BY Techs'!K11</f>
        <v>2.6656</v>
      </c>
      <c r="R60" s="211">
        <f>'Key Inputs_BY Techs'!L11</f>
        <v>2.6656</v>
      </c>
      <c r="S60" s="211">
        <f>'Key Inputs_BY Techs'!M11</f>
        <v>2.38</v>
      </c>
      <c r="T60" s="211">
        <f>'Key Inputs_BY Techs'!N11</f>
        <v>1.9753999999999998</v>
      </c>
      <c r="U60" s="211">
        <f>'Key Inputs_BY Techs'!O11</f>
        <v>1.9753999999999998</v>
      </c>
      <c r="V60" s="211">
        <f>'Key Inputs_BY Techs'!P11</f>
        <v>2.38</v>
      </c>
      <c r="W60" s="211">
        <f>'Key Inputs_BY Techs'!Q11</f>
        <v>2.6656</v>
      </c>
      <c r="X60" s="211">
        <f>'Key Inputs_BY Techs'!R11</f>
        <v>2.38</v>
      </c>
      <c r="Y60" s="211">
        <f>'Key Inputs_BY Techs'!S11</f>
        <v>2.6656</v>
      </c>
      <c r="Z60" s="211">
        <f>'Key Inputs_BY Techs'!T11</f>
        <v>1.9753999999999998</v>
      </c>
      <c r="AA60" s="211">
        <f>'Key Inputs_BY Techs'!U11</f>
        <v>2.6656</v>
      </c>
      <c r="AB60" s="211">
        <f>'Key Inputs_BY Techs'!V11</f>
        <v>2.6656</v>
      </c>
      <c r="AC60" s="211">
        <f>'Key Inputs_BY Techs'!W11</f>
        <v>2.6656</v>
      </c>
      <c r="AD60" s="211">
        <f>'Key Inputs_BY Techs'!X11</f>
        <v>1.9753999999999998</v>
      </c>
      <c r="AE60" s="211">
        <f>'Key Inputs_BY Techs'!Y11</f>
        <v>1.9753999999999998</v>
      </c>
      <c r="AF60" s="211">
        <f>'Key Inputs_BY Techs'!Z11</f>
        <v>1.9753999999999998</v>
      </c>
      <c r="AG60" s="211">
        <f>'Key Inputs_BY Techs'!AA11</f>
        <v>2.38</v>
      </c>
      <c r="AH60" s="211">
        <f>'Key Inputs_BY Techs'!AB11</f>
        <v>2.38</v>
      </c>
      <c r="AI60" s="211">
        <f>'Key Inputs_BY Techs'!AC11</f>
        <v>2.6656</v>
      </c>
      <c r="AJ60" s="211">
        <f>'Key Inputs_BY Techs'!AD11</f>
        <v>2.6656</v>
      </c>
      <c r="AK60" s="211">
        <f>'Key Inputs_BY Techs'!AE11</f>
        <v>2.6656</v>
      </c>
      <c r="AL60" s="211">
        <f>'Key Inputs_BY Techs'!AF11</f>
        <v>2.6656</v>
      </c>
      <c r="AM60" s="211">
        <f>'Key Inputs_BY Techs'!AG11</f>
        <v>2.6656</v>
      </c>
      <c r="AN60" s="211">
        <f>'Key Inputs_BY Techs'!AH11</f>
        <v>2.6656</v>
      </c>
      <c r="AO60" s="211">
        <f>'Key Inputs_BY Techs'!AI11</f>
        <v>1.9753999999999998</v>
      </c>
      <c r="AP60" s="211">
        <f>'Key Inputs_BY Techs'!AJ11</f>
        <v>1.9753999999999998</v>
      </c>
    </row>
    <row r="61" spans="1:42" x14ac:dyDescent="0.25">
      <c r="A61" s="254" t="s">
        <v>122</v>
      </c>
      <c r="B61" s="254" t="s">
        <v>468</v>
      </c>
      <c r="C61" s="254" t="str">
        <f>Legend!$A$71&amp;", "&amp;Legend!$A$63&amp;", "&amp;Legend!$A$72</f>
        <v>Natural gas, Biogas, Manufactured gas</v>
      </c>
      <c r="D61" s="254" t="str">
        <f>Legend!$B$71&amp;", "&amp;Legend!$B$63&amp;", "&amp;Legend!$B$72</f>
        <v>RSDGAS, RSDBGS, RSDGAM</v>
      </c>
      <c r="E61" s="254" t="str">
        <f t="shared" si="20"/>
        <v>RSDGAS</v>
      </c>
      <c r="F61" s="254"/>
      <c r="G61" s="254"/>
      <c r="I61" s="211" t="str">
        <f t="shared" si="21"/>
        <v>R-THL-BLR_GAS00</v>
      </c>
      <c r="J61" s="211" t="str">
        <f t="shared" si="21"/>
        <v>RSD Thermal uses technology: Natural gas, Biogas, Manufactured gas - Existing</v>
      </c>
      <c r="K61" s="211"/>
      <c r="L61" s="211" t="s">
        <v>37</v>
      </c>
      <c r="M61" s="211" t="s">
        <v>174</v>
      </c>
      <c r="N61" s="211"/>
      <c r="O61" s="211">
        <f>SUMIFS('Key Inputs_BY Techs'!I:I,'Key Inputs_BY Techs'!$A:$A,'RSD_BY Techs'!$L61,'Key Inputs_BY Techs'!$C:$C,'RSD_BY Techs'!$B61,'Key Inputs_BY Techs'!$E:$E,'RSD_BY Techs'!$D61)</f>
        <v>0.86580000000000013</v>
      </c>
      <c r="P61" s="211">
        <f>SUMIFS('Key Inputs_BY Techs'!J:J,'Key Inputs_BY Techs'!$A:$A,'RSD_BY Techs'!$L61,'Key Inputs_BY Techs'!$C:$C,'RSD_BY Techs'!$B61,'Key Inputs_BY Techs'!$E:$E,'RSD_BY Techs'!$D61)</f>
        <v>0.86580000000000013</v>
      </c>
      <c r="Q61" s="211">
        <f>SUMIFS('Key Inputs_BY Techs'!K:K,'Key Inputs_BY Techs'!$A:$A,'RSD_BY Techs'!$L61,'Key Inputs_BY Techs'!$C:$C,'RSD_BY Techs'!$B61,'Key Inputs_BY Techs'!$E:$E,'RSD_BY Techs'!$D61)</f>
        <v>0.86580000000000013</v>
      </c>
      <c r="R61" s="211">
        <f>SUMIFS('Key Inputs_BY Techs'!L:L,'Key Inputs_BY Techs'!$A:$A,'RSD_BY Techs'!$L61,'Key Inputs_BY Techs'!$C:$C,'RSD_BY Techs'!$B61,'Key Inputs_BY Techs'!$E:$E,'RSD_BY Techs'!$D61)</f>
        <v>0.86580000000000013</v>
      </c>
      <c r="S61" s="211">
        <f>SUMIFS('Key Inputs_BY Techs'!M:M,'Key Inputs_BY Techs'!$A:$A,'RSD_BY Techs'!$L61,'Key Inputs_BY Techs'!$C:$C,'RSD_BY Techs'!$B61,'Key Inputs_BY Techs'!$E:$E,'RSD_BY Techs'!$D61)</f>
        <v>0.86580000000000013</v>
      </c>
      <c r="T61" s="211">
        <f>SUMIFS('Key Inputs_BY Techs'!N:N,'Key Inputs_BY Techs'!$A:$A,'RSD_BY Techs'!$L61,'Key Inputs_BY Techs'!$C:$C,'RSD_BY Techs'!$B61,'Key Inputs_BY Techs'!$E:$E,'RSD_BY Techs'!$D61)</f>
        <v>0.86580000000000013</v>
      </c>
      <c r="U61" s="211">
        <f>SUMIFS('Key Inputs_BY Techs'!O:O,'Key Inputs_BY Techs'!$A:$A,'RSD_BY Techs'!$L61,'Key Inputs_BY Techs'!$C:$C,'RSD_BY Techs'!$B61,'Key Inputs_BY Techs'!$E:$E,'RSD_BY Techs'!$D61)</f>
        <v>0.86580000000000013</v>
      </c>
      <c r="V61" s="211">
        <f>SUMIFS('Key Inputs_BY Techs'!P:P,'Key Inputs_BY Techs'!$A:$A,'RSD_BY Techs'!$L61,'Key Inputs_BY Techs'!$C:$C,'RSD_BY Techs'!$B61,'Key Inputs_BY Techs'!$E:$E,'RSD_BY Techs'!$D61)</f>
        <v>0.86580000000000013</v>
      </c>
      <c r="W61" s="211">
        <f>SUMIFS('Key Inputs_BY Techs'!Q:Q,'Key Inputs_BY Techs'!$A:$A,'RSD_BY Techs'!$L61,'Key Inputs_BY Techs'!$C:$C,'RSD_BY Techs'!$B61,'Key Inputs_BY Techs'!$E:$E,'RSD_BY Techs'!$D61)</f>
        <v>0.86580000000000013</v>
      </c>
      <c r="X61" s="211">
        <f>SUMIFS('Key Inputs_BY Techs'!R:R,'Key Inputs_BY Techs'!$A:$A,'RSD_BY Techs'!$L61,'Key Inputs_BY Techs'!$C:$C,'RSD_BY Techs'!$B61,'Key Inputs_BY Techs'!$E:$E,'RSD_BY Techs'!$D61)</f>
        <v>0.86580000000000013</v>
      </c>
      <c r="Y61" s="211">
        <f>SUMIFS('Key Inputs_BY Techs'!S:S,'Key Inputs_BY Techs'!$A:$A,'RSD_BY Techs'!$L61,'Key Inputs_BY Techs'!$C:$C,'RSD_BY Techs'!$B61,'Key Inputs_BY Techs'!$E:$E,'RSD_BY Techs'!$D61)</f>
        <v>0.86580000000000013</v>
      </c>
      <c r="Z61" s="211">
        <f>SUMIFS('Key Inputs_BY Techs'!T:T,'Key Inputs_BY Techs'!$A:$A,'RSD_BY Techs'!$L61,'Key Inputs_BY Techs'!$C:$C,'RSD_BY Techs'!$B61,'Key Inputs_BY Techs'!$E:$E,'RSD_BY Techs'!$D61)</f>
        <v>0.86580000000000013</v>
      </c>
      <c r="AA61" s="211">
        <f>SUMIFS('Key Inputs_BY Techs'!U:U,'Key Inputs_BY Techs'!$A:$A,'RSD_BY Techs'!$L61,'Key Inputs_BY Techs'!$C:$C,'RSD_BY Techs'!$B61,'Key Inputs_BY Techs'!$E:$E,'RSD_BY Techs'!$D61)</f>
        <v>0.86580000000000013</v>
      </c>
      <c r="AB61" s="211">
        <f>SUMIFS('Key Inputs_BY Techs'!V:V,'Key Inputs_BY Techs'!$A:$A,'RSD_BY Techs'!$L61,'Key Inputs_BY Techs'!$C:$C,'RSD_BY Techs'!$B61,'Key Inputs_BY Techs'!$E:$E,'RSD_BY Techs'!$D61)</f>
        <v>0.86580000000000013</v>
      </c>
      <c r="AC61" s="211">
        <f>SUMIFS('Key Inputs_BY Techs'!W:W,'Key Inputs_BY Techs'!$A:$A,'RSD_BY Techs'!$L61,'Key Inputs_BY Techs'!$C:$C,'RSD_BY Techs'!$B61,'Key Inputs_BY Techs'!$E:$E,'RSD_BY Techs'!$D61)</f>
        <v>0.86580000000000013</v>
      </c>
      <c r="AD61" s="211">
        <f>SUMIFS('Key Inputs_BY Techs'!X:X,'Key Inputs_BY Techs'!$A:$A,'RSD_BY Techs'!$L61,'Key Inputs_BY Techs'!$C:$C,'RSD_BY Techs'!$B61,'Key Inputs_BY Techs'!$E:$E,'RSD_BY Techs'!$D61)</f>
        <v>0.86580000000000013</v>
      </c>
      <c r="AE61" s="211">
        <f>SUMIFS('Key Inputs_BY Techs'!Y:Y,'Key Inputs_BY Techs'!$A:$A,'RSD_BY Techs'!$L61,'Key Inputs_BY Techs'!$C:$C,'RSD_BY Techs'!$B61,'Key Inputs_BY Techs'!$E:$E,'RSD_BY Techs'!$D61)</f>
        <v>0.86580000000000013</v>
      </c>
      <c r="AF61" s="211">
        <f>SUMIFS('Key Inputs_BY Techs'!Z:Z,'Key Inputs_BY Techs'!$A:$A,'RSD_BY Techs'!$L61,'Key Inputs_BY Techs'!$C:$C,'RSD_BY Techs'!$B61,'Key Inputs_BY Techs'!$E:$E,'RSD_BY Techs'!$D61)</f>
        <v>0.86580000000000013</v>
      </c>
      <c r="AG61" s="211">
        <f>SUMIFS('Key Inputs_BY Techs'!AA:AA,'Key Inputs_BY Techs'!$A:$A,'RSD_BY Techs'!$L61,'Key Inputs_BY Techs'!$C:$C,'RSD_BY Techs'!$B61,'Key Inputs_BY Techs'!$E:$E,'RSD_BY Techs'!$D61)</f>
        <v>0.86580000000000013</v>
      </c>
      <c r="AH61" s="211">
        <f>SUMIFS('Key Inputs_BY Techs'!AB:AB,'Key Inputs_BY Techs'!$A:$A,'RSD_BY Techs'!$L61,'Key Inputs_BY Techs'!$C:$C,'RSD_BY Techs'!$B61,'Key Inputs_BY Techs'!$E:$E,'RSD_BY Techs'!$D61)</f>
        <v>0.86580000000000013</v>
      </c>
      <c r="AI61" s="211">
        <f>SUMIFS('Key Inputs_BY Techs'!AC:AC,'Key Inputs_BY Techs'!$A:$A,'RSD_BY Techs'!$L61,'Key Inputs_BY Techs'!$C:$C,'RSD_BY Techs'!$B61,'Key Inputs_BY Techs'!$E:$E,'RSD_BY Techs'!$D61)</f>
        <v>0.86580000000000013</v>
      </c>
      <c r="AJ61" s="211">
        <f>SUMIFS('Key Inputs_BY Techs'!AD:AD,'Key Inputs_BY Techs'!$A:$A,'RSD_BY Techs'!$L61,'Key Inputs_BY Techs'!$C:$C,'RSD_BY Techs'!$B61,'Key Inputs_BY Techs'!$E:$E,'RSD_BY Techs'!$D61)</f>
        <v>0.86580000000000013</v>
      </c>
      <c r="AK61" s="211">
        <f>SUMIFS('Key Inputs_BY Techs'!AE:AE,'Key Inputs_BY Techs'!$A:$A,'RSD_BY Techs'!$L61,'Key Inputs_BY Techs'!$C:$C,'RSD_BY Techs'!$B61,'Key Inputs_BY Techs'!$E:$E,'RSD_BY Techs'!$D61)</f>
        <v>0.86580000000000013</v>
      </c>
      <c r="AL61" s="211">
        <f>SUMIFS('Key Inputs_BY Techs'!AF:AF,'Key Inputs_BY Techs'!$A:$A,'RSD_BY Techs'!$L61,'Key Inputs_BY Techs'!$C:$C,'RSD_BY Techs'!$B61,'Key Inputs_BY Techs'!$E:$E,'RSD_BY Techs'!$D61)</f>
        <v>0.86580000000000013</v>
      </c>
      <c r="AM61" s="211">
        <f>SUMIFS('Key Inputs_BY Techs'!AG:AG,'Key Inputs_BY Techs'!$A:$A,'RSD_BY Techs'!$L61,'Key Inputs_BY Techs'!$C:$C,'RSD_BY Techs'!$B61,'Key Inputs_BY Techs'!$E:$E,'RSD_BY Techs'!$D61)</f>
        <v>0.86580000000000013</v>
      </c>
      <c r="AN61" s="211">
        <f>SUMIFS('Key Inputs_BY Techs'!AH:AH,'Key Inputs_BY Techs'!$A:$A,'RSD_BY Techs'!$L61,'Key Inputs_BY Techs'!$C:$C,'RSD_BY Techs'!$B61,'Key Inputs_BY Techs'!$E:$E,'RSD_BY Techs'!$D61)</f>
        <v>0.86580000000000013</v>
      </c>
      <c r="AO61" s="211">
        <f>SUMIFS('Key Inputs_BY Techs'!AI:AI,'Key Inputs_BY Techs'!$A:$A,'RSD_BY Techs'!$L61,'Key Inputs_BY Techs'!$C:$C,'RSD_BY Techs'!$B61,'Key Inputs_BY Techs'!$E:$E,'RSD_BY Techs'!$D61)</f>
        <v>0.86580000000000013</v>
      </c>
      <c r="AP61" s="211">
        <f>SUMIFS('Key Inputs_BY Techs'!AJ:AJ,'Key Inputs_BY Techs'!$A:$A,'RSD_BY Techs'!$L61,'Key Inputs_BY Techs'!$C:$C,'RSD_BY Techs'!$B61,'Key Inputs_BY Techs'!$E:$E,'RSD_BY Techs'!$D61)</f>
        <v>0.86580000000000013</v>
      </c>
    </row>
    <row r="62" spans="1:42" x14ac:dyDescent="0.25">
      <c r="A62" s="254" t="s">
        <v>122</v>
      </c>
      <c r="B62" s="254" t="s">
        <v>468</v>
      </c>
      <c r="C62" s="254" t="str">
        <f>Legend!$A$67</f>
        <v>Geothermal</v>
      </c>
      <c r="D62" s="254" t="str">
        <f>Legend!$B$67</f>
        <v>RSDGEO</v>
      </c>
      <c r="E62" s="254" t="str">
        <f t="shared" si="20"/>
        <v>RSDGEO</v>
      </c>
      <c r="F62" s="254"/>
      <c r="G62" s="254"/>
      <c r="I62" s="211" t="str">
        <f t="shared" si="21"/>
        <v>R-THL-HEX_GEO00</v>
      </c>
      <c r="J62" s="211" t="str">
        <f t="shared" si="21"/>
        <v>RSD Thermal uses technology: Geothermal - Existing</v>
      </c>
      <c r="K62" s="211"/>
      <c r="L62" s="211" t="s">
        <v>37</v>
      </c>
      <c r="M62" s="211" t="s">
        <v>174</v>
      </c>
      <c r="N62" s="211"/>
      <c r="O62" s="211">
        <f>SUMIFS('Key Inputs_BY Techs'!I:I,'Key Inputs_BY Techs'!$A:$A,'RSD_BY Techs'!$L62,'Key Inputs_BY Techs'!$C:$C,'RSD_BY Techs'!$B62,'Key Inputs_BY Techs'!$E:$E,'RSD_BY Techs'!$D62)</f>
        <v>0.72320888520081605</v>
      </c>
      <c r="P62" s="211">
        <f>SUMIFS('Key Inputs_BY Techs'!J:J,'Key Inputs_BY Techs'!$A:$A,'RSD_BY Techs'!$L62,'Key Inputs_BY Techs'!$C:$C,'RSD_BY Techs'!$B62,'Key Inputs_BY Techs'!$E:$E,'RSD_BY Techs'!$D62)</f>
        <v>0.72320888520081605</v>
      </c>
      <c r="Q62" s="211">
        <f>SUMIFS('Key Inputs_BY Techs'!K:K,'Key Inputs_BY Techs'!$A:$A,'RSD_BY Techs'!$L62,'Key Inputs_BY Techs'!$C:$C,'RSD_BY Techs'!$B62,'Key Inputs_BY Techs'!$E:$E,'RSD_BY Techs'!$D62)</f>
        <v>0.72320888520081605</v>
      </c>
      <c r="R62" s="211">
        <f>SUMIFS('Key Inputs_BY Techs'!L:L,'Key Inputs_BY Techs'!$A:$A,'RSD_BY Techs'!$L62,'Key Inputs_BY Techs'!$C:$C,'RSD_BY Techs'!$B62,'Key Inputs_BY Techs'!$E:$E,'RSD_BY Techs'!$D62)</f>
        <v>0.72320888520081605</v>
      </c>
      <c r="S62" s="211">
        <f>SUMIFS('Key Inputs_BY Techs'!M:M,'Key Inputs_BY Techs'!$A:$A,'RSD_BY Techs'!$L62,'Key Inputs_BY Techs'!$C:$C,'RSD_BY Techs'!$B62,'Key Inputs_BY Techs'!$E:$E,'RSD_BY Techs'!$D62)</f>
        <v>0.72320888520081605</v>
      </c>
      <c r="T62" s="211">
        <f>SUMIFS('Key Inputs_BY Techs'!N:N,'Key Inputs_BY Techs'!$A:$A,'RSD_BY Techs'!$L62,'Key Inputs_BY Techs'!$C:$C,'RSD_BY Techs'!$B62,'Key Inputs_BY Techs'!$E:$E,'RSD_BY Techs'!$D62)</f>
        <v>0.72320888520081605</v>
      </c>
      <c r="U62" s="211">
        <f>SUMIFS('Key Inputs_BY Techs'!O:O,'Key Inputs_BY Techs'!$A:$A,'RSD_BY Techs'!$L62,'Key Inputs_BY Techs'!$C:$C,'RSD_BY Techs'!$B62,'Key Inputs_BY Techs'!$E:$E,'RSD_BY Techs'!$D62)</f>
        <v>0.72320888520081605</v>
      </c>
      <c r="V62" s="211">
        <f>SUMIFS('Key Inputs_BY Techs'!P:P,'Key Inputs_BY Techs'!$A:$A,'RSD_BY Techs'!$L62,'Key Inputs_BY Techs'!$C:$C,'RSD_BY Techs'!$B62,'Key Inputs_BY Techs'!$E:$E,'RSD_BY Techs'!$D62)</f>
        <v>0.72320888520081605</v>
      </c>
      <c r="W62" s="211">
        <f>SUMIFS('Key Inputs_BY Techs'!Q:Q,'Key Inputs_BY Techs'!$A:$A,'RSD_BY Techs'!$L62,'Key Inputs_BY Techs'!$C:$C,'RSD_BY Techs'!$B62,'Key Inputs_BY Techs'!$E:$E,'RSD_BY Techs'!$D62)</f>
        <v>0.72320888520081605</v>
      </c>
      <c r="X62" s="211">
        <f>SUMIFS('Key Inputs_BY Techs'!R:R,'Key Inputs_BY Techs'!$A:$A,'RSD_BY Techs'!$L62,'Key Inputs_BY Techs'!$C:$C,'RSD_BY Techs'!$B62,'Key Inputs_BY Techs'!$E:$E,'RSD_BY Techs'!$D62)</f>
        <v>0.72320888520081605</v>
      </c>
      <c r="Y62" s="211">
        <f>SUMIFS('Key Inputs_BY Techs'!S:S,'Key Inputs_BY Techs'!$A:$A,'RSD_BY Techs'!$L62,'Key Inputs_BY Techs'!$C:$C,'RSD_BY Techs'!$B62,'Key Inputs_BY Techs'!$E:$E,'RSD_BY Techs'!$D62)</f>
        <v>0.72320888520081605</v>
      </c>
      <c r="Z62" s="211">
        <f>SUMIFS('Key Inputs_BY Techs'!T:T,'Key Inputs_BY Techs'!$A:$A,'RSD_BY Techs'!$L62,'Key Inputs_BY Techs'!$C:$C,'RSD_BY Techs'!$B62,'Key Inputs_BY Techs'!$E:$E,'RSD_BY Techs'!$D62)</f>
        <v>0.72320888520081605</v>
      </c>
      <c r="AA62" s="211">
        <f>SUMIFS('Key Inputs_BY Techs'!U:U,'Key Inputs_BY Techs'!$A:$A,'RSD_BY Techs'!$L62,'Key Inputs_BY Techs'!$C:$C,'RSD_BY Techs'!$B62,'Key Inputs_BY Techs'!$E:$E,'RSD_BY Techs'!$D62)</f>
        <v>0.72320888520081605</v>
      </c>
      <c r="AB62" s="211">
        <f>SUMIFS('Key Inputs_BY Techs'!V:V,'Key Inputs_BY Techs'!$A:$A,'RSD_BY Techs'!$L62,'Key Inputs_BY Techs'!$C:$C,'RSD_BY Techs'!$B62,'Key Inputs_BY Techs'!$E:$E,'RSD_BY Techs'!$D62)</f>
        <v>0.72320888520081605</v>
      </c>
      <c r="AC62" s="211">
        <f>SUMIFS('Key Inputs_BY Techs'!W:W,'Key Inputs_BY Techs'!$A:$A,'RSD_BY Techs'!$L62,'Key Inputs_BY Techs'!$C:$C,'RSD_BY Techs'!$B62,'Key Inputs_BY Techs'!$E:$E,'RSD_BY Techs'!$D62)</f>
        <v>0.72320888520081605</v>
      </c>
      <c r="AD62" s="211">
        <f>SUMIFS('Key Inputs_BY Techs'!X:X,'Key Inputs_BY Techs'!$A:$A,'RSD_BY Techs'!$L62,'Key Inputs_BY Techs'!$C:$C,'RSD_BY Techs'!$B62,'Key Inputs_BY Techs'!$E:$E,'RSD_BY Techs'!$D62)</f>
        <v>0.72320888520081605</v>
      </c>
      <c r="AE62" s="211">
        <f>SUMIFS('Key Inputs_BY Techs'!Y:Y,'Key Inputs_BY Techs'!$A:$A,'RSD_BY Techs'!$L62,'Key Inputs_BY Techs'!$C:$C,'RSD_BY Techs'!$B62,'Key Inputs_BY Techs'!$E:$E,'RSD_BY Techs'!$D62)</f>
        <v>0.72320888520081605</v>
      </c>
      <c r="AF62" s="211">
        <f>SUMIFS('Key Inputs_BY Techs'!Z:Z,'Key Inputs_BY Techs'!$A:$A,'RSD_BY Techs'!$L62,'Key Inputs_BY Techs'!$C:$C,'RSD_BY Techs'!$B62,'Key Inputs_BY Techs'!$E:$E,'RSD_BY Techs'!$D62)</f>
        <v>0.72320888520081605</v>
      </c>
      <c r="AG62" s="211">
        <f>SUMIFS('Key Inputs_BY Techs'!AA:AA,'Key Inputs_BY Techs'!$A:$A,'RSD_BY Techs'!$L62,'Key Inputs_BY Techs'!$C:$C,'RSD_BY Techs'!$B62,'Key Inputs_BY Techs'!$E:$E,'RSD_BY Techs'!$D62)</f>
        <v>0.72320888520081605</v>
      </c>
      <c r="AH62" s="211">
        <f>SUMIFS('Key Inputs_BY Techs'!AB:AB,'Key Inputs_BY Techs'!$A:$A,'RSD_BY Techs'!$L62,'Key Inputs_BY Techs'!$C:$C,'RSD_BY Techs'!$B62,'Key Inputs_BY Techs'!$E:$E,'RSD_BY Techs'!$D62)</f>
        <v>0.72320888520081605</v>
      </c>
      <c r="AI62" s="211">
        <f>SUMIFS('Key Inputs_BY Techs'!AC:AC,'Key Inputs_BY Techs'!$A:$A,'RSD_BY Techs'!$L62,'Key Inputs_BY Techs'!$C:$C,'RSD_BY Techs'!$B62,'Key Inputs_BY Techs'!$E:$E,'RSD_BY Techs'!$D62)</f>
        <v>0.72320888520081605</v>
      </c>
      <c r="AJ62" s="211">
        <f>SUMIFS('Key Inputs_BY Techs'!AD:AD,'Key Inputs_BY Techs'!$A:$A,'RSD_BY Techs'!$L62,'Key Inputs_BY Techs'!$C:$C,'RSD_BY Techs'!$B62,'Key Inputs_BY Techs'!$E:$E,'RSD_BY Techs'!$D62)</f>
        <v>0.72320888520081605</v>
      </c>
      <c r="AK62" s="211">
        <f>SUMIFS('Key Inputs_BY Techs'!AE:AE,'Key Inputs_BY Techs'!$A:$A,'RSD_BY Techs'!$L62,'Key Inputs_BY Techs'!$C:$C,'RSD_BY Techs'!$B62,'Key Inputs_BY Techs'!$E:$E,'RSD_BY Techs'!$D62)</f>
        <v>0.72320888520081605</v>
      </c>
      <c r="AL62" s="211">
        <f>SUMIFS('Key Inputs_BY Techs'!AF:AF,'Key Inputs_BY Techs'!$A:$A,'RSD_BY Techs'!$L62,'Key Inputs_BY Techs'!$C:$C,'RSD_BY Techs'!$B62,'Key Inputs_BY Techs'!$E:$E,'RSD_BY Techs'!$D62)</f>
        <v>0.72320888520081605</v>
      </c>
      <c r="AM62" s="211">
        <f>SUMIFS('Key Inputs_BY Techs'!AG:AG,'Key Inputs_BY Techs'!$A:$A,'RSD_BY Techs'!$L62,'Key Inputs_BY Techs'!$C:$C,'RSD_BY Techs'!$B62,'Key Inputs_BY Techs'!$E:$E,'RSD_BY Techs'!$D62)</f>
        <v>0.72320888520081605</v>
      </c>
      <c r="AN62" s="211">
        <f>SUMIFS('Key Inputs_BY Techs'!AH:AH,'Key Inputs_BY Techs'!$A:$A,'RSD_BY Techs'!$L62,'Key Inputs_BY Techs'!$C:$C,'RSD_BY Techs'!$B62,'Key Inputs_BY Techs'!$E:$E,'RSD_BY Techs'!$D62)</f>
        <v>0.72320888520081605</v>
      </c>
      <c r="AO62" s="211">
        <f>SUMIFS('Key Inputs_BY Techs'!AI:AI,'Key Inputs_BY Techs'!$A:$A,'RSD_BY Techs'!$L62,'Key Inputs_BY Techs'!$C:$C,'RSD_BY Techs'!$B62,'Key Inputs_BY Techs'!$E:$E,'RSD_BY Techs'!$D62)</f>
        <v>0.72320888520081605</v>
      </c>
      <c r="AP62" s="211">
        <f>SUMIFS('Key Inputs_BY Techs'!AJ:AJ,'Key Inputs_BY Techs'!$A:$A,'RSD_BY Techs'!$L62,'Key Inputs_BY Techs'!$C:$C,'RSD_BY Techs'!$B62,'Key Inputs_BY Techs'!$E:$E,'RSD_BY Techs'!$D62)</f>
        <v>0.72320888520081605</v>
      </c>
    </row>
    <row r="63" spans="1:42" x14ac:dyDescent="0.25">
      <c r="A63" s="254" t="s">
        <v>122</v>
      </c>
      <c r="B63" s="254" t="s">
        <v>468</v>
      </c>
      <c r="C63" s="254" t="str">
        <f>Legend!$A$68</f>
        <v>Heat</v>
      </c>
      <c r="D63" s="254" t="str">
        <f>Legend!$B$68</f>
        <v>RSDHET</v>
      </c>
      <c r="E63" s="254" t="str">
        <f t="shared" si="20"/>
        <v>RSDHET</v>
      </c>
      <c r="F63" s="254"/>
      <c r="G63" s="254"/>
      <c r="I63" s="211" t="str">
        <f t="shared" si="21"/>
        <v>R-THL-HEX_HET00</v>
      </c>
      <c r="J63" s="211" t="str">
        <f t="shared" si="21"/>
        <v>RSD Thermal uses technology: Heat - Existing</v>
      </c>
      <c r="K63" s="211"/>
      <c r="L63" s="211" t="s">
        <v>37</v>
      </c>
      <c r="M63" s="211" t="s">
        <v>174</v>
      </c>
      <c r="N63" s="211"/>
      <c r="O63" s="211">
        <f>SUMIFS('Key Inputs_BY Techs'!I:I,'Key Inputs_BY Techs'!$A:$A,'RSD_BY Techs'!$L63,'Key Inputs_BY Techs'!$C:$C,'RSD_BY Techs'!$B63,'Key Inputs_BY Techs'!$E:$E,'RSD_BY Techs'!$D63)</f>
        <v>0.72320888520081605</v>
      </c>
      <c r="P63" s="211">
        <f>SUMIFS('Key Inputs_BY Techs'!J:J,'Key Inputs_BY Techs'!$A:$A,'RSD_BY Techs'!$L63,'Key Inputs_BY Techs'!$C:$C,'RSD_BY Techs'!$B63,'Key Inputs_BY Techs'!$E:$E,'RSD_BY Techs'!$D63)</f>
        <v>0.72320888520081605</v>
      </c>
      <c r="Q63" s="211">
        <f>SUMIFS('Key Inputs_BY Techs'!K:K,'Key Inputs_BY Techs'!$A:$A,'RSD_BY Techs'!$L63,'Key Inputs_BY Techs'!$C:$C,'RSD_BY Techs'!$B63,'Key Inputs_BY Techs'!$E:$E,'RSD_BY Techs'!$D63)</f>
        <v>0.72320888520081605</v>
      </c>
      <c r="R63" s="211">
        <f>SUMIFS('Key Inputs_BY Techs'!L:L,'Key Inputs_BY Techs'!$A:$A,'RSD_BY Techs'!$L63,'Key Inputs_BY Techs'!$C:$C,'RSD_BY Techs'!$B63,'Key Inputs_BY Techs'!$E:$E,'RSD_BY Techs'!$D63)</f>
        <v>0.72320888520081605</v>
      </c>
      <c r="S63" s="211">
        <f>SUMIFS('Key Inputs_BY Techs'!M:M,'Key Inputs_BY Techs'!$A:$A,'RSD_BY Techs'!$L63,'Key Inputs_BY Techs'!$C:$C,'RSD_BY Techs'!$B63,'Key Inputs_BY Techs'!$E:$E,'RSD_BY Techs'!$D63)</f>
        <v>0.72320888520081605</v>
      </c>
      <c r="T63" s="211">
        <f>SUMIFS('Key Inputs_BY Techs'!N:N,'Key Inputs_BY Techs'!$A:$A,'RSD_BY Techs'!$L63,'Key Inputs_BY Techs'!$C:$C,'RSD_BY Techs'!$B63,'Key Inputs_BY Techs'!$E:$E,'RSD_BY Techs'!$D63)</f>
        <v>0.72320888520081605</v>
      </c>
      <c r="U63" s="211">
        <f>SUMIFS('Key Inputs_BY Techs'!O:O,'Key Inputs_BY Techs'!$A:$A,'RSD_BY Techs'!$L63,'Key Inputs_BY Techs'!$C:$C,'RSD_BY Techs'!$B63,'Key Inputs_BY Techs'!$E:$E,'RSD_BY Techs'!$D63)</f>
        <v>0.72320888520081605</v>
      </c>
      <c r="V63" s="211">
        <f>SUMIFS('Key Inputs_BY Techs'!P:P,'Key Inputs_BY Techs'!$A:$A,'RSD_BY Techs'!$L63,'Key Inputs_BY Techs'!$C:$C,'RSD_BY Techs'!$B63,'Key Inputs_BY Techs'!$E:$E,'RSD_BY Techs'!$D63)</f>
        <v>0.72320888520081605</v>
      </c>
      <c r="W63" s="211">
        <f>SUMIFS('Key Inputs_BY Techs'!Q:Q,'Key Inputs_BY Techs'!$A:$A,'RSD_BY Techs'!$L63,'Key Inputs_BY Techs'!$C:$C,'RSD_BY Techs'!$B63,'Key Inputs_BY Techs'!$E:$E,'RSD_BY Techs'!$D63)</f>
        <v>0.72320888520081605</v>
      </c>
      <c r="X63" s="211">
        <f>SUMIFS('Key Inputs_BY Techs'!R:R,'Key Inputs_BY Techs'!$A:$A,'RSD_BY Techs'!$L63,'Key Inputs_BY Techs'!$C:$C,'RSD_BY Techs'!$B63,'Key Inputs_BY Techs'!$E:$E,'RSD_BY Techs'!$D63)</f>
        <v>0.72320888520081605</v>
      </c>
      <c r="Y63" s="211">
        <f>SUMIFS('Key Inputs_BY Techs'!S:S,'Key Inputs_BY Techs'!$A:$A,'RSD_BY Techs'!$L63,'Key Inputs_BY Techs'!$C:$C,'RSD_BY Techs'!$B63,'Key Inputs_BY Techs'!$E:$E,'RSD_BY Techs'!$D63)</f>
        <v>0.72320888520081605</v>
      </c>
      <c r="Z63" s="211">
        <f>SUMIFS('Key Inputs_BY Techs'!T:T,'Key Inputs_BY Techs'!$A:$A,'RSD_BY Techs'!$L63,'Key Inputs_BY Techs'!$C:$C,'RSD_BY Techs'!$B63,'Key Inputs_BY Techs'!$E:$E,'RSD_BY Techs'!$D63)</f>
        <v>0.72320888520081605</v>
      </c>
      <c r="AA63" s="211">
        <f>SUMIFS('Key Inputs_BY Techs'!U:U,'Key Inputs_BY Techs'!$A:$A,'RSD_BY Techs'!$L63,'Key Inputs_BY Techs'!$C:$C,'RSD_BY Techs'!$B63,'Key Inputs_BY Techs'!$E:$E,'RSD_BY Techs'!$D63)</f>
        <v>0.72320888520081605</v>
      </c>
      <c r="AB63" s="211">
        <f>SUMIFS('Key Inputs_BY Techs'!V:V,'Key Inputs_BY Techs'!$A:$A,'RSD_BY Techs'!$L63,'Key Inputs_BY Techs'!$C:$C,'RSD_BY Techs'!$B63,'Key Inputs_BY Techs'!$E:$E,'RSD_BY Techs'!$D63)</f>
        <v>0.72320888520081605</v>
      </c>
      <c r="AC63" s="211">
        <f>SUMIFS('Key Inputs_BY Techs'!W:W,'Key Inputs_BY Techs'!$A:$A,'RSD_BY Techs'!$L63,'Key Inputs_BY Techs'!$C:$C,'RSD_BY Techs'!$B63,'Key Inputs_BY Techs'!$E:$E,'RSD_BY Techs'!$D63)</f>
        <v>0.72320888520081605</v>
      </c>
      <c r="AD63" s="211">
        <f>SUMIFS('Key Inputs_BY Techs'!X:X,'Key Inputs_BY Techs'!$A:$A,'RSD_BY Techs'!$L63,'Key Inputs_BY Techs'!$C:$C,'RSD_BY Techs'!$B63,'Key Inputs_BY Techs'!$E:$E,'RSD_BY Techs'!$D63)</f>
        <v>0.72320888520081605</v>
      </c>
      <c r="AE63" s="211">
        <f>SUMIFS('Key Inputs_BY Techs'!Y:Y,'Key Inputs_BY Techs'!$A:$A,'RSD_BY Techs'!$L63,'Key Inputs_BY Techs'!$C:$C,'RSD_BY Techs'!$B63,'Key Inputs_BY Techs'!$E:$E,'RSD_BY Techs'!$D63)</f>
        <v>0.72320888520081605</v>
      </c>
      <c r="AF63" s="211">
        <f>SUMIFS('Key Inputs_BY Techs'!Z:Z,'Key Inputs_BY Techs'!$A:$A,'RSD_BY Techs'!$L63,'Key Inputs_BY Techs'!$C:$C,'RSD_BY Techs'!$B63,'Key Inputs_BY Techs'!$E:$E,'RSD_BY Techs'!$D63)</f>
        <v>0.72320888520081605</v>
      </c>
      <c r="AG63" s="211">
        <f>SUMIFS('Key Inputs_BY Techs'!AA:AA,'Key Inputs_BY Techs'!$A:$A,'RSD_BY Techs'!$L63,'Key Inputs_BY Techs'!$C:$C,'RSD_BY Techs'!$B63,'Key Inputs_BY Techs'!$E:$E,'RSD_BY Techs'!$D63)</f>
        <v>0.72320888520081605</v>
      </c>
      <c r="AH63" s="211">
        <f>SUMIFS('Key Inputs_BY Techs'!AB:AB,'Key Inputs_BY Techs'!$A:$A,'RSD_BY Techs'!$L63,'Key Inputs_BY Techs'!$C:$C,'RSD_BY Techs'!$B63,'Key Inputs_BY Techs'!$E:$E,'RSD_BY Techs'!$D63)</f>
        <v>0.72320888520081605</v>
      </c>
      <c r="AI63" s="211">
        <f>SUMIFS('Key Inputs_BY Techs'!AC:AC,'Key Inputs_BY Techs'!$A:$A,'RSD_BY Techs'!$L63,'Key Inputs_BY Techs'!$C:$C,'RSD_BY Techs'!$B63,'Key Inputs_BY Techs'!$E:$E,'RSD_BY Techs'!$D63)</f>
        <v>0.72320888520081605</v>
      </c>
      <c r="AJ63" s="211">
        <f>SUMIFS('Key Inputs_BY Techs'!AD:AD,'Key Inputs_BY Techs'!$A:$A,'RSD_BY Techs'!$L63,'Key Inputs_BY Techs'!$C:$C,'RSD_BY Techs'!$B63,'Key Inputs_BY Techs'!$E:$E,'RSD_BY Techs'!$D63)</f>
        <v>0.72320888520081605</v>
      </c>
      <c r="AK63" s="211">
        <f>SUMIFS('Key Inputs_BY Techs'!AE:AE,'Key Inputs_BY Techs'!$A:$A,'RSD_BY Techs'!$L63,'Key Inputs_BY Techs'!$C:$C,'RSD_BY Techs'!$B63,'Key Inputs_BY Techs'!$E:$E,'RSD_BY Techs'!$D63)</f>
        <v>0.72320888520081605</v>
      </c>
      <c r="AL63" s="211">
        <f>SUMIFS('Key Inputs_BY Techs'!AF:AF,'Key Inputs_BY Techs'!$A:$A,'RSD_BY Techs'!$L63,'Key Inputs_BY Techs'!$C:$C,'RSD_BY Techs'!$B63,'Key Inputs_BY Techs'!$E:$E,'RSD_BY Techs'!$D63)</f>
        <v>0.72320888520081605</v>
      </c>
      <c r="AM63" s="211">
        <f>SUMIFS('Key Inputs_BY Techs'!AG:AG,'Key Inputs_BY Techs'!$A:$A,'RSD_BY Techs'!$L63,'Key Inputs_BY Techs'!$C:$C,'RSD_BY Techs'!$B63,'Key Inputs_BY Techs'!$E:$E,'RSD_BY Techs'!$D63)</f>
        <v>0.72320888520081605</v>
      </c>
      <c r="AN63" s="211">
        <f>SUMIFS('Key Inputs_BY Techs'!AH:AH,'Key Inputs_BY Techs'!$A:$A,'RSD_BY Techs'!$L63,'Key Inputs_BY Techs'!$C:$C,'RSD_BY Techs'!$B63,'Key Inputs_BY Techs'!$E:$E,'RSD_BY Techs'!$D63)</f>
        <v>0.72320888520081605</v>
      </c>
      <c r="AO63" s="211">
        <f>SUMIFS('Key Inputs_BY Techs'!AI:AI,'Key Inputs_BY Techs'!$A:$A,'RSD_BY Techs'!$L63,'Key Inputs_BY Techs'!$C:$C,'RSD_BY Techs'!$B63,'Key Inputs_BY Techs'!$E:$E,'RSD_BY Techs'!$D63)</f>
        <v>0.72320888520081605</v>
      </c>
      <c r="AP63" s="211">
        <f>SUMIFS('Key Inputs_BY Techs'!AJ:AJ,'Key Inputs_BY Techs'!$A:$A,'RSD_BY Techs'!$L63,'Key Inputs_BY Techs'!$C:$C,'RSD_BY Techs'!$B63,'Key Inputs_BY Techs'!$E:$E,'RSD_BY Techs'!$D63)</f>
        <v>0.72320888520081605</v>
      </c>
    </row>
    <row r="64" spans="1:42" x14ac:dyDescent="0.25">
      <c r="A64" s="254" t="s">
        <v>122</v>
      </c>
      <c r="B64" s="254" t="s">
        <v>468</v>
      </c>
      <c r="C64" s="254" t="str">
        <f>Legend!$A$70</f>
        <v>LPG</v>
      </c>
      <c r="D64" s="254" t="str">
        <f>Legend!$B$70</f>
        <v>RSDLPG</v>
      </c>
      <c r="E64" s="254" t="str">
        <f t="shared" si="20"/>
        <v>RSDLPG</v>
      </c>
      <c r="F64" s="254"/>
      <c r="G64" s="254"/>
      <c r="I64" s="211" t="str">
        <f t="shared" si="21"/>
        <v>R-THL-BLR_LPG00</v>
      </c>
      <c r="J64" s="211" t="str">
        <f t="shared" si="21"/>
        <v>RSD Thermal uses technology: LPG - Existing</v>
      </c>
      <c r="K64" s="211"/>
      <c r="L64" s="211" t="s">
        <v>37</v>
      </c>
      <c r="M64" s="211" t="s">
        <v>174</v>
      </c>
      <c r="N64" s="211"/>
      <c r="O64" s="211">
        <f>SUMIFS('Key Inputs_BY Techs'!I:I,'Key Inputs_BY Techs'!$A:$A,'RSD_BY Techs'!$L64,'Key Inputs_BY Techs'!$C:$C,'RSD_BY Techs'!$B64,'Key Inputs_BY Techs'!$E:$E,'RSD_BY Techs'!$D64)</f>
        <v>0.94340000000000002</v>
      </c>
      <c r="P64" s="211">
        <f>SUMIFS('Key Inputs_BY Techs'!J:J,'Key Inputs_BY Techs'!$A:$A,'RSD_BY Techs'!$L64,'Key Inputs_BY Techs'!$C:$C,'RSD_BY Techs'!$B64,'Key Inputs_BY Techs'!$E:$E,'RSD_BY Techs'!$D64)</f>
        <v>0.94340000000000002</v>
      </c>
      <c r="Q64" s="211">
        <f>SUMIFS('Key Inputs_BY Techs'!K:K,'Key Inputs_BY Techs'!$A:$A,'RSD_BY Techs'!$L64,'Key Inputs_BY Techs'!$C:$C,'RSD_BY Techs'!$B64,'Key Inputs_BY Techs'!$E:$E,'RSD_BY Techs'!$D64)</f>
        <v>0.94340000000000002</v>
      </c>
      <c r="R64" s="211">
        <f>SUMIFS('Key Inputs_BY Techs'!L:L,'Key Inputs_BY Techs'!$A:$A,'RSD_BY Techs'!$L64,'Key Inputs_BY Techs'!$C:$C,'RSD_BY Techs'!$B64,'Key Inputs_BY Techs'!$E:$E,'RSD_BY Techs'!$D64)</f>
        <v>0.94340000000000002</v>
      </c>
      <c r="S64" s="211">
        <f>SUMIFS('Key Inputs_BY Techs'!M:M,'Key Inputs_BY Techs'!$A:$A,'RSD_BY Techs'!$L64,'Key Inputs_BY Techs'!$C:$C,'RSD_BY Techs'!$B64,'Key Inputs_BY Techs'!$E:$E,'RSD_BY Techs'!$D64)</f>
        <v>0.94340000000000002</v>
      </c>
      <c r="T64" s="211">
        <f>SUMIFS('Key Inputs_BY Techs'!N:N,'Key Inputs_BY Techs'!$A:$A,'RSD_BY Techs'!$L64,'Key Inputs_BY Techs'!$C:$C,'RSD_BY Techs'!$B64,'Key Inputs_BY Techs'!$E:$E,'RSD_BY Techs'!$D64)</f>
        <v>0.94340000000000002</v>
      </c>
      <c r="U64" s="211">
        <f>SUMIFS('Key Inputs_BY Techs'!O:O,'Key Inputs_BY Techs'!$A:$A,'RSD_BY Techs'!$L64,'Key Inputs_BY Techs'!$C:$C,'RSD_BY Techs'!$B64,'Key Inputs_BY Techs'!$E:$E,'RSD_BY Techs'!$D64)</f>
        <v>0.94340000000000002</v>
      </c>
      <c r="V64" s="211">
        <f>SUMIFS('Key Inputs_BY Techs'!P:P,'Key Inputs_BY Techs'!$A:$A,'RSD_BY Techs'!$L64,'Key Inputs_BY Techs'!$C:$C,'RSD_BY Techs'!$B64,'Key Inputs_BY Techs'!$E:$E,'RSD_BY Techs'!$D64)</f>
        <v>0.94340000000000002</v>
      </c>
      <c r="W64" s="211">
        <f>SUMIFS('Key Inputs_BY Techs'!Q:Q,'Key Inputs_BY Techs'!$A:$A,'RSD_BY Techs'!$L64,'Key Inputs_BY Techs'!$C:$C,'RSD_BY Techs'!$B64,'Key Inputs_BY Techs'!$E:$E,'RSD_BY Techs'!$D64)</f>
        <v>0.94340000000000002</v>
      </c>
      <c r="X64" s="211">
        <f>SUMIFS('Key Inputs_BY Techs'!R:R,'Key Inputs_BY Techs'!$A:$A,'RSD_BY Techs'!$L64,'Key Inputs_BY Techs'!$C:$C,'RSD_BY Techs'!$B64,'Key Inputs_BY Techs'!$E:$E,'RSD_BY Techs'!$D64)</f>
        <v>0.94340000000000002</v>
      </c>
      <c r="Y64" s="211">
        <f>SUMIFS('Key Inputs_BY Techs'!S:S,'Key Inputs_BY Techs'!$A:$A,'RSD_BY Techs'!$L64,'Key Inputs_BY Techs'!$C:$C,'RSD_BY Techs'!$B64,'Key Inputs_BY Techs'!$E:$E,'RSD_BY Techs'!$D64)</f>
        <v>0.94340000000000002</v>
      </c>
      <c r="Z64" s="211">
        <f>SUMIFS('Key Inputs_BY Techs'!T:T,'Key Inputs_BY Techs'!$A:$A,'RSD_BY Techs'!$L64,'Key Inputs_BY Techs'!$C:$C,'RSD_BY Techs'!$B64,'Key Inputs_BY Techs'!$E:$E,'RSD_BY Techs'!$D64)</f>
        <v>0.94340000000000002</v>
      </c>
      <c r="AA64" s="211">
        <f>SUMIFS('Key Inputs_BY Techs'!U:U,'Key Inputs_BY Techs'!$A:$A,'RSD_BY Techs'!$L64,'Key Inputs_BY Techs'!$C:$C,'RSD_BY Techs'!$B64,'Key Inputs_BY Techs'!$E:$E,'RSD_BY Techs'!$D64)</f>
        <v>0.94340000000000002</v>
      </c>
      <c r="AB64" s="211">
        <f>SUMIFS('Key Inputs_BY Techs'!V:V,'Key Inputs_BY Techs'!$A:$A,'RSD_BY Techs'!$L64,'Key Inputs_BY Techs'!$C:$C,'RSD_BY Techs'!$B64,'Key Inputs_BY Techs'!$E:$E,'RSD_BY Techs'!$D64)</f>
        <v>0.94340000000000002</v>
      </c>
      <c r="AC64" s="211">
        <f>SUMIFS('Key Inputs_BY Techs'!W:W,'Key Inputs_BY Techs'!$A:$A,'RSD_BY Techs'!$L64,'Key Inputs_BY Techs'!$C:$C,'RSD_BY Techs'!$B64,'Key Inputs_BY Techs'!$E:$E,'RSD_BY Techs'!$D64)</f>
        <v>0.94340000000000002</v>
      </c>
      <c r="AD64" s="211">
        <f>SUMIFS('Key Inputs_BY Techs'!X:X,'Key Inputs_BY Techs'!$A:$A,'RSD_BY Techs'!$L64,'Key Inputs_BY Techs'!$C:$C,'RSD_BY Techs'!$B64,'Key Inputs_BY Techs'!$E:$E,'RSD_BY Techs'!$D64)</f>
        <v>0.94340000000000002</v>
      </c>
      <c r="AE64" s="211">
        <f>SUMIFS('Key Inputs_BY Techs'!Y:Y,'Key Inputs_BY Techs'!$A:$A,'RSD_BY Techs'!$L64,'Key Inputs_BY Techs'!$C:$C,'RSD_BY Techs'!$B64,'Key Inputs_BY Techs'!$E:$E,'RSD_BY Techs'!$D64)</f>
        <v>0.94340000000000002</v>
      </c>
      <c r="AF64" s="211">
        <f>SUMIFS('Key Inputs_BY Techs'!Z:Z,'Key Inputs_BY Techs'!$A:$A,'RSD_BY Techs'!$L64,'Key Inputs_BY Techs'!$C:$C,'RSD_BY Techs'!$B64,'Key Inputs_BY Techs'!$E:$E,'RSD_BY Techs'!$D64)</f>
        <v>0.94340000000000002</v>
      </c>
      <c r="AG64" s="211">
        <f>SUMIFS('Key Inputs_BY Techs'!AA:AA,'Key Inputs_BY Techs'!$A:$A,'RSD_BY Techs'!$L64,'Key Inputs_BY Techs'!$C:$C,'RSD_BY Techs'!$B64,'Key Inputs_BY Techs'!$E:$E,'RSD_BY Techs'!$D64)</f>
        <v>0.94340000000000002</v>
      </c>
      <c r="AH64" s="211">
        <f>SUMIFS('Key Inputs_BY Techs'!AB:AB,'Key Inputs_BY Techs'!$A:$A,'RSD_BY Techs'!$L64,'Key Inputs_BY Techs'!$C:$C,'RSD_BY Techs'!$B64,'Key Inputs_BY Techs'!$E:$E,'RSD_BY Techs'!$D64)</f>
        <v>0.94340000000000002</v>
      </c>
      <c r="AI64" s="211">
        <f>SUMIFS('Key Inputs_BY Techs'!AC:AC,'Key Inputs_BY Techs'!$A:$A,'RSD_BY Techs'!$L64,'Key Inputs_BY Techs'!$C:$C,'RSD_BY Techs'!$B64,'Key Inputs_BY Techs'!$E:$E,'RSD_BY Techs'!$D64)</f>
        <v>0.94340000000000002</v>
      </c>
      <c r="AJ64" s="211">
        <f>SUMIFS('Key Inputs_BY Techs'!AD:AD,'Key Inputs_BY Techs'!$A:$A,'RSD_BY Techs'!$L64,'Key Inputs_BY Techs'!$C:$C,'RSD_BY Techs'!$B64,'Key Inputs_BY Techs'!$E:$E,'RSD_BY Techs'!$D64)</f>
        <v>0.94340000000000002</v>
      </c>
      <c r="AK64" s="211">
        <f>SUMIFS('Key Inputs_BY Techs'!AE:AE,'Key Inputs_BY Techs'!$A:$A,'RSD_BY Techs'!$L64,'Key Inputs_BY Techs'!$C:$C,'RSD_BY Techs'!$B64,'Key Inputs_BY Techs'!$E:$E,'RSD_BY Techs'!$D64)</f>
        <v>0.94340000000000002</v>
      </c>
      <c r="AL64" s="211">
        <f>SUMIFS('Key Inputs_BY Techs'!AF:AF,'Key Inputs_BY Techs'!$A:$A,'RSD_BY Techs'!$L64,'Key Inputs_BY Techs'!$C:$C,'RSD_BY Techs'!$B64,'Key Inputs_BY Techs'!$E:$E,'RSD_BY Techs'!$D64)</f>
        <v>0.94340000000000002</v>
      </c>
      <c r="AM64" s="211">
        <f>SUMIFS('Key Inputs_BY Techs'!AG:AG,'Key Inputs_BY Techs'!$A:$A,'RSD_BY Techs'!$L64,'Key Inputs_BY Techs'!$C:$C,'RSD_BY Techs'!$B64,'Key Inputs_BY Techs'!$E:$E,'RSD_BY Techs'!$D64)</f>
        <v>0.94340000000000002</v>
      </c>
      <c r="AN64" s="211">
        <f>SUMIFS('Key Inputs_BY Techs'!AH:AH,'Key Inputs_BY Techs'!$A:$A,'RSD_BY Techs'!$L64,'Key Inputs_BY Techs'!$C:$C,'RSD_BY Techs'!$B64,'Key Inputs_BY Techs'!$E:$E,'RSD_BY Techs'!$D64)</f>
        <v>0.94340000000000002</v>
      </c>
      <c r="AO64" s="211">
        <f>SUMIFS('Key Inputs_BY Techs'!AI:AI,'Key Inputs_BY Techs'!$A:$A,'RSD_BY Techs'!$L64,'Key Inputs_BY Techs'!$C:$C,'RSD_BY Techs'!$B64,'Key Inputs_BY Techs'!$E:$E,'RSD_BY Techs'!$D64)</f>
        <v>0.94340000000000002</v>
      </c>
      <c r="AP64" s="211">
        <f>SUMIFS('Key Inputs_BY Techs'!AJ:AJ,'Key Inputs_BY Techs'!$A:$A,'RSD_BY Techs'!$L64,'Key Inputs_BY Techs'!$C:$C,'RSD_BY Techs'!$B64,'Key Inputs_BY Techs'!$E:$E,'RSD_BY Techs'!$D64)</f>
        <v>0.94340000000000002</v>
      </c>
    </row>
    <row r="65" spans="1:42" x14ac:dyDescent="0.25">
      <c r="A65" s="254" t="s">
        <v>122</v>
      </c>
      <c r="B65" s="254" t="s">
        <v>468</v>
      </c>
      <c r="C65" s="254" t="str">
        <f>Legend!$A$73&amp;", "&amp;Legend!$A$69</f>
        <v>Oil, Liquid biofuels</v>
      </c>
      <c r="D65" s="254" t="str">
        <f>Legend!$B$73&amp;", "&amp;Legend!$B$69</f>
        <v>RSDOIL, RSDBLQ</v>
      </c>
      <c r="E65" s="254" t="str">
        <f t="shared" si="20"/>
        <v>RSDOIL</v>
      </c>
      <c r="F65" s="254"/>
      <c r="G65" s="254"/>
      <c r="I65" s="211" t="str">
        <f t="shared" si="21"/>
        <v>R-THL-BLR_OIL00</v>
      </c>
      <c r="J65" s="211" t="str">
        <f t="shared" si="21"/>
        <v>RSD Thermal uses technology: Oil, Liquid biofuels - Existing</v>
      </c>
      <c r="K65" s="211"/>
      <c r="L65" s="211" t="s">
        <v>37</v>
      </c>
      <c r="M65" s="211" t="s">
        <v>174</v>
      </c>
      <c r="N65" s="211"/>
      <c r="O65" s="211">
        <f>SUMIFS('Key Inputs_BY Techs'!I:I,'Key Inputs_BY Techs'!$A:$A,'RSD_BY Techs'!$L65,'Key Inputs_BY Techs'!$C:$C,'RSD_BY Techs'!$B65,'Key Inputs_BY Techs'!$E:$E,'RSD_BY Techs'!$D65)</f>
        <v>0.94340000000000002</v>
      </c>
      <c r="P65" s="211">
        <f>SUMIFS('Key Inputs_BY Techs'!J:J,'Key Inputs_BY Techs'!$A:$A,'RSD_BY Techs'!$L65,'Key Inputs_BY Techs'!$C:$C,'RSD_BY Techs'!$B65,'Key Inputs_BY Techs'!$E:$E,'RSD_BY Techs'!$D65)</f>
        <v>0.94340000000000002</v>
      </c>
      <c r="Q65" s="211">
        <f>SUMIFS('Key Inputs_BY Techs'!K:K,'Key Inputs_BY Techs'!$A:$A,'RSD_BY Techs'!$L65,'Key Inputs_BY Techs'!$C:$C,'RSD_BY Techs'!$B65,'Key Inputs_BY Techs'!$E:$E,'RSD_BY Techs'!$D65)</f>
        <v>0.94340000000000002</v>
      </c>
      <c r="R65" s="211">
        <f>SUMIFS('Key Inputs_BY Techs'!L:L,'Key Inputs_BY Techs'!$A:$A,'RSD_BY Techs'!$L65,'Key Inputs_BY Techs'!$C:$C,'RSD_BY Techs'!$B65,'Key Inputs_BY Techs'!$E:$E,'RSD_BY Techs'!$D65)</f>
        <v>0.94340000000000002</v>
      </c>
      <c r="S65" s="211">
        <f>SUMIFS('Key Inputs_BY Techs'!M:M,'Key Inputs_BY Techs'!$A:$A,'RSD_BY Techs'!$L65,'Key Inputs_BY Techs'!$C:$C,'RSD_BY Techs'!$B65,'Key Inputs_BY Techs'!$E:$E,'RSD_BY Techs'!$D65)</f>
        <v>0.94340000000000002</v>
      </c>
      <c r="T65" s="211">
        <f>SUMIFS('Key Inputs_BY Techs'!N:N,'Key Inputs_BY Techs'!$A:$A,'RSD_BY Techs'!$L65,'Key Inputs_BY Techs'!$C:$C,'RSD_BY Techs'!$B65,'Key Inputs_BY Techs'!$E:$E,'RSD_BY Techs'!$D65)</f>
        <v>0.94340000000000002</v>
      </c>
      <c r="U65" s="211">
        <f>SUMIFS('Key Inputs_BY Techs'!O:O,'Key Inputs_BY Techs'!$A:$A,'RSD_BY Techs'!$L65,'Key Inputs_BY Techs'!$C:$C,'RSD_BY Techs'!$B65,'Key Inputs_BY Techs'!$E:$E,'RSD_BY Techs'!$D65)</f>
        <v>0.94340000000000002</v>
      </c>
      <c r="V65" s="211">
        <f>SUMIFS('Key Inputs_BY Techs'!P:P,'Key Inputs_BY Techs'!$A:$A,'RSD_BY Techs'!$L65,'Key Inputs_BY Techs'!$C:$C,'RSD_BY Techs'!$B65,'Key Inputs_BY Techs'!$E:$E,'RSD_BY Techs'!$D65)</f>
        <v>0.94340000000000002</v>
      </c>
      <c r="W65" s="211">
        <f>SUMIFS('Key Inputs_BY Techs'!Q:Q,'Key Inputs_BY Techs'!$A:$A,'RSD_BY Techs'!$L65,'Key Inputs_BY Techs'!$C:$C,'RSD_BY Techs'!$B65,'Key Inputs_BY Techs'!$E:$E,'RSD_BY Techs'!$D65)</f>
        <v>0.94340000000000002</v>
      </c>
      <c r="X65" s="211">
        <f>SUMIFS('Key Inputs_BY Techs'!R:R,'Key Inputs_BY Techs'!$A:$A,'RSD_BY Techs'!$L65,'Key Inputs_BY Techs'!$C:$C,'RSD_BY Techs'!$B65,'Key Inputs_BY Techs'!$E:$E,'RSD_BY Techs'!$D65)</f>
        <v>0.94340000000000002</v>
      </c>
      <c r="Y65" s="211">
        <f>SUMIFS('Key Inputs_BY Techs'!S:S,'Key Inputs_BY Techs'!$A:$A,'RSD_BY Techs'!$L65,'Key Inputs_BY Techs'!$C:$C,'RSD_BY Techs'!$B65,'Key Inputs_BY Techs'!$E:$E,'RSD_BY Techs'!$D65)</f>
        <v>0.94340000000000002</v>
      </c>
      <c r="Z65" s="211">
        <f>SUMIFS('Key Inputs_BY Techs'!T:T,'Key Inputs_BY Techs'!$A:$A,'RSD_BY Techs'!$L65,'Key Inputs_BY Techs'!$C:$C,'RSD_BY Techs'!$B65,'Key Inputs_BY Techs'!$E:$E,'RSD_BY Techs'!$D65)</f>
        <v>0.94340000000000002</v>
      </c>
      <c r="AA65" s="211">
        <f>SUMIFS('Key Inputs_BY Techs'!U:U,'Key Inputs_BY Techs'!$A:$A,'RSD_BY Techs'!$L65,'Key Inputs_BY Techs'!$C:$C,'RSD_BY Techs'!$B65,'Key Inputs_BY Techs'!$E:$E,'RSD_BY Techs'!$D65)</f>
        <v>0.94340000000000002</v>
      </c>
      <c r="AB65" s="211">
        <f>SUMIFS('Key Inputs_BY Techs'!V:V,'Key Inputs_BY Techs'!$A:$A,'RSD_BY Techs'!$L65,'Key Inputs_BY Techs'!$C:$C,'RSD_BY Techs'!$B65,'Key Inputs_BY Techs'!$E:$E,'RSD_BY Techs'!$D65)</f>
        <v>0.94340000000000002</v>
      </c>
      <c r="AC65" s="211">
        <f>SUMIFS('Key Inputs_BY Techs'!W:W,'Key Inputs_BY Techs'!$A:$A,'RSD_BY Techs'!$L65,'Key Inputs_BY Techs'!$C:$C,'RSD_BY Techs'!$B65,'Key Inputs_BY Techs'!$E:$E,'RSD_BY Techs'!$D65)</f>
        <v>0.94340000000000002</v>
      </c>
      <c r="AD65" s="211">
        <f>SUMIFS('Key Inputs_BY Techs'!X:X,'Key Inputs_BY Techs'!$A:$A,'RSD_BY Techs'!$L65,'Key Inputs_BY Techs'!$C:$C,'RSD_BY Techs'!$B65,'Key Inputs_BY Techs'!$E:$E,'RSD_BY Techs'!$D65)</f>
        <v>0.94340000000000002</v>
      </c>
      <c r="AE65" s="211">
        <f>SUMIFS('Key Inputs_BY Techs'!Y:Y,'Key Inputs_BY Techs'!$A:$A,'RSD_BY Techs'!$L65,'Key Inputs_BY Techs'!$C:$C,'RSD_BY Techs'!$B65,'Key Inputs_BY Techs'!$E:$E,'RSD_BY Techs'!$D65)</f>
        <v>0.94340000000000002</v>
      </c>
      <c r="AF65" s="211">
        <f>SUMIFS('Key Inputs_BY Techs'!Z:Z,'Key Inputs_BY Techs'!$A:$A,'RSD_BY Techs'!$L65,'Key Inputs_BY Techs'!$C:$C,'RSD_BY Techs'!$B65,'Key Inputs_BY Techs'!$E:$E,'RSD_BY Techs'!$D65)</f>
        <v>0.94340000000000002</v>
      </c>
      <c r="AG65" s="211">
        <f>SUMIFS('Key Inputs_BY Techs'!AA:AA,'Key Inputs_BY Techs'!$A:$A,'RSD_BY Techs'!$L65,'Key Inputs_BY Techs'!$C:$C,'RSD_BY Techs'!$B65,'Key Inputs_BY Techs'!$E:$E,'RSD_BY Techs'!$D65)</f>
        <v>0.94340000000000002</v>
      </c>
      <c r="AH65" s="211">
        <f>SUMIFS('Key Inputs_BY Techs'!AB:AB,'Key Inputs_BY Techs'!$A:$A,'RSD_BY Techs'!$L65,'Key Inputs_BY Techs'!$C:$C,'RSD_BY Techs'!$B65,'Key Inputs_BY Techs'!$E:$E,'RSD_BY Techs'!$D65)</f>
        <v>0.94340000000000002</v>
      </c>
      <c r="AI65" s="211">
        <f>SUMIFS('Key Inputs_BY Techs'!AC:AC,'Key Inputs_BY Techs'!$A:$A,'RSD_BY Techs'!$L65,'Key Inputs_BY Techs'!$C:$C,'RSD_BY Techs'!$B65,'Key Inputs_BY Techs'!$E:$E,'RSD_BY Techs'!$D65)</f>
        <v>0.94340000000000002</v>
      </c>
      <c r="AJ65" s="211">
        <f>SUMIFS('Key Inputs_BY Techs'!AD:AD,'Key Inputs_BY Techs'!$A:$A,'RSD_BY Techs'!$L65,'Key Inputs_BY Techs'!$C:$C,'RSD_BY Techs'!$B65,'Key Inputs_BY Techs'!$E:$E,'RSD_BY Techs'!$D65)</f>
        <v>0.94340000000000002</v>
      </c>
      <c r="AK65" s="211">
        <f>SUMIFS('Key Inputs_BY Techs'!AE:AE,'Key Inputs_BY Techs'!$A:$A,'RSD_BY Techs'!$L65,'Key Inputs_BY Techs'!$C:$C,'RSD_BY Techs'!$B65,'Key Inputs_BY Techs'!$E:$E,'RSD_BY Techs'!$D65)</f>
        <v>0.94340000000000002</v>
      </c>
      <c r="AL65" s="211">
        <f>SUMIFS('Key Inputs_BY Techs'!AF:AF,'Key Inputs_BY Techs'!$A:$A,'RSD_BY Techs'!$L65,'Key Inputs_BY Techs'!$C:$C,'RSD_BY Techs'!$B65,'Key Inputs_BY Techs'!$E:$E,'RSD_BY Techs'!$D65)</f>
        <v>0.94340000000000002</v>
      </c>
      <c r="AM65" s="211">
        <f>SUMIFS('Key Inputs_BY Techs'!AG:AG,'Key Inputs_BY Techs'!$A:$A,'RSD_BY Techs'!$L65,'Key Inputs_BY Techs'!$C:$C,'RSD_BY Techs'!$B65,'Key Inputs_BY Techs'!$E:$E,'RSD_BY Techs'!$D65)</f>
        <v>0.94340000000000002</v>
      </c>
      <c r="AN65" s="211">
        <f>SUMIFS('Key Inputs_BY Techs'!AH:AH,'Key Inputs_BY Techs'!$A:$A,'RSD_BY Techs'!$L65,'Key Inputs_BY Techs'!$C:$C,'RSD_BY Techs'!$B65,'Key Inputs_BY Techs'!$E:$E,'RSD_BY Techs'!$D65)</f>
        <v>0.94340000000000002</v>
      </c>
      <c r="AO65" s="211">
        <f>SUMIFS('Key Inputs_BY Techs'!AI:AI,'Key Inputs_BY Techs'!$A:$A,'RSD_BY Techs'!$L65,'Key Inputs_BY Techs'!$C:$C,'RSD_BY Techs'!$B65,'Key Inputs_BY Techs'!$E:$E,'RSD_BY Techs'!$D65)</f>
        <v>0.94340000000000002</v>
      </c>
      <c r="AP65" s="211">
        <f>SUMIFS('Key Inputs_BY Techs'!AJ:AJ,'Key Inputs_BY Techs'!$A:$A,'RSD_BY Techs'!$L65,'Key Inputs_BY Techs'!$C:$C,'RSD_BY Techs'!$B65,'Key Inputs_BY Techs'!$E:$E,'RSD_BY Techs'!$D65)</f>
        <v>0.94340000000000002</v>
      </c>
    </row>
    <row r="66" spans="1:42" x14ac:dyDescent="0.25">
      <c r="A66" s="281" t="s">
        <v>122</v>
      </c>
      <c r="B66" s="281" t="s">
        <v>468</v>
      </c>
      <c r="C66" s="281" t="str">
        <f>Legend!$A$74</f>
        <v>Solar</v>
      </c>
      <c r="D66" s="281" t="str">
        <f>Legend!$B$74</f>
        <v>RSDSOL</v>
      </c>
      <c r="E66" s="281" t="str">
        <f t="shared" si="20"/>
        <v>RSDSOL</v>
      </c>
      <c r="F66" s="281"/>
      <c r="G66" s="254"/>
      <c r="I66" s="215" t="str">
        <f t="shared" si="21"/>
        <v>R-THL-HEX_SOL00</v>
      </c>
      <c r="J66" s="215" t="str">
        <f t="shared" si="21"/>
        <v>RSD Thermal uses technology: Solar - Existing</v>
      </c>
      <c r="K66" s="215"/>
      <c r="L66" s="215" t="s">
        <v>37</v>
      </c>
      <c r="M66" s="215" t="s">
        <v>174</v>
      </c>
      <c r="N66" s="215"/>
      <c r="O66" s="215">
        <f>SUMIFS('Key Inputs_BY Techs'!I:I,'Key Inputs_BY Techs'!$A:$A,'RSD_BY Techs'!$L66,'Key Inputs_BY Techs'!$C:$C,'RSD_BY Techs'!$B66,'Key Inputs_BY Techs'!$E:$E,'RSD_BY Techs'!$D66)</f>
        <v>1</v>
      </c>
      <c r="P66" s="215">
        <f>SUMIFS('Key Inputs_BY Techs'!J:J,'Key Inputs_BY Techs'!$A:$A,'RSD_BY Techs'!$L66,'Key Inputs_BY Techs'!$C:$C,'RSD_BY Techs'!$B66,'Key Inputs_BY Techs'!$E:$E,'RSD_BY Techs'!$D66)</f>
        <v>1</v>
      </c>
      <c r="Q66" s="215">
        <f>SUMIFS('Key Inputs_BY Techs'!K:K,'Key Inputs_BY Techs'!$A:$A,'RSD_BY Techs'!$L66,'Key Inputs_BY Techs'!$C:$C,'RSD_BY Techs'!$B66,'Key Inputs_BY Techs'!$E:$E,'RSD_BY Techs'!$D66)</f>
        <v>1</v>
      </c>
      <c r="R66" s="215">
        <f>SUMIFS('Key Inputs_BY Techs'!L:L,'Key Inputs_BY Techs'!$A:$A,'RSD_BY Techs'!$L66,'Key Inputs_BY Techs'!$C:$C,'RSD_BY Techs'!$B66,'Key Inputs_BY Techs'!$E:$E,'RSD_BY Techs'!$D66)</f>
        <v>1</v>
      </c>
      <c r="S66" s="215">
        <f>SUMIFS('Key Inputs_BY Techs'!M:M,'Key Inputs_BY Techs'!$A:$A,'RSD_BY Techs'!$L66,'Key Inputs_BY Techs'!$C:$C,'RSD_BY Techs'!$B66,'Key Inputs_BY Techs'!$E:$E,'RSD_BY Techs'!$D66)</f>
        <v>1</v>
      </c>
      <c r="T66" s="215">
        <f>SUMIFS('Key Inputs_BY Techs'!N:N,'Key Inputs_BY Techs'!$A:$A,'RSD_BY Techs'!$L66,'Key Inputs_BY Techs'!$C:$C,'RSD_BY Techs'!$B66,'Key Inputs_BY Techs'!$E:$E,'RSD_BY Techs'!$D66)</f>
        <v>1</v>
      </c>
      <c r="U66" s="215">
        <f>SUMIFS('Key Inputs_BY Techs'!O:O,'Key Inputs_BY Techs'!$A:$A,'RSD_BY Techs'!$L66,'Key Inputs_BY Techs'!$C:$C,'RSD_BY Techs'!$B66,'Key Inputs_BY Techs'!$E:$E,'RSD_BY Techs'!$D66)</f>
        <v>1</v>
      </c>
      <c r="V66" s="215">
        <f>SUMIFS('Key Inputs_BY Techs'!P:P,'Key Inputs_BY Techs'!$A:$A,'RSD_BY Techs'!$L66,'Key Inputs_BY Techs'!$C:$C,'RSD_BY Techs'!$B66,'Key Inputs_BY Techs'!$E:$E,'RSD_BY Techs'!$D66)</f>
        <v>1</v>
      </c>
      <c r="W66" s="215">
        <f>SUMIFS('Key Inputs_BY Techs'!Q:Q,'Key Inputs_BY Techs'!$A:$A,'RSD_BY Techs'!$L66,'Key Inputs_BY Techs'!$C:$C,'RSD_BY Techs'!$B66,'Key Inputs_BY Techs'!$E:$E,'RSD_BY Techs'!$D66)</f>
        <v>1</v>
      </c>
      <c r="X66" s="215">
        <f>SUMIFS('Key Inputs_BY Techs'!R:R,'Key Inputs_BY Techs'!$A:$A,'RSD_BY Techs'!$L66,'Key Inputs_BY Techs'!$C:$C,'RSD_BY Techs'!$B66,'Key Inputs_BY Techs'!$E:$E,'RSD_BY Techs'!$D66)</f>
        <v>1</v>
      </c>
      <c r="Y66" s="215">
        <f>SUMIFS('Key Inputs_BY Techs'!S:S,'Key Inputs_BY Techs'!$A:$A,'RSD_BY Techs'!$L66,'Key Inputs_BY Techs'!$C:$C,'RSD_BY Techs'!$B66,'Key Inputs_BY Techs'!$E:$E,'RSD_BY Techs'!$D66)</f>
        <v>1</v>
      </c>
      <c r="Z66" s="215">
        <f>SUMIFS('Key Inputs_BY Techs'!T:T,'Key Inputs_BY Techs'!$A:$A,'RSD_BY Techs'!$L66,'Key Inputs_BY Techs'!$C:$C,'RSD_BY Techs'!$B66,'Key Inputs_BY Techs'!$E:$E,'RSD_BY Techs'!$D66)</f>
        <v>1</v>
      </c>
      <c r="AA66" s="215">
        <f>SUMIFS('Key Inputs_BY Techs'!U:U,'Key Inputs_BY Techs'!$A:$A,'RSD_BY Techs'!$L66,'Key Inputs_BY Techs'!$C:$C,'RSD_BY Techs'!$B66,'Key Inputs_BY Techs'!$E:$E,'RSD_BY Techs'!$D66)</f>
        <v>1</v>
      </c>
      <c r="AB66" s="215">
        <f>SUMIFS('Key Inputs_BY Techs'!V:V,'Key Inputs_BY Techs'!$A:$A,'RSD_BY Techs'!$L66,'Key Inputs_BY Techs'!$C:$C,'RSD_BY Techs'!$B66,'Key Inputs_BY Techs'!$E:$E,'RSD_BY Techs'!$D66)</f>
        <v>1</v>
      </c>
      <c r="AC66" s="215">
        <f>SUMIFS('Key Inputs_BY Techs'!W:W,'Key Inputs_BY Techs'!$A:$A,'RSD_BY Techs'!$L66,'Key Inputs_BY Techs'!$C:$C,'RSD_BY Techs'!$B66,'Key Inputs_BY Techs'!$E:$E,'RSD_BY Techs'!$D66)</f>
        <v>1</v>
      </c>
      <c r="AD66" s="215">
        <f>SUMIFS('Key Inputs_BY Techs'!X:X,'Key Inputs_BY Techs'!$A:$A,'RSD_BY Techs'!$L66,'Key Inputs_BY Techs'!$C:$C,'RSD_BY Techs'!$B66,'Key Inputs_BY Techs'!$E:$E,'RSD_BY Techs'!$D66)</f>
        <v>1</v>
      </c>
      <c r="AE66" s="215">
        <f>SUMIFS('Key Inputs_BY Techs'!Y:Y,'Key Inputs_BY Techs'!$A:$A,'RSD_BY Techs'!$L66,'Key Inputs_BY Techs'!$C:$C,'RSD_BY Techs'!$B66,'Key Inputs_BY Techs'!$E:$E,'RSD_BY Techs'!$D66)</f>
        <v>1</v>
      </c>
      <c r="AF66" s="215">
        <f>SUMIFS('Key Inputs_BY Techs'!Z:Z,'Key Inputs_BY Techs'!$A:$A,'RSD_BY Techs'!$L66,'Key Inputs_BY Techs'!$C:$C,'RSD_BY Techs'!$B66,'Key Inputs_BY Techs'!$E:$E,'RSD_BY Techs'!$D66)</f>
        <v>1</v>
      </c>
      <c r="AG66" s="215">
        <f>SUMIFS('Key Inputs_BY Techs'!AA:AA,'Key Inputs_BY Techs'!$A:$A,'RSD_BY Techs'!$L66,'Key Inputs_BY Techs'!$C:$C,'RSD_BY Techs'!$B66,'Key Inputs_BY Techs'!$E:$E,'RSD_BY Techs'!$D66)</f>
        <v>1</v>
      </c>
      <c r="AH66" s="215">
        <f>SUMIFS('Key Inputs_BY Techs'!AB:AB,'Key Inputs_BY Techs'!$A:$A,'RSD_BY Techs'!$L66,'Key Inputs_BY Techs'!$C:$C,'RSD_BY Techs'!$B66,'Key Inputs_BY Techs'!$E:$E,'RSD_BY Techs'!$D66)</f>
        <v>1</v>
      </c>
      <c r="AI66" s="215">
        <f>SUMIFS('Key Inputs_BY Techs'!AC:AC,'Key Inputs_BY Techs'!$A:$A,'RSD_BY Techs'!$L66,'Key Inputs_BY Techs'!$C:$C,'RSD_BY Techs'!$B66,'Key Inputs_BY Techs'!$E:$E,'RSD_BY Techs'!$D66)</f>
        <v>1</v>
      </c>
      <c r="AJ66" s="215">
        <f>SUMIFS('Key Inputs_BY Techs'!AD:AD,'Key Inputs_BY Techs'!$A:$A,'RSD_BY Techs'!$L66,'Key Inputs_BY Techs'!$C:$C,'RSD_BY Techs'!$B66,'Key Inputs_BY Techs'!$E:$E,'RSD_BY Techs'!$D66)</f>
        <v>1</v>
      </c>
      <c r="AK66" s="215">
        <f>SUMIFS('Key Inputs_BY Techs'!AE:AE,'Key Inputs_BY Techs'!$A:$A,'RSD_BY Techs'!$L66,'Key Inputs_BY Techs'!$C:$C,'RSD_BY Techs'!$B66,'Key Inputs_BY Techs'!$E:$E,'RSD_BY Techs'!$D66)</f>
        <v>1</v>
      </c>
      <c r="AL66" s="215">
        <f>SUMIFS('Key Inputs_BY Techs'!AF:AF,'Key Inputs_BY Techs'!$A:$A,'RSD_BY Techs'!$L66,'Key Inputs_BY Techs'!$C:$C,'RSD_BY Techs'!$B66,'Key Inputs_BY Techs'!$E:$E,'RSD_BY Techs'!$D66)</f>
        <v>1</v>
      </c>
      <c r="AM66" s="215">
        <f>SUMIFS('Key Inputs_BY Techs'!AG:AG,'Key Inputs_BY Techs'!$A:$A,'RSD_BY Techs'!$L66,'Key Inputs_BY Techs'!$C:$C,'RSD_BY Techs'!$B66,'Key Inputs_BY Techs'!$E:$E,'RSD_BY Techs'!$D66)</f>
        <v>1</v>
      </c>
      <c r="AN66" s="215">
        <f>SUMIFS('Key Inputs_BY Techs'!AH:AH,'Key Inputs_BY Techs'!$A:$A,'RSD_BY Techs'!$L66,'Key Inputs_BY Techs'!$C:$C,'RSD_BY Techs'!$B66,'Key Inputs_BY Techs'!$E:$E,'RSD_BY Techs'!$D66)</f>
        <v>1</v>
      </c>
      <c r="AO66" s="215">
        <f>SUMIFS('Key Inputs_BY Techs'!AI:AI,'Key Inputs_BY Techs'!$A:$A,'RSD_BY Techs'!$L66,'Key Inputs_BY Techs'!$C:$C,'RSD_BY Techs'!$B66,'Key Inputs_BY Techs'!$E:$E,'RSD_BY Techs'!$D66)</f>
        <v>1</v>
      </c>
      <c r="AP66" s="215">
        <f>SUMIFS('Key Inputs_BY Techs'!AJ:AJ,'Key Inputs_BY Techs'!$A:$A,'RSD_BY Techs'!$L66,'Key Inputs_BY Techs'!$C:$C,'RSD_BY Techs'!$B66,'Key Inputs_BY Techs'!$E:$E,'RSD_BY Techs'!$D66)</f>
        <v>1</v>
      </c>
    </row>
    <row r="67" spans="1:42" x14ac:dyDescent="0.25">
      <c r="A67" s="254" t="s">
        <v>122</v>
      </c>
      <c r="B67" s="254" t="s">
        <v>469</v>
      </c>
      <c r="C67" s="254" t="str">
        <f>Legend!A$64</f>
        <v>Biomass</v>
      </c>
      <c r="D67" s="254" t="str">
        <f>Legend!B$64</f>
        <v>RSDBIO</v>
      </c>
      <c r="E67" s="254" t="str">
        <f t="shared" ref="E67:E76" si="22">LEFT(D67,6)</f>
        <v>RSDBIO</v>
      </c>
      <c r="F67" s="254"/>
      <c r="G67" s="254"/>
      <c r="I67" s="213" t="str">
        <f t="shared" si="21"/>
        <v>R-THH-STV_BIO00</v>
      </c>
      <c r="J67" s="213" t="str">
        <f t="shared" si="21"/>
        <v>RSD Thermal uses technology: Biomass - Existing</v>
      </c>
      <c r="K67" s="213"/>
      <c r="L67" s="214" t="s">
        <v>37</v>
      </c>
      <c r="M67" s="214" t="s">
        <v>174</v>
      </c>
      <c r="N67" s="214"/>
      <c r="O67" s="213">
        <f>SUMIFS('Key Inputs_BY Techs'!I:I,'Key Inputs_BY Techs'!$A:$A,'RSD_BY Techs'!$L67,'Key Inputs_BY Techs'!$C:$C,'RSD_BY Techs'!$B67,'Key Inputs_BY Techs'!$E:$E,'RSD_BY Techs'!$D67)</f>
        <v>0.72</v>
      </c>
      <c r="P67" s="213">
        <f>SUMIFS('Key Inputs_BY Techs'!J:J,'Key Inputs_BY Techs'!$A:$A,'RSD_BY Techs'!$L67,'Key Inputs_BY Techs'!$C:$C,'RSD_BY Techs'!$B67,'Key Inputs_BY Techs'!$E:$E,'RSD_BY Techs'!$D67)</f>
        <v>0.72</v>
      </c>
      <c r="Q67" s="213">
        <f>SUMIFS('Key Inputs_BY Techs'!K:K,'Key Inputs_BY Techs'!$A:$A,'RSD_BY Techs'!$L67,'Key Inputs_BY Techs'!$C:$C,'RSD_BY Techs'!$B67,'Key Inputs_BY Techs'!$E:$E,'RSD_BY Techs'!$D67)</f>
        <v>0.72</v>
      </c>
      <c r="R67" s="213">
        <f>SUMIFS('Key Inputs_BY Techs'!L:L,'Key Inputs_BY Techs'!$A:$A,'RSD_BY Techs'!$L67,'Key Inputs_BY Techs'!$C:$C,'RSD_BY Techs'!$B67,'Key Inputs_BY Techs'!$E:$E,'RSD_BY Techs'!$D67)</f>
        <v>0.72</v>
      </c>
      <c r="S67" s="213">
        <f>SUMIFS('Key Inputs_BY Techs'!M:M,'Key Inputs_BY Techs'!$A:$A,'RSD_BY Techs'!$L67,'Key Inputs_BY Techs'!$C:$C,'RSD_BY Techs'!$B67,'Key Inputs_BY Techs'!$E:$E,'RSD_BY Techs'!$D67)</f>
        <v>0.72</v>
      </c>
      <c r="T67" s="213">
        <f>SUMIFS('Key Inputs_BY Techs'!N:N,'Key Inputs_BY Techs'!$A:$A,'RSD_BY Techs'!$L67,'Key Inputs_BY Techs'!$C:$C,'RSD_BY Techs'!$B67,'Key Inputs_BY Techs'!$E:$E,'RSD_BY Techs'!$D67)</f>
        <v>0.72</v>
      </c>
      <c r="U67" s="213">
        <f>SUMIFS('Key Inputs_BY Techs'!O:O,'Key Inputs_BY Techs'!$A:$A,'RSD_BY Techs'!$L67,'Key Inputs_BY Techs'!$C:$C,'RSD_BY Techs'!$B67,'Key Inputs_BY Techs'!$E:$E,'RSD_BY Techs'!$D67)</f>
        <v>0.72</v>
      </c>
      <c r="V67" s="213">
        <f>SUMIFS('Key Inputs_BY Techs'!P:P,'Key Inputs_BY Techs'!$A:$A,'RSD_BY Techs'!$L67,'Key Inputs_BY Techs'!$C:$C,'RSD_BY Techs'!$B67,'Key Inputs_BY Techs'!$E:$E,'RSD_BY Techs'!$D67)</f>
        <v>0.72</v>
      </c>
      <c r="W67" s="213">
        <f>SUMIFS('Key Inputs_BY Techs'!Q:Q,'Key Inputs_BY Techs'!$A:$A,'RSD_BY Techs'!$L67,'Key Inputs_BY Techs'!$C:$C,'RSD_BY Techs'!$B67,'Key Inputs_BY Techs'!$E:$E,'RSD_BY Techs'!$D67)</f>
        <v>0.72</v>
      </c>
      <c r="X67" s="213">
        <f>SUMIFS('Key Inputs_BY Techs'!R:R,'Key Inputs_BY Techs'!$A:$A,'RSD_BY Techs'!$L67,'Key Inputs_BY Techs'!$C:$C,'RSD_BY Techs'!$B67,'Key Inputs_BY Techs'!$E:$E,'RSD_BY Techs'!$D67)</f>
        <v>0.72</v>
      </c>
      <c r="Y67" s="213">
        <f>SUMIFS('Key Inputs_BY Techs'!S:S,'Key Inputs_BY Techs'!$A:$A,'RSD_BY Techs'!$L67,'Key Inputs_BY Techs'!$C:$C,'RSD_BY Techs'!$B67,'Key Inputs_BY Techs'!$E:$E,'RSD_BY Techs'!$D67)</f>
        <v>0.72</v>
      </c>
      <c r="Z67" s="213">
        <f>SUMIFS('Key Inputs_BY Techs'!T:T,'Key Inputs_BY Techs'!$A:$A,'RSD_BY Techs'!$L67,'Key Inputs_BY Techs'!$C:$C,'RSD_BY Techs'!$B67,'Key Inputs_BY Techs'!$E:$E,'RSD_BY Techs'!$D67)</f>
        <v>0.72</v>
      </c>
      <c r="AA67" s="213">
        <f>SUMIFS('Key Inputs_BY Techs'!U:U,'Key Inputs_BY Techs'!$A:$A,'RSD_BY Techs'!$L67,'Key Inputs_BY Techs'!$C:$C,'RSD_BY Techs'!$B67,'Key Inputs_BY Techs'!$E:$E,'RSD_BY Techs'!$D67)</f>
        <v>0.72</v>
      </c>
      <c r="AB67" s="213">
        <f>SUMIFS('Key Inputs_BY Techs'!V:V,'Key Inputs_BY Techs'!$A:$A,'RSD_BY Techs'!$L67,'Key Inputs_BY Techs'!$C:$C,'RSD_BY Techs'!$B67,'Key Inputs_BY Techs'!$E:$E,'RSD_BY Techs'!$D67)</f>
        <v>0.72</v>
      </c>
      <c r="AC67" s="213">
        <f>SUMIFS('Key Inputs_BY Techs'!W:W,'Key Inputs_BY Techs'!$A:$A,'RSD_BY Techs'!$L67,'Key Inputs_BY Techs'!$C:$C,'RSD_BY Techs'!$B67,'Key Inputs_BY Techs'!$E:$E,'RSD_BY Techs'!$D67)</f>
        <v>0.72</v>
      </c>
      <c r="AD67" s="213">
        <f>SUMIFS('Key Inputs_BY Techs'!X:X,'Key Inputs_BY Techs'!$A:$A,'RSD_BY Techs'!$L67,'Key Inputs_BY Techs'!$C:$C,'RSD_BY Techs'!$B67,'Key Inputs_BY Techs'!$E:$E,'RSD_BY Techs'!$D67)</f>
        <v>0.72</v>
      </c>
      <c r="AE67" s="213">
        <f>SUMIFS('Key Inputs_BY Techs'!Y:Y,'Key Inputs_BY Techs'!$A:$A,'RSD_BY Techs'!$L67,'Key Inputs_BY Techs'!$C:$C,'RSD_BY Techs'!$B67,'Key Inputs_BY Techs'!$E:$E,'RSD_BY Techs'!$D67)</f>
        <v>0.72</v>
      </c>
      <c r="AF67" s="213">
        <f>SUMIFS('Key Inputs_BY Techs'!Z:Z,'Key Inputs_BY Techs'!$A:$A,'RSD_BY Techs'!$L67,'Key Inputs_BY Techs'!$C:$C,'RSD_BY Techs'!$B67,'Key Inputs_BY Techs'!$E:$E,'RSD_BY Techs'!$D67)</f>
        <v>0.72</v>
      </c>
      <c r="AG67" s="213">
        <f>SUMIFS('Key Inputs_BY Techs'!AA:AA,'Key Inputs_BY Techs'!$A:$A,'RSD_BY Techs'!$L67,'Key Inputs_BY Techs'!$C:$C,'RSD_BY Techs'!$B67,'Key Inputs_BY Techs'!$E:$E,'RSD_BY Techs'!$D67)</f>
        <v>0.72</v>
      </c>
      <c r="AH67" s="213">
        <f>SUMIFS('Key Inputs_BY Techs'!AB:AB,'Key Inputs_BY Techs'!$A:$A,'RSD_BY Techs'!$L67,'Key Inputs_BY Techs'!$C:$C,'RSD_BY Techs'!$B67,'Key Inputs_BY Techs'!$E:$E,'RSD_BY Techs'!$D67)</f>
        <v>0.72</v>
      </c>
      <c r="AI67" s="213">
        <f>SUMIFS('Key Inputs_BY Techs'!AC:AC,'Key Inputs_BY Techs'!$A:$A,'RSD_BY Techs'!$L67,'Key Inputs_BY Techs'!$C:$C,'RSD_BY Techs'!$B67,'Key Inputs_BY Techs'!$E:$E,'RSD_BY Techs'!$D67)</f>
        <v>0.72</v>
      </c>
      <c r="AJ67" s="213">
        <f>SUMIFS('Key Inputs_BY Techs'!AD:AD,'Key Inputs_BY Techs'!$A:$A,'RSD_BY Techs'!$L67,'Key Inputs_BY Techs'!$C:$C,'RSD_BY Techs'!$B67,'Key Inputs_BY Techs'!$E:$E,'RSD_BY Techs'!$D67)</f>
        <v>0.72</v>
      </c>
      <c r="AK67" s="213">
        <f>SUMIFS('Key Inputs_BY Techs'!AE:AE,'Key Inputs_BY Techs'!$A:$A,'RSD_BY Techs'!$L67,'Key Inputs_BY Techs'!$C:$C,'RSD_BY Techs'!$B67,'Key Inputs_BY Techs'!$E:$E,'RSD_BY Techs'!$D67)</f>
        <v>0.72</v>
      </c>
      <c r="AL67" s="213">
        <f>SUMIFS('Key Inputs_BY Techs'!AF:AF,'Key Inputs_BY Techs'!$A:$A,'RSD_BY Techs'!$L67,'Key Inputs_BY Techs'!$C:$C,'RSD_BY Techs'!$B67,'Key Inputs_BY Techs'!$E:$E,'RSD_BY Techs'!$D67)</f>
        <v>0.72</v>
      </c>
      <c r="AM67" s="213">
        <f>SUMIFS('Key Inputs_BY Techs'!AG:AG,'Key Inputs_BY Techs'!$A:$A,'RSD_BY Techs'!$L67,'Key Inputs_BY Techs'!$C:$C,'RSD_BY Techs'!$B67,'Key Inputs_BY Techs'!$E:$E,'RSD_BY Techs'!$D67)</f>
        <v>0.72</v>
      </c>
      <c r="AN67" s="213">
        <f>SUMIFS('Key Inputs_BY Techs'!AH:AH,'Key Inputs_BY Techs'!$A:$A,'RSD_BY Techs'!$L67,'Key Inputs_BY Techs'!$C:$C,'RSD_BY Techs'!$B67,'Key Inputs_BY Techs'!$E:$E,'RSD_BY Techs'!$D67)</f>
        <v>0.72</v>
      </c>
      <c r="AO67" s="213">
        <f>SUMIFS('Key Inputs_BY Techs'!AI:AI,'Key Inputs_BY Techs'!$A:$A,'RSD_BY Techs'!$L67,'Key Inputs_BY Techs'!$C:$C,'RSD_BY Techs'!$B67,'Key Inputs_BY Techs'!$E:$E,'RSD_BY Techs'!$D67)</f>
        <v>0.72</v>
      </c>
      <c r="AP67" s="213">
        <f>SUMIFS('Key Inputs_BY Techs'!AJ:AJ,'Key Inputs_BY Techs'!$A:$A,'RSD_BY Techs'!$L67,'Key Inputs_BY Techs'!$C:$C,'RSD_BY Techs'!$B67,'Key Inputs_BY Techs'!$E:$E,'RSD_BY Techs'!$D67)</f>
        <v>0.72</v>
      </c>
    </row>
    <row r="68" spans="1:42" x14ac:dyDescent="0.25">
      <c r="A68" s="254" t="s">
        <v>122</v>
      </c>
      <c r="B68" s="254" t="s">
        <v>469</v>
      </c>
      <c r="C68" s="254" t="str">
        <f>Legend!A$65</f>
        <v>Coal</v>
      </c>
      <c r="D68" s="254" t="str">
        <f>Legend!B$65</f>
        <v>RSDCOA</v>
      </c>
      <c r="E68" s="254" t="str">
        <f t="shared" si="22"/>
        <v>RSDCOA</v>
      </c>
      <c r="F68" s="254"/>
      <c r="G68" s="254"/>
      <c r="I68" s="211" t="str">
        <f t="shared" si="21"/>
        <v>R-THH-STV_COA00</v>
      </c>
      <c r="J68" s="211" t="str">
        <f t="shared" si="21"/>
        <v>RSD Thermal uses technology: Coal - Existing</v>
      </c>
      <c r="K68" s="211"/>
      <c r="L68" s="211" t="s">
        <v>37</v>
      </c>
      <c r="M68" s="211" t="s">
        <v>174</v>
      </c>
      <c r="N68" s="211"/>
      <c r="O68" s="211">
        <f>SUMIFS('Key Inputs_BY Techs'!I:I,'Key Inputs_BY Techs'!$A:$A,'RSD_BY Techs'!$L68,'Key Inputs_BY Techs'!$C:$C,'RSD_BY Techs'!$B68,'Key Inputs_BY Techs'!$E:$E,'RSD_BY Techs'!$D68)</f>
        <v>0.75</v>
      </c>
      <c r="P68" s="211">
        <f>SUMIFS('Key Inputs_BY Techs'!J:J,'Key Inputs_BY Techs'!$A:$A,'RSD_BY Techs'!$L68,'Key Inputs_BY Techs'!$C:$C,'RSD_BY Techs'!$B68,'Key Inputs_BY Techs'!$E:$E,'RSD_BY Techs'!$D68)</f>
        <v>0.75</v>
      </c>
      <c r="Q68" s="211">
        <f>SUMIFS('Key Inputs_BY Techs'!K:K,'Key Inputs_BY Techs'!$A:$A,'RSD_BY Techs'!$L68,'Key Inputs_BY Techs'!$C:$C,'RSD_BY Techs'!$B68,'Key Inputs_BY Techs'!$E:$E,'RSD_BY Techs'!$D68)</f>
        <v>0.75</v>
      </c>
      <c r="R68" s="211">
        <f>SUMIFS('Key Inputs_BY Techs'!L:L,'Key Inputs_BY Techs'!$A:$A,'RSD_BY Techs'!$L68,'Key Inputs_BY Techs'!$C:$C,'RSD_BY Techs'!$B68,'Key Inputs_BY Techs'!$E:$E,'RSD_BY Techs'!$D68)</f>
        <v>0.75</v>
      </c>
      <c r="S68" s="211">
        <f>SUMIFS('Key Inputs_BY Techs'!M:M,'Key Inputs_BY Techs'!$A:$A,'RSD_BY Techs'!$L68,'Key Inputs_BY Techs'!$C:$C,'RSD_BY Techs'!$B68,'Key Inputs_BY Techs'!$E:$E,'RSD_BY Techs'!$D68)</f>
        <v>0.75</v>
      </c>
      <c r="T68" s="211">
        <f>SUMIFS('Key Inputs_BY Techs'!N:N,'Key Inputs_BY Techs'!$A:$A,'RSD_BY Techs'!$L68,'Key Inputs_BY Techs'!$C:$C,'RSD_BY Techs'!$B68,'Key Inputs_BY Techs'!$E:$E,'RSD_BY Techs'!$D68)</f>
        <v>0.75</v>
      </c>
      <c r="U68" s="211">
        <f>SUMIFS('Key Inputs_BY Techs'!O:O,'Key Inputs_BY Techs'!$A:$A,'RSD_BY Techs'!$L68,'Key Inputs_BY Techs'!$C:$C,'RSD_BY Techs'!$B68,'Key Inputs_BY Techs'!$E:$E,'RSD_BY Techs'!$D68)</f>
        <v>0.75</v>
      </c>
      <c r="V68" s="211">
        <f>SUMIFS('Key Inputs_BY Techs'!P:P,'Key Inputs_BY Techs'!$A:$A,'RSD_BY Techs'!$L68,'Key Inputs_BY Techs'!$C:$C,'RSD_BY Techs'!$B68,'Key Inputs_BY Techs'!$E:$E,'RSD_BY Techs'!$D68)</f>
        <v>0.75</v>
      </c>
      <c r="W68" s="211">
        <f>SUMIFS('Key Inputs_BY Techs'!Q:Q,'Key Inputs_BY Techs'!$A:$A,'RSD_BY Techs'!$L68,'Key Inputs_BY Techs'!$C:$C,'RSD_BY Techs'!$B68,'Key Inputs_BY Techs'!$E:$E,'RSD_BY Techs'!$D68)</f>
        <v>0.75</v>
      </c>
      <c r="X68" s="211">
        <f>SUMIFS('Key Inputs_BY Techs'!R:R,'Key Inputs_BY Techs'!$A:$A,'RSD_BY Techs'!$L68,'Key Inputs_BY Techs'!$C:$C,'RSD_BY Techs'!$B68,'Key Inputs_BY Techs'!$E:$E,'RSD_BY Techs'!$D68)</f>
        <v>0.75</v>
      </c>
      <c r="Y68" s="211">
        <f>SUMIFS('Key Inputs_BY Techs'!S:S,'Key Inputs_BY Techs'!$A:$A,'RSD_BY Techs'!$L68,'Key Inputs_BY Techs'!$C:$C,'RSD_BY Techs'!$B68,'Key Inputs_BY Techs'!$E:$E,'RSD_BY Techs'!$D68)</f>
        <v>0.75</v>
      </c>
      <c r="Z68" s="211">
        <f>SUMIFS('Key Inputs_BY Techs'!T:T,'Key Inputs_BY Techs'!$A:$A,'RSD_BY Techs'!$L68,'Key Inputs_BY Techs'!$C:$C,'RSD_BY Techs'!$B68,'Key Inputs_BY Techs'!$E:$E,'RSD_BY Techs'!$D68)</f>
        <v>0.75</v>
      </c>
      <c r="AA68" s="211">
        <f>SUMIFS('Key Inputs_BY Techs'!U:U,'Key Inputs_BY Techs'!$A:$A,'RSD_BY Techs'!$L68,'Key Inputs_BY Techs'!$C:$C,'RSD_BY Techs'!$B68,'Key Inputs_BY Techs'!$E:$E,'RSD_BY Techs'!$D68)</f>
        <v>0.75</v>
      </c>
      <c r="AB68" s="211">
        <f>SUMIFS('Key Inputs_BY Techs'!V:V,'Key Inputs_BY Techs'!$A:$A,'RSD_BY Techs'!$L68,'Key Inputs_BY Techs'!$C:$C,'RSD_BY Techs'!$B68,'Key Inputs_BY Techs'!$E:$E,'RSD_BY Techs'!$D68)</f>
        <v>0.75</v>
      </c>
      <c r="AC68" s="211">
        <f>SUMIFS('Key Inputs_BY Techs'!W:W,'Key Inputs_BY Techs'!$A:$A,'RSD_BY Techs'!$L68,'Key Inputs_BY Techs'!$C:$C,'RSD_BY Techs'!$B68,'Key Inputs_BY Techs'!$E:$E,'RSD_BY Techs'!$D68)</f>
        <v>0.75</v>
      </c>
      <c r="AD68" s="211">
        <f>SUMIFS('Key Inputs_BY Techs'!X:X,'Key Inputs_BY Techs'!$A:$A,'RSD_BY Techs'!$L68,'Key Inputs_BY Techs'!$C:$C,'RSD_BY Techs'!$B68,'Key Inputs_BY Techs'!$E:$E,'RSD_BY Techs'!$D68)</f>
        <v>0.75</v>
      </c>
      <c r="AE68" s="211">
        <f>SUMIFS('Key Inputs_BY Techs'!Y:Y,'Key Inputs_BY Techs'!$A:$A,'RSD_BY Techs'!$L68,'Key Inputs_BY Techs'!$C:$C,'RSD_BY Techs'!$B68,'Key Inputs_BY Techs'!$E:$E,'RSD_BY Techs'!$D68)</f>
        <v>0.75</v>
      </c>
      <c r="AF68" s="211">
        <f>SUMIFS('Key Inputs_BY Techs'!Z:Z,'Key Inputs_BY Techs'!$A:$A,'RSD_BY Techs'!$L68,'Key Inputs_BY Techs'!$C:$C,'RSD_BY Techs'!$B68,'Key Inputs_BY Techs'!$E:$E,'RSD_BY Techs'!$D68)</f>
        <v>0.75</v>
      </c>
      <c r="AG68" s="211">
        <f>SUMIFS('Key Inputs_BY Techs'!AA:AA,'Key Inputs_BY Techs'!$A:$A,'RSD_BY Techs'!$L68,'Key Inputs_BY Techs'!$C:$C,'RSD_BY Techs'!$B68,'Key Inputs_BY Techs'!$E:$E,'RSD_BY Techs'!$D68)</f>
        <v>0.75</v>
      </c>
      <c r="AH68" s="211">
        <f>SUMIFS('Key Inputs_BY Techs'!AB:AB,'Key Inputs_BY Techs'!$A:$A,'RSD_BY Techs'!$L68,'Key Inputs_BY Techs'!$C:$C,'RSD_BY Techs'!$B68,'Key Inputs_BY Techs'!$E:$E,'RSD_BY Techs'!$D68)</f>
        <v>0.75</v>
      </c>
      <c r="AI68" s="211">
        <f>SUMIFS('Key Inputs_BY Techs'!AC:AC,'Key Inputs_BY Techs'!$A:$A,'RSD_BY Techs'!$L68,'Key Inputs_BY Techs'!$C:$C,'RSD_BY Techs'!$B68,'Key Inputs_BY Techs'!$E:$E,'RSD_BY Techs'!$D68)</f>
        <v>0.75</v>
      </c>
      <c r="AJ68" s="211">
        <f>SUMIFS('Key Inputs_BY Techs'!AD:AD,'Key Inputs_BY Techs'!$A:$A,'RSD_BY Techs'!$L68,'Key Inputs_BY Techs'!$C:$C,'RSD_BY Techs'!$B68,'Key Inputs_BY Techs'!$E:$E,'RSD_BY Techs'!$D68)</f>
        <v>0.75</v>
      </c>
      <c r="AK68" s="211">
        <f>SUMIFS('Key Inputs_BY Techs'!AE:AE,'Key Inputs_BY Techs'!$A:$A,'RSD_BY Techs'!$L68,'Key Inputs_BY Techs'!$C:$C,'RSD_BY Techs'!$B68,'Key Inputs_BY Techs'!$E:$E,'RSD_BY Techs'!$D68)</f>
        <v>0.75</v>
      </c>
      <c r="AL68" s="211">
        <f>SUMIFS('Key Inputs_BY Techs'!AF:AF,'Key Inputs_BY Techs'!$A:$A,'RSD_BY Techs'!$L68,'Key Inputs_BY Techs'!$C:$C,'RSD_BY Techs'!$B68,'Key Inputs_BY Techs'!$E:$E,'RSD_BY Techs'!$D68)</f>
        <v>0.75</v>
      </c>
      <c r="AM68" s="211">
        <f>SUMIFS('Key Inputs_BY Techs'!AG:AG,'Key Inputs_BY Techs'!$A:$A,'RSD_BY Techs'!$L68,'Key Inputs_BY Techs'!$C:$C,'RSD_BY Techs'!$B68,'Key Inputs_BY Techs'!$E:$E,'RSD_BY Techs'!$D68)</f>
        <v>0.75</v>
      </c>
      <c r="AN68" s="211">
        <f>SUMIFS('Key Inputs_BY Techs'!AH:AH,'Key Inputs_BY Techs'!$A:$A,'RSD_BY Techs'!$L68,'Key Inputs_BY Techs'!$C:$C,'RSD_BY Techs'!$B68,'Key Inputs_BY Techs'!$E:$E,'RSD_BY Techs'!$D68)</f>
        <v>0.75</v>
      </c>
      <c r="AO68" s="211">
        <f>SUMIFS('Key Inputs_BY Techs'!AI:AI,'Key Inputs_BY Techs'!$A:$A,'RSD_BY Techs'!$L68,'Key Inputs_BY Techs'!$C:$C,'RSD_BY Techs'!$B68,'Key Inputs_BY Techs'!$E:$E,'RSD_BY Techs'!$D68)</f>
        <v>0.75</v>
      </c>
      <c r="AP68" s="211">
        <f>SUMIFS('Key Inputs_BY Techs'!AJ:AJ,'Key Inputs_BY Techs'!$A:$A,'RSD_BY Techs'!$L68,'Key Inputs_BY Techs'!$C:$C,'RSD_BY Techs'!$B68,'Key Inputs_BY Techs'!$E:$E,'RSD_BY Techs'!$D68)</f>
        <v>0.75</v>
      </c>
    </row>
    <row r="69" spans="1:42" x14ac:dyDescent="0.25">
      <c r="A69" s="254" t="s">
        <v>122</v>
      </c>
      <c r="B69" s="254" t="s">
        <v>469</v>
      </c>
      <c r="C69" s="254" t="str">
        <f>Legend!A$66</f>
        <v>Electricity</v>
      </c>
      <c r="D69" s="254" t="str">
        <f>Legend!B$66</f>
        <v>RSDELC</v>
      </c>
      <c r="E69" s="254" t="str">
        <f t="shared" si="22"/>
        <v>RSDELC</v>
      </c>
      <c r="F69" s="254"/>
      <c r="G69" s="254"/>
      <c r="I69" s="211" t="str">
        <f t="shared" si="21"/>
        <v>R-THH-RST_ELC00</v>
      </c>
      <c r="J69" s="211" t="str">
        <f t="shared" si="21"/>
        <v>RSD Thermal uses technology: Electricity - Existing</v>
      </c>
      <c r="K69" s="211"/>
      <c r="L69" s="211" t="s">
        <v>37</v>
      </c>
      <c r="M69" s="211" t="s">
        <v>174</v>
      </c>
      <c r="N69" s="211"/>
      <c r="O69" s="211">
        <f>'Key Inputs_BY Techs'!I20</f>
        <v>0.99</v>
      </c>
      <c r="P69" s="211">
        <f>'Key Inputs_BY Techs'!J20</f>
        <v>0.99</v>
      </c>
      <c r="Q69" s="211">
        <f>'Key Inputs_BY Techs'!K20</f>
        <v>0.99</v>
      </c>
      <c r="R69" s="211">
        <f>'Key Inputs_BY Techs'!L20</f>
        <v>0.99</v>
      </c>
      <c r="S69" s="211">
        <f>'Key Inputs_BY Techs'!M20</f>
        <v>0.99</v>
      </c>
      <c r="T69" s="211">
        <f>'Key Inputs_BY Techs'!N20</f>
        <v>0.99</v>
      </c>
      <c r="U69" s="211">
        <f>'Key Inputs_BY Techs'!O20</f>
        <v>0.99</v>
      </c>
      <c r="V69" s="211">
        <f>'Key Inputs_BY Techs'!P20</f>
        <v>0.99</v>
      </c>
      <c r="W69" s="211">
        <f>'Key Inputs_BY Techs'!Q20</f>
        <v>0.99</v>
      </c>
      <c r="X69" s="211">
        <f>'Key Inputs_BY Techs'!R20</f>
        <v>0.99</v>
      </c>
      <c r="Y69" s="211">
        <f>'Key Inputs_BY Techs'!S20</f>
        <v>0.99</v>
      </c>
      <c r="Z69" s="211">
        <f>'Key Inputs_BY Techs'!T20</f>
        <v>0.99</v>
      </c>
      <c r="AA69" s="211">
        <f>'Key Inputs_BY Techs'!U20</f>
        <v>0.99</v>
      </c>
      <c r="AB69" s="211">
        <f>'Key Inputs_BY Techs'!V20</f>
        <v>0.99</v>
      </c>
      <c r="AC69" s="211">
        <f>'Key Inputs_BY Techs'!W20</f>
        <v>0.99</v>
      </c>
      <c r="AD69" s="211">
        <f>'Key Inputs_BY Techs'!X20</f>
        <v>0.99</v>
      </c>
      <c r="AE69" s="211">
        <f>'Key Inputs_BY Techs'!Y20</f>
        <v>0.99</v>
      </c>
      <c r="AF69" s="211">
        <f>'Key Inputs_BY Techs'!Z20</f>
        <v>0.99</v>
      </c>
      <c r="AG69" s="211">
        <f>'Key Inputs_BY Techs'!AA20</f>
        <v>0.99</v>
      </c>
      <c r="AH69" s="211">
        <f>'Key Inputs_BY Techs'!AB20</f>
        <v>0.99</v>
      </c>
      <c r="AI69" s="211">
        <f>'Key Inputs_BY Techs'!AC20</f>
        <v>0.99</v>
      </c>
      <c r="AJ69" s="211">
        <f>'Key Inputs_BY Techs'!AD20</f>
        <v>0.99</v>
      </c>
      <c r="AK69" s="211">
        <f>'Key Inputs_BY Techs'!AE20</f>
        <v>0.99</v>
      </c>
      <c r="AL69" s="211">
        <f>'Key Inputs_BY Techs'!AF20</f>
        <v>0.99</v>
      </c>
      <c r="AM69" s="211">
        <f>'Key Inputs_BY Techs'!AG20</f>
        <v>0.99</v>
      </c>
      <c r="AN69" s="211">
        <f>'Key Inputs_BY Techs'!AH20</f>
        <v>0.99</v>
      </c>
      <c r="AO69" s="211">
        <f>'Key Inputs_BY Techs'!AI20</f>
        <v>0.99</v>
      </c>
      <c r="AP69" s="211">
        <f>'Key Inputs_BY Techs'!AJ20</f>
        <v>0.99</v>
      </c>
    </row>
    <row r="70" spans="1:42" x14ac:dyDescent="0.25">
      <c r="A70" s="254" t="s">
        <v>122</v>
      </c>
      <c r="B70" s="254" t="s">
        <v>469</v>
      </c>
      <c r="C70" s="254" t="str">
        <f>Legend!A$66&amp;" (Heat Pump)"</f>
        <v>Electricity (Heat Pump)</v>
      </c>
      <c r="D70" s="254" t="str">
        <f>Legend!B$66</f>
        <v>RSDELC</v>
      </c>
      <c r="E70" s="254" t="str">
        <f t="shared" si="22"/>
        <v>RSDELC</v>
      </c>
      <c r="F70" s="254"/>
      <c r="G70" s="254"/>
      <c r="I70" s="211" t="str">
        <f t="shared" si="21"/>
        <v>R-THH-HPA_ELC00</v>
      </c>
      <c r="J70" s="211" t="str">
        <f t="shared" si="21"/>
        <v>RSD Thermal uses technology: Electricity (Heat Pump) - Existing</v>
      </c>
      <c r="K70" s="211"/>
      <c r="L70" s="211" t="s">
        <v>37</v>
      </c>
      <c r="M70" s="211" t="s">
        <v>174</v>
      </c>
      <c r="N70" s="211"/>
      <c r="O70" s="211">
        <f>'Key Inputs_BY Techs'!I21</f>
        <v>2.6656</v>
      </c>
      <c r="P70" s="211">
        <f>'Key Inputs_BY Techs'!J21</f>
        <v>2.6656</v>
      </c>
      <c r="Q70" s="211">
        <f>'Key Inputs_BY Techs'!K21</f>
        <v>2.6656</v>
      </c>
      <c r="R70" s="211">
        <f>'Key Inputs_BY Techs'!L21</f>
        <v>2.6656</v>
      </c>
      <c r="S70" s="211">
        <f>'Key Inputs_BY Techs'!M21</f>
        <v>2.38</v>
      </c>
      <c r="T70" s="211">
        <f>'Key Inputs_BY Techs'!N21</f>
        <v>1.9753999999999998</v>
      </c>
      <c r="U70" s="211">
        <f>'Key Inputs_BY Techs'!O21</f>
        <v>1.9753999999999998</v>
      </c>
      <c r="V70" s="211">
        <f>'Key Inputs_BY Techs'!P21</f>
        <v>2.38</v>
      </c>
      <c r="W70" s="211">
        <f>'Key Inputs_BY Techs'!Q21</f>
        <v>2.6656</v>
      </c>
      <c r="X70" s="211">
        <f>'Key Inputs_BY Techs'!R21</f>
        <v>2.38</v>
      </c>
      <c r="Y70" s="211">
        <f>'Key Inputs_BY Techs'!S21</f>
        <v>2.6656</v>
      </c>
      <c r="Z70" s="211">
        <f>'Key Inputs_BY Techs'!T21</f>
        <v>1.9753999999999998</v>
      </c>
      <c r="AA70" s="211">
        <f>'Key Inputs_BY Techs'!U21</f>
        <v>2.6656</v>
      </c>
      <c r="AB70" s="211">
        <f>'Key Inputs_BY Techs'!V21</f>
        <v>2.6656</v>
      </c>
      <c r="AC70" s="211">
        <f>'Key Inputs_BY Techs'!W21</f>
        <v>2.6656</v>
      </c>
      <c r="AD70" s="211">
        <f>'Key Inputs_BY Techs'!X21</f>
        <v>1.9753999999999998</v>
      </c>
      <c r="AE70" s="211">
        <f>'Key Inputs_BY Techs'!Y21</f>
        <v>1.9753999999999998</v>
      </c>
      <c r="AF70" s="211">
        <f>'Key Inputs_BY Techs'!Z21</f>
        <v>1.9753999999999998</v>
      </c>
      <c r="AG70" s="211">
        <f>'Key Inputs_BY Techs'!AA21</f>
        <v>2.38</v>
      </c>
      <c r="AH70" s="211">
        <f>'Key Inputs_BY Techs'!AB21</f>
        <v>2.38</v>
      </c>
      <c r="AI70" s="211">
        <f>'Key Inputs_BY Techs'!AC21</f>
        <v>2.6656</v>
      </c>
      <c r="AJ70" s="211">
        <f>'Key Inputs_BY Techs'!AD21</f>
        <v>2.6656</v>
      </c>
      <c r="AK70" s="211">
        <f>'Key Inputs_BY Techs'!AE21</f>
        <v>2.6656</v>
      </c>
      <c r="AL70" s="211">
        <f>'Key Inputs_BY Techs'!AF21</f>
        <v>2.6656</v>
      </c>
      <c r="AM70" s="211">
        <f>'Key Inputs_BY Techs'!AG21</f>
        <v>2.6656</v>
      </c>
      <c r="AN70" s="211">
        <f>'Key Inputs_BY Techs'!AH21</f>
        <v>2.6656</v>
      </c>
      <c r="AO70" s="211">
        <f>'Key Inputs_BY Techs'!AI21</f>
        <v>1.9753999999999998</v>
      </c>
      <c r="AP70" s="211">
        <f>'Key Inputs_BY Techs'!AJ21</f>
        <v>1.9753999999999998</v>
      </c>
    </row>
    <row r="71" spans="1:42" x14ac:dyDescent="0.25">
      <c r="A71" s="254" t="s">
        <v>122</v>
      </c>
      <c r="B71" s="254" t="s">
        <v>469</v>
      </c>
      <c r="C71" s="254" t="str">
        <f>Legend!$A$71&amp;", "&amp;Legend!$A$63&amp;", "&amp;Legend!$A$72</f>
        <v>Natural gas, Biogas, Manufactured gas</v>
      </c>
      <c r="D71" s="254" t="str">
        <f>Legend!$B$71&amp;", "&amp;Legend!$B$63&amp;", "&amp;Legend!$B$72</f>
        <v>RSDGAS, RSDBGS, RSDGAM</v>
      </c>
      <c r="E71" s="254" t="str">
        <f t="shared" si="22"/>
        <v>RSDGAS</v>
      </c>
      <c r="F71" s="254"/>
      <c r="G71" s="254"/>
      <c r="I71" s="211" t="str">
        <f t="shared" si="21"/>
        <v>R-THH-BLR_GAS00</v>
      </c>
      <c r="J71" s="211" t="str">
        <f t="shared" si="21"/>
        <v>RSD Thermal uses technology: Natural gas, Biogas, Manufactured gas - Existing</v>
      </c>
      <c r="K71" s="211"/>
      <c r="L71" s="211" t="s">
        <v>37</v>
      </c>
      <c r="M71" s="211" t="s">
        <v>174</v>
      </c>
      <c r="N71" s="211"/>
      <c r="O71" s="211">
        <f>SUMIFS('Key Inputs_BY Techs'!I:I,'Key Inputs_BY Techs'!$A:$A,'RSD_BY Techs'!$L71,'Key Inputs_BY Techs'!$C:$C,'RSD_BY Techs'!$B71,'Key Inputs_BY Techs'!$E:$E,'RSD_BY Techs'!$D71)</f>
        <v>0.86580000000000013</v>
      </c>
      <c r="P71" s="211">
        <f>SUMIFS('Key Inputs_BY Techs'!J:J,'Key Inputs_BY Techs'!$A:$A,'RSD_BY Techs'!$L71,'Key Inputs_BY Techs'!$C:$C,'RSD_BY Techs'!$B71,'Key Inputs_BY Techs'!$E:$E,'RSD_BY Techs'!$D71)</f>
        <v>0.86580000000000013</v>
      </c>
      <c r="Q71" s="211">
        <f>SUMIFS('Key Inputs_BY Techs'!K:K,'Key Inputs_BY Techs'!$A:$A,'RSD_BY Techs'!$L71,'Key Inputs_BY Techs'!$C:$C,'RSD_BY Techs'!$B71,'Key Inputs_BY Techs'!$E:$E,'RSD_BY Techs'!$D71)</f>
        <v>0.86580000000000013</v>
      </c>
      <c r="R71" s="211">
        <f>SUMIFS('Key Inputs_BY Techs'!L:L,'Key Inputs_BY Techs'!$A:$A,'RSD_BY Techs'!$L71,'Key Inputs_BY Techs'!$C:$C,'RSD_BY Techs'!$B71,'Key Inputs_BY Techs'!$E:$E,'RSD_BY Techs'!$D71)</f>
        <v>0.86580000000000013</v>
      </c>
      <c r="S71" s="211">
        <f>SUMIFS('Key Inputs_BY Techs'!M:M,'Key Inputs_BY Techs'!$A:$A,'RSD_BY Techs'!$L71,'Key Inputs_BY Techs'!$C:$C,'RSD_BY Techs'!$B71,'Key Inputs_BY Techs'!$E:$E,'RSD_BY Techs'!$D71)</f>
        <v>0.86580000000000013</v>
      </c>
      <c r="T71" s="211">
        <f>SUMIFS('Key Inputs_BY Techs'!N:N,'Key Inputs_BY Techs'!$A:$A,'RSD_BY Techs'!$L71,'Key Inputs_BY Techs'!$C:$C,'RSD_BY Techs'!$B71,'Key Inputs_BY Techs'!$E:$E,'RSD_BY Techs'!$D71)</f>
        <v>0.86580000000000013</v>
      </c>
      <c r="U71" s="211">
        <f>SUMIFS('Key Inputs_BY Techs'!O:O,'Key Inputs_BY Techs'!$A:$A,'RSD_BY Techs'!$L71,'Key Inputs_BY Techs'!$C:$C,'RSD_BY Techs'!$B71,'Key Inputs_BY Techs'!$E:$E,'RSD_BY Techs'!$D71)</f>
        <v>0.86580000000000013</v>
      </c>
      <c r="V71" s="211">
        <f>SUMIFS('Key Inputs_BY Techs'!P:P,'Key Inputs_BY Techs'!$A:$A,'RSD_BY Techs'!$L71,'Key Inputs_BY Techs'!$C:$C,'RSD_BY Techs'!$B71,'Key Inputs_BY Techs'!$E:$E,'RSD_BY Techs'!$D71)</f>
        <v>0.86580000000000013</v>
      </c>
      <c r="W71" s="211">
        <f>SUMIFS('Key Inputs_BY Techs'!Q:Q,'Key Inputs_BY Techs'!$A:$A,'RSD_BY Techs'!$L71,'Key Inputs_BY Techs'!$C:$C,'RSD_BY Techs'!$B71,'Key Inputs_BY Techs'!$E:$E,'RSD_BY Techs'!$D71)</f>
        <v>0.86580000000000013</v>
      </c>
      <c r="X71" s="211">
        <f>SUMIFS('Key Inputs_BY Techs'!R:R,'Key Inputs_BY Techs'!$A:$A,'RSD_BY Techs'!$L71,'Key Inputs_BY Techs'!$C:$C,'RSD_BY Techs'!$B71,'Key Inputs_BY Techs'!$E:$E,'RSD_BY Techs'!$D71)</f>
        <v>0.86580000000000013</v>
      </c>
      <c r="Y71" s="211">
        <f>SUMIFS('Key Inputs_BY Techs'!S:S,'Key Inputs_BY Techs'!$A:$A,'RSD_BY Techs'!$L71,'Key Inputs_BY Techs'!$C:$C,'RSD_BY Techs'!$B71,'Key Inputs_BY Techs'!$E:$E,'RSD_BY Techs'!$D71)</f>
        <v>0.86580000000000013</v>
      </c>
      <c r="Z71" s="211">
        <f>SUMIFS('Key Inputs_BY Techs'!T:T,'Key Inputs_BY Techs'!$A:$A,'RSD_BY Techs'!$L71,'Key Inputs_BY Techs'!$C:$C,'RSD_BY Techs'!$B71,'Key Inputs_BY Techs'!$E:$E,'RSD_BY Techs'!$D71)</f>
        <v>0.86580000000000013</v>
      </c>
      <c r="AA71" s="211">
        <f>SUMIFS('Key Inputs_BY Techs'!U:U,'Key Inputs_BY Techs'!$A:$A,'RSD_BY Techs'!$L71,'Key Inputs_BY Techs'!$C:$C,'RSD_BY Techs'!$B71,'Key Inputs_BY Techs'!$E:$E,'RSD_BY Techs'!$D71)</f>
        <v>0.86580000000000013</v>
      </c>
      <c r="AB71" s="211">
        <f>SUMIFS('Key Inputs_BY Techs'!V:V,'Key Inputs_BY Techs'!$A:$A,'RSD_BY Techs'!$L71,'Key Inputs_BY Techs'!$C:$C,'RSD_BY Techs'!$B71,'Key Inputs_BY Techs'!$E:$E,'RSD_BY Techs'!$D71)</f>
        <v>0.86580000000000013</v>
      </c>
      <c r="AC71" s="211">
        <f>SUMIFS('Key Inputs_BY Techs'!W:W,'Key Inputs_BY Techs'!$A:$A,'RSD_BY Techs'!$L71,'Key Inputs_BY Techs'!$C:$C,'RSD_BY Techs'!$B71,'Key Inputs_BY Techs'!$E:$E,'RSD_BY Techs'!$D71)</f>
        <v>0.86580000000000013</v>
      </c>
      <c r="AD71" s="211">
        <f>SUMIFS('Key Inputs_BY Techs'!X:X,'Key Inputs_BY Techs'!$A:$A,'RSD_BY Techs'!$L71,'Key Inputs_BY Techs'!$C:$C,'RSD_BY Techs'!$B71,'Key Inputs_BY Techs'!$E:$E,'RSD_BY Techs'!$D71)</f>
        <v>0.86580000000000013</v>
      </c>
      <c r="AE71" s="211">
        <f>SUMIFS('Key Inputs_BY Techs'!Y:Y,'Key Inputs_BY Techs'!$A:$A,'RSD_BY Techs'!$L71,'Key Inputs_BY Techs'!$C:$C,'RSD_BY Techs'!$B71,'Key Inputs_BY Techs'!$E:$E,'RSD_BY Techs'!$D71)</f>
        <v>0.86580000000000013</v>
      </c>
      <c r="AF71" s="211">
        <f>SUMIFS('Key Inputs_BY Techs'!Z:Z,'Key Inputs_BY Techs'!$A:$A,'RSD_BY Techs'!$L71,'Key Inputs_BY Techs'!$C:$C,'RSD_BY Techs'!$B71,'Key Inputs_BY Techs'!$E:$E,'RSD_BY Techs'!$D71)</f>
        <v>0.86580000000000013</v>
      </c>
      <c r="AG71" s="211">
        <f>SUMIFS('Key Inputs_BY Techs'!AA:AA,'Key Inputs_BY Techs'!$A:$A,'RSD_BY Techs'!$L71,'Key Inputs_BY Techs'!$C:$C,'RSD_BY Techs'!$B71,'Key Inputs_BY Techs'!$E:$E,'RSD_BY Techs'!$D71)</f>
        <v>0.86580000000000013</v>
      </c>
      <c r="AH71" s="211">
        <f>SUMIFS('Key Inputs_BY Techs'!AB:AB,'Key Inputs_BY Techs'!$A:$A,'RSD_BY Techs'!$L71,'Key Inputs_BY Techs'!$C:$C,'RSD_BY Techs'!$B71,'Key Inputs_BY Techs'!$E:$E,'RSD_BY Techs'!$D71)</f>
        <v>0.86580000000000013</v>
      </c>
      <c r="AI71" s="211">
        <f>SUMIFS('Key Inputs_BY Techs'!AC:AC,'Key Inputs_BY Techs'!$A:$A,'RSD_BY Techs'!$L71,'Key Inputs_BY Techs'!$C:$C,'RSD_BY Techs'!$B71,'Key Inputs_BY Techs'!$E:$E,'RSD_BY Techs'!$D71)</f>
        <v>0.86580000000000013</v>
      </c>
      <c r="AJ71" s="211">
        <f>SUMIFS('Key Inputs_BY Techs'!AD:AD,'Key Inputs_BY Techs'!$A:$A,'RSD_BY Techs'!$L71,'Key Inputs_BY Techs'!$C:$C,'RSD_BY Techs'!$B71,'Key Inputs_BY Techs'!$E:$E,'RSD_BY Techs'!$D71)</f>
        <v>0.86580000000000013</v>
      </c>
      <c r="AK71" s="211">
        <f>SUMIFS('Key Inputs_BY Techs'!AE:AE,'Key Inputs_BY Techs'!$A:$A,'RSD_BY Techs'!$L71,'Key Inputs_BY Techs'!$C:$C,'RSD_BY Techs'!$B71,'Key Inputs_BY Techs'!$E:$E,'RSD_BY Techs'!$D71)</f>
        <v>0.86580000000000013</v>
      </c>
      <c r="AL71" s="211">
        <f>SUMIFS('Key Inputs_BY Techs'!AF:AF,'Key Inputs_BY Techs'!$A:$A,'RSD_BY Techs'!$L71,'Key Inputs_BY Techs'!$C:$C,'RSD_BY Techs'!$B71,'Key Inputs_BY Techs'!$E:$E,'RSD_BY Techs'!$D71)</f>
        <v>0.86580000000000013</v>
      </c>
      <c r="AM71" s="211">
        <f>SUMIFS('Key Inputs_BY Techs'!AG:AG,'Key Inputs_BY Techs'!$A:$A,'RSD_BY Techs'!$L71,'Key Inputs_BY Techs'!$C:$C,'RSD_BY Techs'!$B71,'Key Inputs_BY Techs'!$E:$E,'RSD_BY Techs'!$D71)</f>
        <v>0.86580000000000013</v>
      </c>
      <c r="AN71" s="211">
        <f>SUMIFS('Key Inputs_BY Techs'!AH:AH,'Key Inputs_BY Techs'!$A:$A,'RSD_BY Techs'!$L71,'Key Inputs_BY Techs'!$C:$C,'RSD_BY Techs'!$B71,'Key Inputs_BY Techs'!$E:$E,'RSD_BY Techs'!$D71)</f>
        <v>0.86580000000000013</v>
      </c>
      <c r="AO71" s="211">
        <f>SUMIFS('Key Inputs_BY Techs'!AI:AI,'Key Inputs_BY Techs'!$A:$A,'RSD_BY Techs'!$L71,'Key Inputs_BY Techs'!$C:$C,'RSD_BY Techs'!$B71,'Key Inputs_BY Techs'!$E:$E,'RSD_BY Techs'!$D71)</f>
        <v>0.86580000000000013</v>
      </c>
      <c r="AP71" s="211">
        <f>SUMIFS('Key Inputs_BY Techs'!AJ:AJ,'Key Inputs_BY Techs'!$A:$A,'RSD_BY Techs'!$L71,'Key Inputs_BY Techs'!$C:$C,'RSD_BY Techs'!$B71,'Key Inputs_BY Techs'!$E:$E,'RSD_BY Techs'!$D71)</f>
        <v>0.86580000000000013</v>
      </c>
    </row>
    <row r="72" spans="1:42" x14ac:dyDescent="0.25">
      <c r="A72" s="254" t="s">
        <v>122</v>
      </c>
      <c r="B72" s="254" t="s">
        <v>469</v>
      </c>
      <c r="C72" s="254" t="str">
        <f>Legend!$A$67</f>
        <v>Geothermal</v>
      </c>
      <c r="D72" s="254" t="str">
        <f>Legend!$B$67</f>
        <v>RSDGEO</v>
      </c>
      <c r="E72" s="254" t="str">
        <f t="shared" si="22"/>
        <v>RSDGEO</v>
      </c>
      <c r="F72" s="254"/>
      <c r="G72" s="254"/>
      <c r="I72" s="211" t="str">
        <f t="shared" si="21"/>
        <v>R-THH-HEX_GEO00</v>
      </c>
      <c r="J72" s="211" t="str">
        <f t="shared" si="21"/>
        <v>RSD Thermal uses technology: Geothermal - Existing</v>
      </c>
      <c r="K72" s="211"/>
      <c r="L72" s="211" t="s">
        <v>37</v>
      </c>
      <c r="M72" s="211" t="s">
        <v>174</v>
      </c>
      <c r="N72" s="211"/>
      <c r="O72" s="211">
        <f>SUMIFS('Key Inputs_BY Techs'!I:I,'Key Inputs_BY Techs'!$A:$A,'RSD_BY Techs'!$L72,'Key Inputs_BY Techs'!$C:$C,'RSD_BY Techs'!$B72,'Key Inputs_BY Techs'!$E:$E,'RSD_BY Techs'!$D72)</f>
        <v>0.72320888520081605</v>
      </c>
      <c r="P72" s="211">
        <f>SUMIFS('Key Inputs_BY Techs'!J:J,'Key Inputs_BY Techs'!$A:$A,'RSD_BY Techs'!$L72,'Key Inputs_BY Techs'!$C:$C,'RSD_BY Techs'!$B72,'Key Inputs_BY Techs'!$E:$E,'RSD_BY Techs'!$D72)</f>
        <v>0.72320888520081605</v>
      </c>
      <c r="Q72" s="211">
        <f>SUMIFS('Key Inputs_BY Techs'!K:K,'Key Inputs_BY Techs'!$A:$A,'RSD_BY Techs'!$L72,'Key Inputs_BY Techs'!$C:$C,'RSD_BY Techs'!$B72,'Key Inputs_BY Techs'!$E:$E,'RSD_BY Techs'!$D72)</f>
        <v>0.72320888520081605</v>
      </c>
      <c r="R72" s="211">
        <f>SUMIFS('Key Inputs_BY Techs'!L:L,'Key Inputs_BY Techs'!$A:$A,'RSD_BY Techs'!$L72,'Key Inputs_BY Techs'!$C:$C,'RSD_BY Techs'!$B72,'Key Inputs_BY Techs'!$E:$E,'RSD_BY Techs'!$D72)</f>
        <v>0.72320888520081605</v>
      </c>
      <c r="S72" s="211">
        <f>SUMIFS('Key Inputs_BY Techs'!M:M,'Key Inputs_BY Techs'!$A:$A,'RSD_BY Techs'!$L72,'Key Inputs_BY Techs'!$C:$C,'RSD_BY Techs'!$B72,'Key Inputs_BY Techs'!$E:$E,'RSD_BY Techs'!$D72)</f>
        <v>0.72320888520081605</v>
      </c>
      <c r="T72" s="211">
        <f>SUMIFS('Key Inputs_BY Techs'!N:N,'Key Inputs_BY Techs'!$A:$A,'RSD_BY Techs'!$L72,'Key Inputs_BY Techs'!$C:$C,'RSD_BY Techs'!$B72,'Key Inputs_BY Techs'!$E:$E,'RSD_BY Techs'!$D72)</f>
        <v>0.72320888520081605</v>
      </c>
      <c r="U72" s="211">
        <f>SUMIFS('Key Inputs_BY Techs'!O:O,'Key Inputs_BY Techs'!$A:$A,'RSD_BY Techs'!$L72,'Key Inputs_BY Techs'!$C:$C,'RSD_BY Techs'!$B72,'Key Inputs_BY Techs'!$E:$E,'RSD_BY Techs'!$D72)</f>
        <v>0.72320888520081605</v>
      </c>
      <c r="V72" s="211">
        <f>SUMIFS('Key Inputs_BY Techs'!P:P,'Key Inputs_BY Techs'!$A:$A,'RSD_BY Techs'!$L72,'Key Inputs_BY Techs'!$C:$C,'RSD_BY Techs'!$B72,'Key Inputs_BY Techs'!$E:$E,'RSD_BY Techs'!$D72)</f>
        <v>0.72320888520081605</v>
      </c>
      <c r="W72" s="211">
        <f>SUMIFS('Key Inputs_BY Techs'!Q:Q,'Key Inputs_BY Techs'!$A:$A,'RSD_BY Techs'!$L72,'Key Inputs_BY Techs'!$C:$C,'RSD_BY Techs'!$B72,'Key Inputs_BY Techs'!$E:$E,'RSD_BY Techs'!$D72)</f>
        <v>0.72320888520081605</v>
      </c>
      <c r="X72" s="211">
        <f>SUMIFS('Key Inputs_BY Techs'!R:R,'Key Inputs_BY Techs'!$A:$A,'RSD_BY Techs'!$L72,'Key Inputs_BY Techs'!$C:$C,'RSD_BY Techs'!$B72,'Key Inputs_BY Techs'!$E:$E,'RSD_BY Techs'!$D72)</f>
        <v>0.72320888520081605</v>
      </c>
      <c r="Y72" s="211">
        <f>SUMIFS('Key Inputs_BY Techs'!S:S,'Key Inputs_BY Techs'!$A:$A,'RSD_BY Techs'!$L72,'Key Inputs_BY Techs'!$C:$C,'RSD_BY Techs'!$B72,'Key Inputs_BY Techs'!$E:$E,'RSD_BY Techs'!$D72)</f>
        <v>0.72320888520081605</v>
      </c>
      <c r="Z72" s="211">
        <f>SUMIFS('Key Inputs_BY Techs'!T:T,'Key Inputs_BY Techs'!$A:$A,'RSD_BY Techs'!$L72,'Key Inputs_BY Techs'!$C:$C,'RSD_BY Techs'!$B72,'Key Inputs_BY Techs'!$E:$E,'RSD_BY Techs'!$D72)</f>
        <v>0.72320888520081605</v>
      </c>
      <c r="AA72" s="211">
        <f>SUMIFS('Key Inputs_BY Techs'!U:U,'Key Inputs_BY Techs'!$A:$A,'RSD_BY Techs'!$L72,'Key Inputs_BY Techs'!$C:$C,'RSD_BY Techs'!$B72,'Key Inputs_BY Techs'!$E:$E,'RSD_BY Techs'!$D72)</f>
        <v>0.72320888520081605</v>
      </c>
      <c r="AB72" s="211">
        <f>SUMIFS('Key Inputs_BY Techs'!V:V,'Key Inputs_BY Techs'!$A:$A,'RSD_BY Techs'!$L72,'Key Inputs_BY Techs'!$C:$C,'RSD_BY Techs'!$B72,'Key Inputs_BY Techs'!$E:$E,'RSD_BY Techs'!$D72)</f>
        <v>0.72320888520081605</v>
      </c>
      <c r="AC72" s="211">
        <f>SUMIFS('Key Inputs_BY Techs'!W:W,'Key Inputs_BY Techs'!$A:$A,'RSD_BY Techs'!$L72,'Key Inputs_BY Techs'!$C:$C,'RSD_BY Techs'!$B72,'Key Inputs_BY Techs'!$E:$E,'RSD_BY Techs'!$D72)</f>
        <v>0.72320888520081605</v>
      </c>
      <c r="AD72" s="211">
        <f>SUMIFS('Key Inputs_BY Techs'!X:X,'Key Inputs_BY Techs'!$A:$A,'RSD_BY Techs'!$L72,'Key Inputs_BY Techs'!$C:$C,'RSD_BY Techs'!$B72,'Key Inputs_BY Techs'!$E:$E,'RSD_BY Techs'!$D72)</f>
        <v>0.72320888520081605</v>
      </c>
      <c r="AE72" s="211">
        <f>SUMIFS('Key Inputs_BY Techs'!Y:Y,'Key Inputs_BY Techs'!$A:$A,'RSD_BY Techs'!$L72,'Key Inputs_BY Techs'!$C:$C,'RSD_BY Techs'!$B72,'Key Inputs_BY Techs'!$E:$E,'RSD_BY Techs'!$D72)</f>
        <v>0.72320888520081605</v>
      </c>
      <c r="AF72" s="211">
        <f>SUMIFS('Key Inputs_BY Techs'!Z:Z,'Key Inputs_BY Techs'!$A:$A,'RSD_BY Techs'!$L72,'Key Inputs_BY Techs'!$C:$C,'RSD_BY Techs'!$B72,'Key Inputs_BY Techs'!$E:$E,'RSD_BY Techs'!$D72)</f>
        <v>0.72320888520081605</v>
      </c>
      <c r="AG72" s="211">
        <f>SUMIFS('Key Inputs_BY Techs'!AA:AA,'Key Inputs_BY Techs'!$A:$A,'RSD_BY Techs'!$L72,'Key Inputs_BY Techs'!$C:$C,'RSD_BY Techs'!$B72,'Key Inputs_BY Techs'!$E:$E,'RSD_BY Techs'!$D72)</f>
        <v>0.72320888520081605</v>
      </c>
      <c r="AH72" s="211">
        <f>SUMIFS('Key Inputs_BY Techs'!AB:AB,'Key Inputs_BY Techs'!$A:$A,'RSD_BY Techs'!$L72,'Key Inputs_BY Techs'!$C:$C,'RSD_BY Techs'!$B72,'Key Inputs_BY Techs'!$E:$E,'RSD_BY Techs'!$D72)</f>
        <v>0.72320888520081605</v>
      </c>
      <c r="AI72" s="211">
        <f>SUMIFS('Key Inputs_BY Techs'!AC:AC,'Key Inputs_BY Techs'!$A:$A,'RSD_BY Techs'!$L72,'Key Inputs_BY Techs'!$C:$C,'RSD_BY Techs'!$B72,'Key Inputs_BY Techs'!$E:$E,'RSD_BY Techs'!$D72)</f>
        <v>0.72320888520081605</v>
      </c>
      <c r="AJ72" s="211">
        <f>SUMIFS('Key Inputs_BY Techs'!AD:AD,'Key Inputs_BY Techs'!$A:$A,'RSD_BY Techs'!$L72,'Key Inputs_BY Techs'!$C:$C,'RSD_BY Techs'!$B72,'Key Inputs_BY Techs'!$E:$E,'RSD_BY Techs'!$D72)</f>
        <v>0.72320888520081605</v>
      </c>
      <c r="AK72" s="211">
        <f>SUMIFS('Key Inputs_BY Techs'!AE:AE,'Key Inputs_BY Techs'!$A:$A,'RSD_BY Techs'!$L72,'Key Inputs_BY Techs'!$C:$C,'RSD_BY Techs'!$B72,'Key Inputs_BY Techs'!$E:$E,'RSD_BY Techs'!$D72)</f>
        <v>0.72320888520081605</v>
      </c>
      <c r="AL72" s="211">
        <f>SUMIFS('Key Inputs_BY Techs'!AF:AF,'Key Inputs_BY Techs'!$A:$A,'RSD_BY Techs'!$L72,'Key Inputs_BY Techs'!$C:$C,'RSD_BY Techs'!$B72,'Key Inputs_BY Techs'!$E:$E,'RSD_BY Techs'!$D72)</f>
        <v>0.72320888520081605</v>
      </c>
      <c r="AM72" s="211">
        <f>SUMIFS('Key Inputs_BY Techs'!AG:AG,'Key Inputs_BY Techs'!$A:$A,'RSD_BY Techs'!$L72,'Key Inputs_BY Techs'!$C:$C,'RSD_BY Techs'!$B72,'Key Inputs_BY Techs'!$E:$E,'RSD_BY Techs'!$D72)</f>
        <v>0.72320888520081605</v>
      </c>
      <c r="AN72" s="211">
        <f>SUMIFS('Key Inputs_BY Techs'!AH:AH,'Key Inputs_BY Techs'!$A:$A,'RSD_BY Techs'!$L72,'Key Inputs_BY Techs'!$C:$C,'RSD_BY Techs'!$B72,'Key Inputs_BY Techs'!$E:$E,'RSD_BY Techs'!$D72)</f>
        <v>0.72320888520081605</v>
      </c>
      <c r="AO72" s="211">
        <f>SUMIFS('Key Inputs_BY Techs'!AI:AI,'Key Inputs_BY Techs'!$A:$A,'RSD_BY Techs'!$L72,'Key Inputs_BY Techs'!$C:$C,'RSD_BY Techs'!$B72,'Key Inputs_BY Techs'!$E:$E,'RSD_BY Techs'!$D72)</f>
        <v>0.72320888520081605</v>
      </c>
      <c r="AP72" s="211">
        <f>SUMIFS('Key Inputs_BY Techs'!AJ:AJ,'Key Inputs_BY Techs'!$A:$A,'RSD_BY Techs'!$L72,'Key Inputs_BY Techs'!$C:$C,'RSD_BY Techs'!$B72,'Key Inputs_BY Techs'!$E:$E,'RSD_BY Techs'!$D72)</f>
        <v>0.72320888520081605</v>
      </c>
    </row>
    <row r="73" spans="1:42" x14ac:dyDescent="0.25">
      <c r="A73" s="254" t="s">
        <v>122</v>
      </c>
      <c r="B73" s="254" t="s">
        <v>469</v>
      </c>
      <c r="C73" s="254" t="str">
        <f>Legend!$A$68</f>
        <v>Heat</v>
      </c>
      <c r="D73" s="254" t="str">
        <f>Legend!$B$68</f>
        <v>RSDHET</v>
      </c>
      <c r="E73" s="254" t="str">
        <f t="shared" si="22"/>
        <v>RSDHET</v>
      </c>
      <c r="F73" s="254"/>
      <c r="G73" s="254"/>
      <c r="I73" s="211" t="str">
        <f t="shared" si="21"/>
        <v>R-THH-HEX_HET00</v>
      </c>
      <c r="J73" s="211" t="str">
        <f t="shared" si="21"/>
        <v>RSD Thermal uses technology: Heat - Existing</v>
      </c>
      <c r="K73" s="211"/>
      <c r="L73" s="211" t="s">
        <v>37</v>
      </c>
      <c r="M73" s="211" t="s">
        <v>174</v>
      </c>
      <c r="N73" s="211"/>
      <c r="O73" s="211">
        <f>SUMIFS('Key Inputs_BY Techs'!I:I,'Key Inputs_BY Techs'!$A:$A,'RSD_BY Techs'!$L73,'Key Inputs_BY Techs'!$C:$C,'RSD_BY Techs'!$B73,'Key Inputs_BY Techs'!$E:$E,'RSD_BY Techs'!$D73)</f>
        <v>0.72320888520081605</v>
      </c>
      <c r="P73" s="211">
        <f>SUMIFS('Key Inputs_BY Techs'!J:J,'Key Inputs_BY Techs'!$A:$A,'RSD_BY Techs'!$L73,'Key Inputs_BY Techs'!$C:$C,'RSD_BY Techs'!$B73,'Key Inputs_BY Techs'!$E:$E,'RSD_BY Techs'!$D73)</f>
        <v>0.72320888520081605</v>
      </c>
      <c r="Q73" s="211">
        <f>SUMIFS('Key Inputs_BY Techs'!K:K,'Key Inputs_BY Techs'!$A:$A,'RSD_BY Techs'!$L73,'Key Inputs_BY Techs'!$C:$C,'RSD_BY Techs'!$B73,'Key Inputs_BY Techs'!$E:$E,'RSD_BY Techs'!$D73)</f>
        <v>0.72320888520081605</v>
      </c>
      <c r="R73" s="211">
        <f>SUMIFS('Key Inputs_BY Techs'!L:L,'Key Inputs_BY Techs'!$A:$A,'RSD_BY Techs'!$L73,'Key Inputs_BY Techs'!$C:$C,'RSD_BY Techs'!$B73,'Key Inputs_BY Techs'!$E:$E,'RSD_BY Techs'!$D73)</f>
        <v>0.72320888520081605</v>
      </c>
      <c r="S73" s="211">
        <f>SUMIFS('Key Inputs_BY Techs'!M:M,'Key Inputs_BY Techs'!$A:$A,'RSD_BY Techs'!$L73,'Key Inputs_BY Techs'!$C:$C,'RSD_BY Techs'!$B73,'Key Inputs_BY Techs'!$E:$E,'RSD_BY Techs'!$D73)</f>
        <v>0.72320888520081605</v>
      </c>
      <c r="T73" s="211">
        <f>SUMIFS('Key Inputs_BY Techs'!N:N,'Key Inputs_BY Techs'!$A:$A,'RSD_BY Techs'!$L73,'Key Inputs_BY Techs'!$C:$C,'RSD_BY Techs'!$B73,'Key Inputs_BY Techs'!$E:$E,'RSD_BY Techs'!$D73)</f>
        <v>0.72320888520081605</v>
      </c>
      <c r="U73" s="211">
        <f>SUMIFS('Key Inputs_BY Techs'!O:O,'Key Inputs_BY Techs'!$A:$A,'RSD_BY Techs'!$L73,'Key Inputs_BY Techs'!$C:$C,'RSD_BY Techs'!$B73,'Key Inputs_BY Techs'!$E:$E,'RSD_BY Techs'!$D73)</f>
        <v>0.72320888520081605</v>
      </c>
      <c r="V73" s="211">
        <f>SUMIFS('Key Inputs_BY Techs'!P:P,'Key Inputs_BY Techs'!$A:$A,'RSD_BY Techs'!$L73,'Key Inputs_BY Techs'!$C:$C,'RSD_BY Techs'!$B73,'Key Inputs_BY Techs'!$E:$E,'RSD_BY Techs'!$D73)</f>
        <v>0.72320888520081605</v>
      </c>
      <c r="W73" s="211">
        <f>SUMIFS('Key Inputs_BY Techs'!Q:Q,'Key Inputs_BY Techs'!$A:$A,'RSD_BY Techs'!$L73,'Key Inputs_BY Techs'!$C:$C,'RSD_BY Techs'!$B73,'Key Inputs_BY Techs'!$E:$E,'RSD_BY Techs'!$D73)</f>
        <v>0.72320888520081605</v>
      </c>
      <c r="X73" s="211">
        <f>SUMIFS('Key Inputs_BY Techs'!R:R,'Key Inputs_BY Techs'!$A:$A,'RSD_BY Techs'!$L73,'Key Inputs_BY Techs'!$C:$C,'RSD_BY Techs'!$B73,'Key Inputs_BY Techs'!$E:$E,'RSD_BY Techs'!$D73)</f>
        <v>0.72320888520081605</v>
      </c>
      <c r="Y73" s="211">
        <f>SUMIFS('Key Inputs_BY Techs'!S:S,'Key Inputs_BY Techs'!$A:$A,'RSD_BY Techs'!$L73,'Key Inputs_BY Techs'!$C:$C,'RSD_BY Techs'!$B73,'Key Inputs_BY Techs'!$E:$E,'RSD_BY Techs'!$D73)</f>
        <v>0.72320888520081605</v>
      </c>
      <c r="Z73" s="211">
        <f>SUMIFS('Key Inputs_BY Techs'!T:T,'Key Inputs_BY Techs'!$A:$A,'RSD_BY Techs'!$L73,'Key Inputs_BY Techs'!$C:$C,'RSD_BY Techs'!$B73,'Key Inputs_BY Techs'!$E:$E,'RSD_BY Techs'!$D73)</f>
        <v>0.72320888520081605</v>
      </c>
      <c r="AA73" s="211">
        <f>SUMIFS('Key Inputs_BY Techs'!U:U,'Key Inputs_BY Techs'!$A:$A,'RSD_BY Techs'!$L73,'Key Inputs_BY Techs'!$C:$C,'RSD_BY Techs'!$B73,'Key Inputs_BY Techs'!$E:$E,'RSD_BY Techs'!$D73)</f>
        <v>0.72320888520081605</v>
      </c>
      <c r="AB73" s="211">
        <f>SUMIFS('Key Inputs_BY Techs'!V:V,'Key Inputs_BY Techs'!$A:$A,'RSD_BY Techs'!$L73,'Key Inputs_BY Techs'!$C:$C,'RSD_BY Techs'!$B73,'Key Inputs_BY Techs'!$E:$E,'RSD_BY Techs'!$D73)</f>
        <v>0.72320888520081605</v>
      </c>
      <c r="AC73" s="211">
        <f>SUMIFS('Key Inputs_BY Techs'!W:W,'Key Inputs_BY Techs'!$A:$A,'RSD_BY Techs'!$L73,'Key Inputs_BY Techs'!$C:$C,'RSD_BY Techs'!$B73,'Key Inputs_BY Techs'!$E:$E,'RSD_BY Techs'!$D73)</f>
        <v>0.72320888520081605</v>
      </c>
      <c r="AD73" s="211">
        <f>SUMIFS('Key Inputs_BY Techs'!X:X,'Key Inputs_BY Techs'!$A:$A,'RSD_BY Techs'!$L73,'Key Inputs_BY Techs'!$C:$C,'RSD_BY Techs'!$B73,'Key Inputs_BY Techs'!$E:$E,'RSD_BY Techs'!$D73)</f>
        <v>0.72320888520081605</v>
      </c>
      <c r="AE73" s="211">
        <f>SUMIFS('Key Inputs_BY Techs'!Y:Y,'Key Inputs_BY Techs'!$A:$A,'RSD_BY Techs'!$L73,'Key Inputs_BY Techs'!$C:$C,'RSD_BY Techs'!$B73,'Key Inputs_BY Techs'!$E:$E,'RSD_BY Techs'!$D73)</f>
        <v>0.72320888520081605</v>
      </c>
      <c r="AF73" s="211">
        <f>SUMIFS('Key Inputs_BY Techs'!Z:Z,'Key Inputs_BY Techs'!$A:$A,'RSD_BY Techs'!$L73,'Key Inputs_BY Techs'!$C:$C,'RSD_BY Techs'!$B73,'Key Inputs_BY Techs'!$E:$E,'RSD_BY Techs'!$D73)</f>
        <v>0.72320888520081605</v>
      </c>
      <c r="AG73" s="211">
        <f>SUMIFS('Key Inputs_BY Techs'!AA:AA,'Key Inputs_BY Techs'!$A:$A,'RSD_BY Techs'!$L73,'Key Inputs_BY Techs'!$C:$C,'RSD_BY Techs'!$B73,'Key Inputs_BY Techs'!$E:$E,'RSD_BY Techs'!$D73)</f>
        <v>0.72320888520081605</v>
      </c>
      <c r="AH73" s="211">
        <f>SUMIFS('Key Inputs_BY Techs'!AB:AB,'Key Inputs_BY Techs'!$A:$A,'RSD_BY Techs'!$L73,'Key Inputs_BY Techs'!$C:$C,'RSD_BY Techs'!$B73,'Key Inputs_BY Techs'!$E:$E,'RSD_BY Techs'!$D73)</f>
        <v>0.72320888520081605</v>
      </c>
      <c r="AI73" s="211">
        <f>SUMIFS('Key Inputs_BY Techs'!AC:AC,'Key Inputs_BY Techs'!$A:$A,'RSD_BY Techs'!$L73,'Key Inputs_BY Techs'!$C:$C,'RSD_BY Techs'!$B73,'Key Inputs_BY Techs'!$E:$E,'RSD_BY Techs'!$D73)</f>
        <v>0.72320888520081605</v>
      </c>
      <c r="AJ73" s="211">
        <f>SUMIFS('Key Inputs_BY Techs'!AD:AD,'Key Inputs_BY Techs'!$A:$A,'RSD_BY Techs'!$L73,'Key Inputs_BY Techs'!$C:$C,'RSD_BY Techs'!$B73,'Key Inputs_BY Techs'!$E:$E,'RSD_BY Techs'!$D73)</f>
        <v>0.72320888520081605</v>
      </c>
      <c r="AK73" s="211">
        <f>SUMIFS('Key Inputs_BY Techs'!AE:AE,'Key Inputs_BY Techs'!$A:$A,'RSD_BY Techs'!$L73,'Key Inputs_BY Techs'!$C:$C,'RSD_BY Techs'!$B73,'Key Inputs_BY Techs'!$E:$E,'RSD_BY Techs'!$D73)</f>
        <v>0.72320888520081605</v>
      </c>
      <c r="AL73" s="211">
        <f>SUMIFS('Key Inputs_BY Techs'!AF:AF,'Key Inputs_BY Techs'!$A:$A,'RSD_BY Techs'!$L73,'Key Inputs_BY Techs'!$C:$C,'RSD_BY Techs'!$B73,'Key Inputs_BY Techs'!$E:$E,'RSD_BY Techs'!$D73)</f>
        <v>0.72320888520081605</v>
      </c>
      <c r="AM73" s="211">
        <f>SUMIFS('Key Inputs_BY Techs'!AG:AG,'Key Inputs_BY Techs'!$A:$A,'RSD_BY Techs'!$L73,'Key Inputs_BY Techs'!$C:$C,'RSD_BY Techs'!$B73,'Key Inputs_BY Techs'!$E:$E,'RSD_BY Techs'!$D73)</f>
        <v>0.72320888520081605</v>
      </c>
      <c r="AN73" s="211">
        <f>SUMIFS('Key Inputs_BY Techs'!AH:AH,'Key Inputs_BY Techs'!$A:$A,'RSD_BY Techs'!$L73,'Key Inputs_BY Techs'!$C:$C,'RSD_BY Techs'!$B73,'Key Inputs_BY Techs'!$E:$E,'RSD_BY Techs'!$D73)</f>
        <v>0.72320888520081605</v>
      </c>
      <c r="AO73" s="211">
        <f>SUMIFS('Key Inputs_BY Techs'!AI:AI,'Key Inputs_BY Techs'!$A:$A,'RSD_BY Techs'!$L73,'Key Inputs_BY Techs'!$C:$C,'RSD_BY Techs'!$B73,'Key Inputs_BY Techs'!$E:$E,'RSD_BY Techs'!$D73)</f>
        <v>0.72320888520081605</v>
      </c>
      <c r="AP73" s="211">
        <f>SUMIFS('Key Inputs_BY Techs'!AJ:AJ,'Key Inputs_BY Techs'!$A:$A,'RSD_BY Techs'!$L73,'Key Inputs_BY Techs'!$C:$C,'RSD_BY Techs'!$B73,'Key Inputs_BY Techs'!$E:$E,'RSD_BY Techs'!$D73)</f>
        <v>0.72320888520081605</v>
      </c>
    </row>
    <row r="74" spans="1:42" x14ac:dyDescent="0.25">
      <c r="A74" s="254" t="s">
        <v>122</v>
      </c>
      <c r="B74" s="254" t="s">
        <v>469</v>
      </c>
      <c r="C74" s="254" t="str">
        <f>Legend!$A$70</f>
        <v>LPG</v>
      </c>
      <c r="D74" s="254" t="str">
        <f>Legend!$B$70</f>
        <v>RSDLPG</v>
      </c>
      <c r="E74" s="254" t="str">
        <f t="shared" si="22"/>
        <v>RSDLPG</v>
      </c>
      <c r="F74" s="254"/>
      <c r="G74" s="254"/>
      <c r="I74" s="211" t="str">
        <f t="shared" si="21"/>
        <v>R-THH-BLR_LPG00</v>
      </c>
      <c r="J74" s="211" t="str">
        <f t="shared" si="21"/>
        <v>RSD Thermal uses technology: LPG - Existing</v>
      </c>
      <c r="K74" s="211"/>
      <c r="L74" s="211" t="s">
        <v>37</v>
      </c>
      <c r="M74" s="211" t="s">
        <v>174</v>
      </c>
      <c r="N74" s="211"/>
      <c r="O74" s="211">
        <f>SUMIFS('Key Inputs_BY Techs'!I:I,'Key Inputs_BY Techs'!$A:$A,'RSD_BY Techs'!$L74,'Key Inputs_BY Techs'!$C:$C,'RSD_BY Techs'!$B74,'Key Inputs_BY Techs'!$E:$E,'RSD_BY Techs'!$D74)</f>
        <v>0.94340000000000002</v>
      </c>
      <c r="P74" s="211">
        <f>SUMIFS('Key Inputs_BY Techs'!J:J,'Key Inputs_BY Techs'!$A:$A,'RSD_BY Techs'!$L74,'Key Inputs_BY Techs'!$C:$C,'RSD_BY Techs'!$B74,'Key Inputs_BY Techs'!$E:$E,'RSD_BY Techs'!$D74)</f>
        <v>0.94340000000000002</v>
      </c>
      <c r="Q74" s="211">
        <f>SUMIFS('Key Inputs_BY Techs'!K:K,'Key Inputs_BY Techs'!$A:$A,'RSD_BY Techs'!$L74,'Key Inputs_BY Techs'!$C:$C,'RSD_BY Techs'!$B74,'Key Inputs_BY Techs'!$E:$E,'RSD_BY Techs'!$D74)</f>
        <v>0.94340000000000002</v>
      </c>
      <c r="R74" s="211">
        <f>SUMIFS('Key Inputs_BY Techs'!L:L,'Key Inputs_BY Techs'!$A:$A,'RSD_BY Techs'!$L74,'Key Inputs_BY Techs'!$C:$C,'RSD_BY Techs'!$B74,'Key Inputs_BY Techs'!$E:$E,'RSD_BY Techs'!$D74)</f>
        <v>0.94340000000000002</v>
      </c>
      <c r="S74" s="211">
        <f>SUMIFS('Key Inputs_BY Techs'!M:M,'Key Inputs_BY Techs'!$A:$A,'RSD_BY Techs'!$L74,'Key Inputs_BY Techs'!$C:$C,'RSD_BY Techs'!$B74,'Key Inputs_BY Techs'!$E:$E,'RSD_BY Techs'!$D74)</f>
        <v>0.94340000000000002</v>
      </c>
      <c r="T74" s="211">
        <f>SUMIFS('Key Inputs_BY Techs'!N:N,'Key Inputs_BY Techs'!$A:$A,'RSD_BY Techs'!$L74,'Key Inputs_BY Techs'!$C:$C,'RSD_BY Techs'!$B74,'Key Inputs_BY Techs'!$E:$E,'RSD_BY Techs'!$D74)</f>
        <v>0.94340000000000002</v>
      </c>
      <c r="U74" s="211">
        <f>SUMIFS('Key Inputs_BY Techs'!O:O,'Key Inputs_BY Techs'!$A:$A,'RSD_BY Techs'!$L74,'Key Inputs_BY Techs'!$C:$C,'RSD_BY Techs'!$B74,'Key Inputs_BY Techs'!$E:$E,'RSD_BY Techs'!$D74)</f>
        <v>0.94340000000000002</v>
      </c>
      <c r="V74" s="211">
        <f>SUMIFS('Key Inputs_BY Techs'!P:P,'Key Inputs_BY Techs'!$A:$A,'RSD_BY Techs'!$L74,'Key Inputs_BY Techs'!$C:$C,'RSD_BY Techs'!$B74,'Key Inputs_BY Techs'!$E:$E,'RSD_BY Techs'!$D74)</f>
        <v>0.94340000000000002</v>
      </c>
      <c r="W74" s="211">
        <f>SUMIFS('Key Inputs_BY Techs'!Q:Q,'Key Inputs_BY Techs'!$A:$A,'RSD_BY Techs'!$L74,'Key Inputs_BY Techs'!$C:$C,'RSD_BY Techs'!$B74,'Key Inputs_BY Techs'!$E:$E,'RSD_BY Techs'!$D74)</f>
        <v>0.94340000000000002</v>
      </c>
      <c r="X74" s="211">
        <f>SUMIFS('Key Inputs_BY Techs'!R:R,'Key Inputs_BY Techs'!$A:$A,'RSD_BY Techs'!$L74,'Key Inputs_BY Techs'!$C:$C,'RSD_BY Techs'!$B74,'Key Inputs_BY Techs'!$E:$E,'RSD_BY Techs'!$D74)</f>
        <v>0.94340000000000002</v>
      </c>
      <c r="Y74" s="211">
        <f>SUMIFS('Key Inputs_BY Techs'!S:S,'Key Inputs_BY Techs'!$A:$A,'RSD_BY Techs'!$L74,'Key Inputs_BY Techs'!$C:$C,'RSD_BY Techs'!$B74,'Key Inputs_BY Techs'!$E:$E,'RSD_BY Techs'!$D74)</f>
        <v>0.94340000000000002</v>
      </c>
      <c r="Z74" s="211">
        <f>SUMIFS('Key Inputs_BY Techs'!T:T,'Key Inputs_BY Techs'!$A:$A,'RSD_BY Techs'!$L74,'Key Inputs_BY Techs'!$C:$C,'RSD_BY Techs'!$B74,'Key Inputs_BY Techs'!$E:$E,'RSD_BY Techs'!$D74)</f>
        <v>0.94340000000000002</v>
      </c>
      <c r="AA74" s="211">
        <f>SUMIFS('Key Inputs_BY Techs'!U:U,'Key Inputs_BY Techs'!$A:$A,'RSD_BY Techs'!$L74,'Key Inputs_BY Techs'!$C:$C,'RSD_BY Techs'!$B74,'Key Inputs_BY Techs'!$E:$E,'RSD_BY Techs'!$D74)</f>
        <v>0.94340000000000002</v>
      </c>
      <c r="AB74" s="211">
        <f>SUMIFS('Key Inputs_BY Techs'!V:V,'Key Inputs_BY Techs'!$A:$A,'RSD_BY Techs'!$L74,'Key Inputs_BY Techs'!$C:$C,'RSD_BY Techs'!$B74,'Key Inputs_BY Techs'!$E:$E,'RSD_BY Techs'!$D74)</f>
        <v>0.94340000000000002</v>
      </c>
      <c r="AC74" s="211">
        <f>SUMIFS('Key Inputs_BY Techs'!W:W,'Key Inputs_BY Techs'!$A:$A,'RSD_BY Techs'!$L74,'Key Inputs_BY Techs'!$C:$C,'RSD_BY Techs'!$B74,'Key Inputs_BY Techs'!$E:$E,'RSD_BY Techs'!$D74)</f>
        <v>0.94340000000000002</v>
      </c>
      <c r="AD74" s="211">
        <f>SUMIFS('Key Inputs_BY Techs'!X:X,'Key Inputs_BY Techs'!$A:$A,'RSD_BY Techs'!$L74,'Key Inputs_BY Techs'!$C:$C,'RSD_BY Techs'!$B74,'Key Inputs_BY Techs'!$E:$E,'RSD_BY Techs'!$D74)</f>
        <v>0.94340000000000002</v>
      </c>
      <c r="AE74" s="211">
        <f>SUMIFS('Key Inputs_BY Techs'!Y:Y,'Key Inputs_BY Techs'!$A:$A,'RSD_BY Techs'!$L74,'Key Inputs_BY Techs'!$C:$C,'RSD_BY Techs'!$B74,'Key Inputs_BY Techs'!$E:$E,'RSD_BY Techs'!$D74)</f>
        <v>0.94340000000000002</v>
      </c>
      <c r="AF74" s="211">
        <f>SUMIFS('Key Inputs_BY Techs'!Z:Z,'Key Inputs_BY Techs'!$A:$A,'RSD_BY Techs'!$L74,'Key Inputs_BY Techs'!$C:$C,'RSD_BY Techs'!$B74,'Key Inputs_BY Techs'!$E:$E,'RSD_BY Techs'!$D74)</f>
        <v>0.94340000000000002</v>
      </c>
      <c r="AG74" s="211">
        <f>SUMIFS('Key Inputs_BY Techs'!AA:AA,'Key Inputs_BY Techs'!$A:$A,'RSD_BY Techs'!$L74,'Key Inputs_BY Techs'!$C:$C,'RSD_BY Techs'!$B74,'Key Inputs_BY Techs'!$E:$E,'RSD_BY Techs'!$D74)</f>
        <v>0.94340000000000002</v>
      </c>
      <c r="AH74" s="211">
        <f>SUMIFS('Key Inputs_BY Techs'!AB:AB,'Key Inputs_BY Techs'!$A:$A,'RSD_BY Techs'!$L74,'Key Inputs_BY Techs'!$C:$C,'RSD_BY Techs'!$B74,'Key Inputs_BY Techs'!$E:$E,'RSD_BY Techs'!$D74)</f>
        <v>0.94340000000000002</v>
      </c>
      <c r="AI74" s="211">
        <f>SUMIFS('Key Inputs_BY Techs'!AC:AC,'Key Inputs_BY Techs'!$A:$A,'RSD_BY Techs'!$L74,'Key Inputs_BY Techs'!$C:$C,'RSD_BY Techs'!$B74,'Key Inputs_BY Techs'!$E:$E,'RSD_BY Techs'!$D74)</f>
        <v>0.94340000000000002</v>
      </c>
      <c r="AJ74" s="211">
        <f>SUMIFS('Key Inputs_BY Techs'!AD:AD,'Key Inputs_BY Techs'!$A:$A,'RSD_BY Techs'!$L74,'Key Inputs_BY Techs'!$C:$C,'RSD_BY Techs'!$B74,'Key Inputs_BY Techs'!$E:$E,'RSD_BY Techs'!$D74)</f>
        <v>0.94340000000000002</v>
      </c>
      <c r="AK74" s="211">
        <f>SUMIFS('Key Inputs_BY Techs'!AE:AE,'Key Inputs_BY Techs'!$A:$A,'RSD_BY Techs'!$L74,'Key Inputs_BY Techs'!$C:$C,'RSD_BY Techs'!$B74,'Key Inputs_BY Techs'!$E:$E,'RSD_BY Techs'!$D74)</f>
        <v>0.94340000000000002</v>
      </c>
      <c r="AL74" s="211">
        <f>SUMIFS('Key Inputs_BY Techs'!AF:AF,'Key Inputs_BY Techs'!$A:$A,'RSD_BY Techs'!$L74,'Key Inputs_BY Techs'!$C:$C,'RSD_BY Techs'!$B74,'Key Inputs_BY Techs'!$E:$E,'RSD_BY Techs'!$D74)</f>
        <v>0.94340000000000002</v>
      </c>
      <c r="AM74" s="211">
        <f>SUMIFS('Key Inputs_BY Techs'!AG:AG,'Key Inputs_BY Techs'!$A:$A,'RSD_BY Techs'!$L74,'Key Inputs_BY Techs'!$C:$C,'RSD_BY Techs'!$B74,'Key Inputs_BY Techs'!$E:$E,'RSD_BY Techs'!$D74)</f>
        <v>0.94340000000000002</v>
      </c>
      <c r="AN74" s="211">
        <f>SUMIFS('Key Inputs_BY Techs'!AH:AH,'Key Inputs_BY Techs'!$A:$A,'RSD_BY Techs'!$L74,'Key Inputs_BY Techs'!$C:$C,'RSD_BY Techs'!$B74,'Key Inputs_BY Techs'!$E:$E,'RSD_BY Techs'!$D74)</f>
        <v>0.94340000000000002</v>
      </c>
      <c r="AO74" s="211">
        <f>SUMIFS('Key Inputs_BY Techs'!AI:AI,'Key Inputs_BY Techs'!$A:$A,'RSD_BY Techs'!$L74,'Key Inputs_BY Techs'!$C:$C,'RSD_BY Techs'!$B74,'Key Inputs_BY Techs'!$E:$E,'RSD_BY Techs'!$D74)</f>
        <v>0.94340000000000002</v>
      </c>
      <c r="AP74" s="211">
        <f>SUMIFS('Key Inputs_BY Techs'!AJ:AJ,'Key Inputs_BY Techs'!$A:$A,'RSD_BY Techs'!$L74,'Key Inputs_BY Techs'!$C:$C,'RSD_BY Techs'!$B74,'Key Inputs_BY Techs'!$E:$E,'RSD_BY Techs'!$D74)</f>
        <v>0.94340000000000002</v>
      </c>
    </row>
    <row r="75" spans="1:42" x14ac:dyDescent="0.25">
      <c r="A75" s="254" t="s">
        <v>122</v>
      </c>
      <c r="B75" s="254" t="s">
        <v>469</v>
      </c>
      <c r="C75" s="254" t="str">
        <f>Legend!$A$73&amp;", "&amp;Legend!$A$69</f>
        <v>Oil, Liquid biofuels</v>
      </c>
      <c r="D75" s="254" t="str">
        <f>Legend!$B$73&amp;", "&amp;Legend!$B$69</f>
        <v>RSDOIL, RSDBLQ</v>
      </c>
      <c r="E75" s="254" t="str">
        <f t="shared" si="22"/>
        <v>RSDOIL</v>
      </c>
      <c r="F75" s="254"/>
      <c r="G75" s="254"/>
      <c r="I75" s="211" t="str">
        <f t="shared" si="21"/>
        <v>R-THH-BLR_OIL00</v>
      </c>
      <c r="J75" s="211" t="str">
        <f t="shared" si="21"/>
        <v>RSD Thermal uses technology: Oil, Liquid biofuels - Existing</v>
      </c>
      <c r="K75" s="211"/>
      <c r="L75" s="211" t="s">
        <v>37</v>
      </c>
      <c r="M75" s="211" t="s">
        <v>174</v>
      </c>
      <c r="N75" s="211"/>
      <c r="O75" s="211">
        <f>SUMIFS('Key Inputs_BY Techs'!I:I,'Key Inputs_BY Techs'!$A:$A,'RSD_BY Techs'!$L75,'Key Inputs_BY Techs'!$C:$C,'RSD_BY Techs'!$B75,'Key Inputs_BY Techs'!$E:$E,'RSD_BY Techs'!$D75)</f>
        <v>0.94340000000000002</v>
      </c>
      <c r="P75" s="211">
        <f>SUMIFS('Key Inputs_BY Techs'!J:J,'Key Inputs_BY Techs'!$A:$A,'RSD_BY Techs'!$L75,'Key Inputs_BY Techs'!$C:$C,'RSD_BY Techs'!$B75,'Key Inputs_BY Techs'!$E:$E,'RSD_BY Techs'!$D75)</f>
        <v>0.94340000000000002</v>
      </c>
      <c r="Q75" s="211">
        <f>SUMIFS('Key Inputs_BY Techs'!K:K,'Key Inputs_BY Techs'!$A:$A,'RSD_BY Techs'!$L75,'Key Inputs_BY Techs'!$C:$C,'RSD_BY Techs'!$B75,'Key Inputs_BY Techs'!$E:$E,'RSD_BY Techs'!$D75)</f>
        <v>0.94340000000000002</v>
      </c>
      <c r="R75" s="211">
        <f>SUMIFS('Key Inputs_BY Techs'!L:L,'Key Inputs_BY Techs'!$A:$A,'RSD_BY Techs'!$L75,'Key Inputs_BY Techs'!$C:$C,'RSD_BY Techs'!$B75,'Key Inputs_BY Techs'!$E:$E,'RSD_BY Techs'!$D75)</f>
        <v>0.94340000000000002</v>
      </c>
      <c r="S75" s="211">
        <f>SUMIFS('Key Inputs_BY Techs'!M:M,'Key Inputs_BY Techs'!$A:$A,'RSD_BY Techs'!$L75,'Key Inputs_BY Techs'!$C:$C,'RSD_BY Techs'!$B75,'Key Inputs_BY Techs'!$E:$E,'RSD_BY Techs'!$D75)</f>
        <v>0.94340000000000002</v>
      </c>
      <c r="T75" s="211">
        <f>SUMIFS('Key Inputs_BY Techs'!N:N,'Key Inputs_BY Techs'!$A:$A,'RSD_BY Techs'!$L75,'Key Inputs_BY Techs'!$C:$C,'RSD_BY Techs'!$B75,'Key Inputs_BY Techs'!$E:$E,'RSD_BY Techs'!$D75)</f>
        <v>0.94340000000000002</v>
      </c>
      <c r="U75" s="211">
        <f>SUMIFS('Key Inputs_BY Techs'!O:O,'Key Inputs_BY Techs'!$A:$A,'RSD_BY Techs'!$L75,'Key Inputs_BY Techs'!$C:$C,'RSD_BY Techs'!$B75,'Key Inputs_BY Techs'!$E:$E,'RSD_BY Techs'!$D75)</f>
        <v>0.94340000000000002</v>
      </c>
      <c r="V75" s="211">
        <f>SUMIFS('Key Inputs_BY Techs'!P:P,'Key Inputs_BY Techs'!$A:$A,'RSD_BY Techs'!$L75,'Key Inputs_BY Techs'!$C:$C,'RSD_BY Techs'!$B75,'Key Inputs_BY Techs'!$E:$E,'RSD_BY Techs'!$D75)</f>
        <v>0.94340000000000002</v>
      </c>
      <c r="W75" s="211">
        <f>SUMIFS('Key Inputs_BY Techs'!Q:Q,'Key Inputs_BY Techs'!$A:$A,'RSD_BY Techs'!$L75,'Key Inputs_BY Techs'!$C:$C,'RSD_BY Techs'!$B75,'Key Inputs_BY Techs'!$E:$E,'RSD_BY Techs'!$D75)</f>
        <v>0.94340000000000002</v>
      </c>
      <c r="X75" s="211">
        <f>SUMIFS('Key Inputs_BY Techs'!R:R,'Key Inputs_BY Techs'!$A:$A,'RSD_BY Techs'!$L75,'Key Inputs_BY Techs'!$C:$C,'RSD_BY Techs'!$B75,'Key Inputs_BY Techs'!$E:$E,'RSD_BY Techs'!$D75)</f>
        <v>0.94340000000000002</v>
      </c>
      <c r="Y75" s="211">
        <f>SUMIFS('Key Inputs_BY Techs'!S:S,'Key Inputs_BY Techs'!$A:$A,'RSD_BY Techs'!$L75,'Key Inputs_BY Techs'!$C:$C,'RSD_BY Techs'!$B75,'Key Inputs_BY Techs'!$E:$E,'RSD_BY Techs'!$D75)</f>
        <v>0.94340000000000002</v>
      </c>
      <c r="Z75" s="211">
        <f>SUMIFS('Key Inputs_BY Techs'!T:T,'Key Inputs_BY Techs'!$A:$A,'RSD_BY Techs'!$L75,'Key Inputs_BY Techs'!$C:$C,'RSD_BY Techs'!$B75,'Key Inputs_BY Techs'!$E:$E,'RSD_BY Techs'!$D75)</f>
        <v>0.94340000000000002</v>
      </c>
      <c r="AA75" s="211">
        <f>SUMIFS('Key Inputs_BY Techs'!U:U,'Key Inputs_BY Techs'!$A:$A,'RSD_BY Techs'!$L75,'Key Inputs_BY Techs'!$C:$C,'RSD_BY Techs'!$B75,'Key Inputs_BY Techs'!$E:$E,'RSD_BY Techs'!$D75)</f>
        <v>0.94340000000000002</v>
      </c>
      <c r="AB75" s="211">
        <f>SUMIFS('Key Inputs_BY Techs'!V:V,'Key Inputs_BY Techs'!$A:$A,'RSD_BY Techs'!$L75,'Key Inputs_BY Techs'!$C:$C,'RSD_BY Techs'!$B75,'Key Inputs_BY Techs'!$E:$E,'RSD_BY Techs'!$D75)</f>
        <v>0.94340000000000002</v>
      </c>
      <c r="AC75" s="211">
        <f>SUMIFS('Key Inputs_BY Techs'!W:W,'Key Inputs_BY Techs'!$A:$A,'RSD_BY Techs'!$L75,'Key Inputs_BY Techs'!$C:$C,'RSD_BY Techs'!$B75,'Key Inputs_BY Techs'!$E:$E,'RSD_BY Techs'!$D75)</f>
        <v>0.94340000000000002</v>
      </c>
      <c r="AD75" s="211">
        <f>SUMIFS('Key Inputs_BY Techs'!X:X,'Key Inputs_BY Techs'!$A:$A,'RSD_BY Techs'!$L75,'Key Inputs_BY Techs'!$C:$C,'RSD_BY Techs'!$B75,'Key Inputs_BY Techs'!$E:$E,'RSD_BY Techs'!$D75)</f>
        <v>0.94340000000000002</v>
      </c>
      <c r="AE75" s="211">
        <f>SUMIFS('Key Inputs_BY Techs'!Y:Y,'Key Inputs_BY Techs'!$A:$A,'RSD_BY Techs'!$L75,'Key Inputs_BY Techs'!$C:$C,'RSD_BY Techs'!$B75,'Key Inputs_BY Techs'!$E:$E,'RSD_BY Techs'!$D75)</f>
        <v>0.94340000000000002</v>
      </c>
      <c r="AF75" s="211">
        <f>SUMIFS('Key Inputs_BY Techs'!Z:Z,'Key Inputs_BY Techs'!$A:$A,'RSD_BY Techs'!$L75,'Key Inputs_BY Techs'!$C:$C,'RSD_BY Techs'!$B75,'Key Inputs_BY Techs'!$E:$E,'RSD_BY Techs'!$D75)</f>
        <v>0.94340000000000002</v>
      </c>
      <c r="AG75" s="211">
        <f>SUMIFS('Key Inputs_BY Techs'!AA:AA,'Key Inputs_BY Techs'!$A:$A,'RSD_BY Techs'!$L75,'Key Inputs_BY Techs'!$C:$C,'RSD_BY Techs'!$B75,'Key Inputs_BY Techs'!$E:$E,'RSD_BY Techs'!$D75)</f>
        <v>0.94340000000000002</v>
      </c>
      <c r="AH75" s="211">
        <f>SUMIFS('Key Inputs_BY Techs'!AB:AB,'Key Inputs_BY Techs'!$A:$A,'RSD_BY Techs'!$L75,'Key Inputs_BY Techs'!$C:$C,'RSD_BY Techs'!$B75,'Key Inputs_BY Techs'!$E:$E,'RSD_BY Techs'!$D75)</f>
        <v>0.94340000000000002</v>
      </c>
      <c r="AI75" s="211">
        <f>SUMIFS('Key Inputs_BY Techs'!AC:AC,'Key Inputs_BY Techs'!$A:$A,'RSD_BY Techs'!$L75,'Key Inputs_BY Techs'!$C:$C,'RSD_BY Techs'!$B75,'Key Inputs_BY Techs'!$E:$E,'RSD_BY Techs'!$D75)</f>
        <v>0.94340000000000002</v>
      </c>
      <c r="AJ75" s="211">
        <f>SUMIFS('Key Inputs_BY Techs'!AD:AD,'Key Inputs_BY Techs'!$A:$A,'RSD_BY Techs'!$L75,'Key Inputs_BY Techs'!$C:$C,'RSD_BY Techs'!$B75,'Key Inputs_BY Techs'!$E:$E,'RSD_BY Techs'!$D75)</f>
        <v>0.94340000000000002</v>
      </c>
      <c r="AK75" s="211">
        <f>SUMIFS('Key Inputs_BY Techs'!AE:AE,'Key Inputs_BY Techs'!$A:$A,'RSD_BY Techs'!$L75,'Key Inputs_BY Techs'!$C:$C,'RSD_BY Techs'!$B75,'Key Inputs_BY Techs'!$E:$E,'RSD_BY Techs'!$D75)</f>
        <v>0.94340000000000002</v>
      </c>
      <c r="AL75" s="211">
        <f>SUMIFS('Key Inputs_BY Techs'!AF:AF,'Key Inputs_BY Techs'!$A:$A,'RSD_BY Techs'!$L75,'Key Inputs_BY Techs'!$C:$C,'RSD_BY Techs'!$B75,'Key Inputs_BY Techs'!$E:$E,'RSD_BY Techs'!$D75)</f>
        <v>0.94340000000000002</v>
      </c>
      <c r="AM75" s="211">
        <f>SUMIFS('Key Inputs_BY Techs'!AG:AG,'Key Inputs_BY Techs'!$A:$A,'RSD_BY Techs'!$L75,'Key Inputs_BY Techs'!$C:$C,'RSD_BY Techs'!$B75,'Key Inputs_BY Techs'!$E:$E,'RSD_BY Techs'!$D75)</f>
        <v>0.94340000000000002</v>
      </c>
      <c r="AN75" s="211">
        <f>SUMIFS('Key Inputs_BY Techs'!AH:AH,'Key Inputs_BY Techs'!$A:$A,'RSD_BY Techs'!$L75,'Key Inputs_BY Techs'!$C:$C,'RSD_BY Techs'!$B75,'Key Inputs_BY Techs'!$E:$E,'RSD_BY Techs'!$D75)</f>
        <v>0.94340000000000002</v>
      </c>
      <c r="AO75" s="211">
        <f>SUMIFS('Key Inputs_BY Techs'!AI:AI,'Key Inputs_BY Techs'!$A:$A,'RSD_BY Techs'!$L75,'Key Inputs_BY Techs'!$C:$C,'RSD_BY Techs'!$B75,'Key Inputs_BY Techs'!$E:$E,'RSD_BY Techs'!$D75)</f>
        <v>0.94340000000000002</v>
      </c>
      <c r="AP75" s="211">
        <f>SUMIFS('Key Inputs_BY Techs'!AJ:AJ,'Key Inputs_BY Techs'!$A:$A,'RSD_BY Techs'!$L75,'Key Inputs_BY Techs'!$C:$C,'RSD_BY Techs'!$B75,'Key Inputs_BY Techs'!$E:$E,'RSD_BY Techs'!$D75)</f>
        <v>0.94340000000000002</v>
      </c>
    </row>
    <row r="76" spans="1:42" x14ac:dyDescent="0.25">
      <c r="A76" s="254" t="s">
        <v>122</v>
      </c>
      <c r="B76" s="254" t="s">
        <v>469</v>
      </c>
      <c r="C76" s="254" t="str">
        <f>Legend!$A$74</f>
        <v>Solar</v>
      </c>
      <c r="D76" s="254" t="str">
        <f>Legend!$B$74</f>
        <v>RSDSOL</v>
      </c>
      <c r="E76" s="254" t="str">
        <f t="shared" si="22"/>
        <v>RSDSOL</v>
      </c>
      <c r="F76" s="254"/>
      <c r="G76" s="254"/>
      <c r="I76" s="215" t="str">
        <f t="shared" si="21"/>
        <v>R-THH-HEX_SOL00</v>
      </c>
      <c r="J76" s="215" t="str">
        <f t="shared" si="21"/>
        <v>RSD Thermal uses technology: Solar - Existing</v>
      </c>
      <c r="K76" s="215"/>
      <c r="L76" s="215" t="s">
        <v>37</v>
      </c>
      <c r="M76" s="215" t="s">
        <v>174</v>
      </c>
      <c r="N76" s="215"/>
      <c r="O76" s="215">
        <f>SUMIFS('Key Inputs_BY Techs'!I:I,'Key Inputs_BY Techs'!$A:$A,'RSD_BY Techs'!$L76,'Key Inputs_BY Techs'!$C:$C,'RSD_BY Techs'!$B76,'Key Inputs_BY Techs'!$E:$E,'RSD_BY Techs'!$D76)</f>
        <v>1</v>
      </c>
      <c r="P76" s="215">
        <f>SUMIFS('Key Inputs_BY Techs'!J:J,'Key Inputs_BY Techs'!$A:$A,'RSD_BY Techs'!$L76,'Key Inputs_BY Techs'!$C:$C,'RSD_BY Techs'!$B76,'Key Inputs_BY Techs'!$E:$E,'RSD_BY Techs'!$D76)</f>
        <v>1</v>
      </c>
      <c r="Q76" s="215">
        <f>SUMIFS('Key Inputs_BY Techs'!K:K,'Key Inputs_BY Techs'!$A:$A,'RSD_BY Techs'!$L76,'Key Inputs_BY Techs'!$C:$C,'RSD_BY Techs'!$B76,'Key Inputs_BY Techs'!$E:$E,'RSD_BY Techs'!$D76)</f>
        <v>1</v>
      </c>
      <c r="R76" s="215">
        <f>SUMIFS('Key Inputs_BY Techs'!L:L,'Key Inputs_BY Techs'!$A:$A,'RSD_BY Techs'!$L76,'Key Inputs_BY Techs'!$C:$C,'RSD_BY Techs'!$B76,'Key Inputs_BY Techs'!$E:$E,'RSD_BY Techs'!$D76)</f>
        <v>1</v>
      </c>
      <c r="S76" s="215">
        <f>SUMIFS('Key Inputs_BY Techs'!M:M,'Key Inputs_BY Techs'!$A:$A,'RSD_BY Techs'!$L76,'Key Inputs_BY Techs'!$C:$C,'RSD_BY Techs'!$B76,'Key Inputs_BY Techs'!$E:$E,'RSD_BY Techs'!$D76)</f>
        <v>1</v>
      </c>
      <c r="T76" s="215">
        <f>SUMIFS('Key Inputs_BY Techs'!N:N,'Key Inputs_BY Techs'!$A:$A,'RSD_BY Techs'!$L76,'Key Inputs_BY Techs'!$C:$C,'RSD_BY Techs'!$B76,'Key Inputs_BY Techs'!$E:$E,'RSD_BY Techs'!$D76)</f>
        <v>1</v>
      </c>
      <c r="U76" s="215">
        <f>SUMIFS('Key Inputs_BY Techs'!O:O,'Key Inputs_BY Techs'!$A:$A,'RSD_BY Techs'!$L76,'Key Inputs_BY Techs'!$C:$C,'RSD_BY Techs'!$B76,'Key Inputs_BY Techs'!$E:$E,'RSD_BY Techs'!$D76)</f>
        <v>1</v>
      </c>
      <c r="V76" s="215">
        <f>SUMIFS('Key Inputs_BY Techs'!P:P,'Key Inputs_BY Techs'!$A:$A,'RSD_BY Techs'!$L76,'Key Inputs_BY Techs'!$C:$C,'RSD_BY Techs'!$B76,'Key Inputs_BY Techs'!$E:$E,'RSD_BY Techs'!$D76)</f>
        <v>1</v>
      </c>
      <c r="W76" s="215">
        <f>SUMIFS('Key Inputs_BY Techs'!Q:Q,'Key Inputs_BY Techs'!$A:$A,'RSD_BY Techs'!$L76,'Key Inputs_BY Techs'!$C:$C,'RSD_BY Techs'!$B76,'Key Inputs_BY Techs'!$E:$E,'RSD_BY Techs'!$D76)</f>
        <v>1</v>
      </c>
      <c r="X76" s="215">
        <f>SUMIFS('Key Inputs_BY Techs'!R:R,'Key Inputs_BY Techs'!$A:$A,'RSD_BY Techs'!$L76,'Key Inputs_BY Techs'!$C:$C,'RSD_BY Techs'!$B76,'Key Inputs_BY Techs'!$E:$E,'RSD_BY Techs'!$D76)</f>
        <v>1</v>
      </c>
      <c r="Y76" s="215">
        <f>SUMIFS('Key Inputs_BY Techs'!S:S,'Key Inputs_BY Techs'!$A:$A,'RSD_BY Techs'!$L76,'Key Inputs_BY Techs'!$C:$C,'RSD_BY Techs'!$B76,'Key Inputs_BY Techs'!$E:$E,'RSD_BY Techs'!$D76)</f>
        <v>1</v>
      </c>
      <c r="Z76" s="215">
        <f>SUMIFS('Key Inputs_BY Techs'!T:T,'Key Inputs_BY Techs'!$A:$A,'RSD_BY Techs'!$L76,'Key Inputs_BY Techs'!$C:$C,'RSD_BY Techs'!$B76,'Key Inputs_BY Techs'!$E:$E,'RSD_BY Techs'!$D76)</f>
        <v>1</v>
      </c>
      <c r="AA76" s="215">
        <f>SUMIFS('Key Inputs_BY Techs'!U:U,'Key Inputs_BY Techs'!$A:$A,'RSD_BY Techs'!$L76,'Key Inputs_BY Techs'!$C:$C,'RSD_BY Techs'!$B76,'Key Inputs_BY Techs'!$E:$E,'RSD_BY Techs'!$D76)</f>
        <v>1</v>
      </c>
      <c r="AB76" s="215">
        <f>SUMIFS('Key Inputs_BY Techs'!V:V,'Key Inputs_BY Techs'!$A:$A,'RSD_BY Techs'!$L76,'Key Inputs_BY Techs'!$C:$C,'RSD_BY Techs'!$B76,'Key Inputs_BY Techs'!$E:$E,'RSD_BY Techs'!$D76)</f>
        <v>1</v>
      </c>
      <c r="AC76" s="215">
        <f>SUMIFS('Key Inputs_BY Techs'!W:W,'Key Inputs_BY Techs'!$A:$A,'RSD_BY Techs'!$L76,'Key Inputs_BY Techs'!$C:$C,'RSD_BY Techs'!$B76,'Key Inputs_BY Techs'!$E:$E,'RSD_BY Techs'!$D76)</f>
        <v>1</v>
      </c>
      <c r="AD76" s="215">
        <f>SUMIFS('Key Inputs_BY Techs'!X:X,'Key Inputs_BY Techs'!$A:$A,'RSD_BY Techs'!$L76,'Key Inputs_BY Techs'!$C:$C,'RSD_BY Techs'!$B76,'Key Inputs_BY Techs'!$E:$E,'RSD_BY Techs'!$D76)</f>
        <v>1</v>
      </c>
      <c r="AE76" s="215">
        <f>SUMIFS('Key Inputs_BY Techs'!Y:Y,'Key Inputs_BY Techs'!$A:$A,'RSD_BY Techs'!$L76,'Key Inputs_BY Techs'!$C:$C,'RSD_BY Techs'!$B76,'Key Inputs_BY Techs'!$E:$E,'RSD_BY Techs'!$D76)</f>
        <v>1</v>
      </c>
      <c r="AF76" s="215">
        <f>SUMIFS('Key Inputs_BY Techs'!Z:Z,'Key Inputs_BY Techs'!$A:$A,'RSD_BY Techs'!$L76,'Key Inputs_BY Techs'!$C:$C,'RSD_BY Techs'!$B76,'Key Inputs_BY Techs'!$E:$E,'RSD_BY Techs'!$D76)</f>
        <v>1</v>
      </c>
      <c r="AG76" s="215">
        <f>SUMIFS('Key Inputs_BY Techs'!AA:AA,'Key Inputs_BY Techs'!$A:$A,'RSD_BY Techs'!$L76,'Key Inputs_BY Techs'!$C:$C,'RSD_BY Techs'!$B76,'Key Inputs_BY Techs'!$E:$E,'RSD_BY Techs'!$D76)</f>
        <v>1</v>
      </c>
      <c r="AH76" s="215">
        <f>SUMIFS('Key Inputs_BY Techs'!AB:AB,'Key Inputs_BY Techs'!$A:$A,'RSD_BY Techs'!$L76,'Key Inputs_BY Techs'!$C:$C,'RSD_BY Techs'!$B76,'Key Inputs_BY Techs'!$E:$E,'RSD_BY Techs'!$D76)</f>
        <v>1</v>
      </c>
      <c r="AI76" s="215">
        <f>SUMIFS('Key Inputs_BY Techs'!AC:AC,'Key Inputs_BY Techs'!$A:$A,'RSD_BY Techs'!$L76,'Key Inputs_BY Techs'!$C:$C,'RSD_BY Techs'!$B76,'Key Inputs_BY Techs'!$E:$E,'RSD_BY Techs'!$D76)</f>
        <v>1</v>
      </c>
      <c r="AJ76" s="215">
        <f>SUMIFS('Key Inputs_BY Techs'!AD:AD,'Key Inputs_BY Techs'!$A:$A,'RSD_BY Techs'!$L76,'Key Inputs_BY Techs'!$C:$C,'RSD_BY Techs'!$B76,'Key Inputs_BY Techs'!$E:$E,'RSD_BY Techs'!$D76)</f>
        <v>1</v>
      </c>
      <c r="AK76" s="215">
        <f>SUMIFS('Key Inputs_BY Techs'!AE:AE,'Key Inputs_BY Techs'!$A:$A,'RSD_BY Techs'!$L76,'Key Inputs_BY Techs'!$C:$C,'RSD_BY Techs'!$B76,'Key Inputs_BY Techs'!$E:$E,'RSD_BY Techs'!$D76)</f>
        <v>1</v>
      </c>
      <c r="AL76" s="215">
        <f>SUMIFS('Key Inputs_BY Techs'!AF:AF,'Key Inputs_BY Techs'!$A:$A,'RSD_BY Techs'!$L76,'Key Inputs_BY Techs'!$C:$C,'RSD_BY Techs'!$B76,'Key Inputs_BY Techs'!$E:$E,'RSD_BY Techs'!$D76)</f>
        <v>1</v>
      </c>
      <c r="AM76" s="215">
        <f>SUMIFS('Key Inputs_BY Techs'!AG:AG,'Key Inputs_BY Techs'!$A:$A,'RSD_BY Techs'!$L76,'Key Inputs_BY Techs'!$C:$C,'RSD_BY Techs'!$B76,'Key Inputs_BY Techs'!$E:$E,'RSD_BY Techs'!$D76)</f>
        <v>1</v>
      </c>
      <c r="AN76" s="215">
        <f>SUMIFS('Key Inputs_BY Techs'!AH:AH,'Key Inputs_BY Techs'!$A:$A,'RSD_BY Techs'!$L76,'Key Inputs_BY Techs'!$C:$C,'RSD_BY Techs'!$B76,'Key Inputs_BY Techs'!$E:$E,'RSD_BY Techs'!$D76)</f>
        <v>1</v>
      </c>
      <c r="AO76" s="215">
        <f>SUMIFS('Key Inputs_BY Techs'!AI:AI,'Key Inputs_BY Techs'!$A:$A,'RSD_BY Techs'!$L76,'Key Inputs_BY Techs'!$C:$C,'RSD_BY Techs'!$B76,'Key Inputs_BY Techs'!$E:$E,'RSD_BY Techs'!$D76)</f>
        <v>1</v>
      </c>
      <c r="AP76" s="215">
        <f>SUMIFS('Key Inputs_BY Techs'!AJ:AJ,'Key Inputs_BY Techs'!$A:$A,'RSD_BY Techs'!$L76,'Key Inputs_BY Techs'!$C:$C,'RSD_BY Techs'!$B76,'Key Inputs_BY Techs'!$E:$E,'RSD_BY Techs'!$D76)</f>
        <v>1</v>
      </c>
    </row>
    <row r="77" spans="1:42" x14ac:dyDescent="0.25">
      <c r="A77" s="280" t="s">
        <v>124</v>
      </c>
      <c r="B77" s="280" t="s">
        <v>470</v>
      </c>
      <c r="C77" s="280" t="str">
        <f>Legend!$A$71&amp;", "&amp;Legend!$A$63&amp;", "&amp;Legend!$A$72</f>
        <v>Natural gas, Biogas, Manufactured gas</v>
      </c>
      <c r="D77" s="280" t="str">
        <f>Legend!$B$71&amp;", "&amp;Legend!$B$63&amp;", "&amp;Legend!$B$72</f>
        <v>RSDGAS, RSDBGS, RSDGAM</v>
      </c>
      <c r="E77" s="280" t="str">
        <f t="shared" si="20"/>
        <v>RSDGAS</v>
      </c>
      <c r="F77" s="254"/>
      <c r="G77" s="254"/>
      <c r="I77" s="211" t="str">
        <f t="shared" ref="I77:J90" si="23">I26</f>
        <v>R-ACL_GAS00</v>
      </c>
      <c r="J77" s="211" t="str">
        <f t="shared" si="23"/>
        <v>RSD Air conditioning technology: Natural gas, Biogas, Manufactured gas - Existing</v>
      </c>
      <c r="K77" s="211"/>
      <c r="L77" s="211" t="s">
        <v>37</v>
      </c>
      <c r="M77" s="211" t="s">
        <v>174</v>
      </c>
      <c r="N77" s="211"/>
      <c r="O77" s="213">
        <f>SUMIFS('Key Inputs_BY Techs'!I:I,'Key Inputs_BY Techs'!$A:$A,'RSD_BY Techs'!$L77,'Key Inputs_BY Techs'!$C:$C,'RSD_BY Techs'!$B77,'Key Inputs_BY Techs'!$E:$E,'RSD_BY Techs'!$D77)</f>
        <v>1.3</v>
      </c>
      <c r="P77" s="213">
        <f>SUMIFS('Key Inputs_BY Techs'!J:J,'Key Inputs_BY Techs'!$A:$A,'RSD_BY Techs'!$L77,'Key Inputs_BY Techs'!$C:$C,'RSD_BY Techs'!$B77,'Key Inputs_BY Techs'!$E:$E,'RSD_BY Techs'!$D77)</f>
        <v>1.3</v>
      </c>
      <c r="Q77" s="213">
        <f>SUMIFS('Key Inputs_BY Techs'!K:K,'Key Inputs_BY Techs'!$A:$A,'RSD_BY Techs'!$L77,'Key Inputs_BY Techs'!$C:$C,'RSD_BY Techs'!$B77,'Key Inputs_BY Techs'!$E:$E,'RSD_BY Techs'!$D77)</f>
        <v>1.3</v>
      </c>
      <c r="R77" s="213">
        <f>SUMIFS('Key Inputs_BY Techs'!L:L,'Key Inputs_BY Techs'!$A:$A,'RSD_BY Techs'!$L77,'Key Inputs_BY Techs'!$C:$C,'RSD_BY Techs'!$B77,'Key Inputs_BY Techs'!$E:$E,'RSD_BY Techs'!$D77)</f>
        <v>1.3</v>
      </c>
      <c r="S77" s="213">
        <f>SUMIFS('Key Inputs_BY Techs'!M:M,'Key Inputs_BY Techs'!$A:$A,'RSD_BY Techs'!$L77,'Key Inputs_BY Techs'!$C:$C,'RSD_BY Techs'!$B77,'Key Inputs_BY Techs'!$E:$E,'RSD_BY Techs'!$D77)</f>
        <v>1.3</v>
      </c>
      <c r="T77" s="213">
        <f>SUMIFS('Key Inputs_BY Techs'!N:N,'Key Inputs_BY Techs'!$A:$A,'RSD_BY Techs'!$L77,'Key Inputs_BY Techs'!$C:$C,'RSD_BY Techs'!$B77,'Key Inputs_BY Techs'!$E:$E,'RSD_BY Techs'!$D77)</f>
        <v>1.3</v>
      </c>
      <c r="U77" s="213">
        <f>SUMIFS('Key Inputs_BY Techs'!O:O,'Key Inputs_BY Techs'!$A:$A,'RSD_BY Techs'!$L77,'Key Inputs_BY Techs'!$C:$C,'RSD_BY Techs'!$B77,'Key Inputs_BY Techs'!$E:$E,'RSD_BY Techs'!$D77)</f>
        <v>1.3</v>
      </c>
      <c r="V77" s="213">
        <f>SUMIFS('Key Inputs_BY Techs'!P:P,'Key Inputs_BY Techs'!$A:$A,'RSD_BY Techs'!$L77,'Key Inputs_BY Techs'!$C:$C,'RSD_BY Techs'!$B77,'Key Inputs_BY Techs'!$E:$E,'RSD_BY Techs'!$D77)</f>
        <v>1.3</v>
      </c>
      <c r="W77" s="213">
        <f>SUMIFS('Key Inputs_BY Techs'!Q:Q,'Key Inputs_BY Techs'!$A:$A,'RSD_BY Techs'!$L77,'Key Inputs_BY Techs'!$C:$C,'RSD_BY Techs'!$B77,'Key Inputs_BY Techs'!$E:$E,'RSD_BY Techs'!$D77)</f>
        <v>1.3</v>
      </c>
      <c r="X77" s="213">
        <f>SUMIFS('Key Inputs_BY Techs'!R:R,'Key Inputs_BY Techs'!$A:$A,'RSD_BY Techs'!$L77,'Key Inputs_BY Techs'!$C:$C,'RSD_BY Techs'!$B77,'Key Inputs_BY Techs'!$E:$E,'RSD_BY Techs'!$D77)</f>
        <v>1.3</v>
      </c>
      <c r="Y77" s="213">
        <f>SUMIFS('Key Inputs_BY Techs'!S:S,'Key Inputs_BY Techs'!$A:$A,'RSD_BY Techs'!$L77,'Key Inputs_BY Techs'!$C:$C,'RSD_BY Techs'!$B77,'Key Inputs_BY Techs'!$E:$E,'RSD_BY Techs'!$D77)</f>
        <v>1.3</v>
      </c>
      <c r="Z77" s="213">
        <f>SUMIFS('Key Inputs_BY Techs'!T:T,'Key Inputs_BY Techs'!$A:$A,'RSD_BY Techs'!$L77,'Key Inputs_BY Techs'!$C:$C,'RSD_BY Techs'!$B77,'Key Inputs_BY Techs'!$E:$E,'RSD_BY Techs'!$D77)</f>
        <v>1.3</v>
      </c>
      <c r="AA77" s="213">
        <f>SUMIFS('Key Inputs_BY Techs'!U:U,'Key Inputs_BY Techs'!$A:$A,'RSD_BY Techs'!$L77,'Key Inputs_BY Techs'!$C:$C,'RSD_BY Techs'!$B77,'Key Inputs_BY Techs'!$E:$E,'RSD_BY Techs'!$D77)</f>
        <v>1.3</v>
      </c>
      <c r="AB77" s="213">
        <f>SUMIFS('Key Inputs_BY Techs'!V:V,'Key Inputs_BY Techs'!$A:$A,'RSD_BY Techs'!$L77,'Key Inputs_BY Techs'!$C:$C,'RSD_BY Techs'!$B77,'Key Inputs_BY Techs'!$E:$E,'RSD_BY Techs'!$D77)</f>
        <v>1.3</v>
      </c>
      <c r="AC77" s="213">
        <f>SUMIFS('Key Inputs_BY Techs'!W:W,'Key Inputs_BY Techs'!$A:$A,'RSD_BY Techs'!$L77,'Key Inputs_BY Techs'!$C:$C,'RSD_BY Techs'!$B77,'Key Inputs_BY Techs'!$E:$E,'RSD_BY Techs'!$D77)</f>
        <v>1.3</v>
      </c>
      <c r="AD77" s="213">
        <f>SUMIFS('Key Inputs_BY Techs'!X:X,'Key Inputs_BY Techs'!$A:$A,'RSD_BY Techs'!$L77,'Key Inputs_BY Techs'!$C:$C,'RSD_BY Techs'!$B77,'Key Inputs_BY Techs'!$E:$E,'RSD_BY Techs'!$D77)</f>
        <v>1.3</v>
      </c>
      <c r="AE77" s="213">
        <f>SUMIFS('Key Inputs_BY Techs'!Y:Y,'Key Inputs_BY Techs'!$A:$A,'RSD_BY Techs'!$L77,'Key Inputs_BY Techs'!$C:$C,'RSD_BY Techs'!$B77,'Key Inputs_BY Techs'!$E:$E,'RSD_BY Techs'!$D77)</f>
        <v>1.3</v>
      </c>
      <c r="AF77" s="213">
        <f>SUMIFS('Key Inputs_BY Techs'!Z:Z,'Key Inputs_BY Techs'!$A:$A,'RSD_BY Techs'!$L77,'Key Inputs_BY Techs'!$C:$C,'RSD_BY Techs'!$B77,'Key Inputs_BY Techs'!$E:$E,'RSD_BY Techs'!$D77)</f>
        <v>1.3</v>
      </c>
      <c r="AG77" s="213">
        <f>SUMIFS('Key Inputs_BY Techs'!AA:AA,'Key Inputs_BY Techs'!$A:$A,'RSD_BY Techs'!$L77,'Key Inputs_BY Techs'!$C:$C,'RSD_BY Techs'!$B77,'Key Inputs_BY Techs'!$E:$E,'RSD_BY Techs'!$D77)</f>
        <v>1.3</v>
      </c>
      <c r="AH77" s="213">
        <f>SUMIFS('Key Inputs_BY Techs'!AB:AB,'Key Inputs_BY Techs'!$A:$A,'RSD_BY Techs'!$L77,'Key Inputs_BY Techs'!$C:$C,'RSD_BY Techs'!$B77,'Key Inputs_BY Techs'!$E:$E,'RSD_BY Techs'!$D77)</f>
        <v>1.3</v>
      </c>
      <c r="AI77" s="213">
        <f>SUMIFS('Key Inputs_BY Techs'!AC:AC,'Key Inputs_BY Techs'!$A:$A,'RSD_BY Techs'!$L77,'Key Inputs_BY Techs'!$C:$C,'RSD_BY Techs'!$B77,'Key Inputs_BY Techs'!$E:$E,'RSD_BY Techs'!$D77)</f>
        <v>1.3</v>
      </c>
      <c r="AJ77" s="213">
        <f>SUMIFS('Key Inputs_BY Techs'!AD:AD,'Key Inputs_BY Techs'!$A:$A,'RSD_BY Techs'!$L77,'Key Inputs_BY Techs'!$C:$C,'RSD_BY Techs'!$B77,'Key Inputs_BY Techs'!$E:$E,'RSD_BY Techs'!$D77)</f>
        <v>1.3</v>
      </c>
      <c r="AK77" s="213">
        <f>SUMIFS('Key Inputs_BY Techs'!AE:AE,'Key Inputs_BY Techs'!$A:$A,'RSD_BY Techs'!$L77,'Key Inputs_BY Techs'!$C:$C,'RSD_BY Techs'!$B77,'Key Inputs_BY Techs'!$E:$E,'RSD_BY Techs'!$D77)</f>
        <v>1.3</v>
      </c>
      <c r="AL77" s="213">
        <f>SUMIFS('Key Inputs_BY Techs'!AF:AF,'Key Inputs_BY Techs'!$A:$A,'RSD_BY Techs'!$L77,'Key Inputs_BY Techs'!$C:$C,'RSD_BY Techs'!$B77,'Key Inputs_BY Techs'!$E:$E,'RSD_BY Techs'!$D77)</f>
        <v>1.3</v>
      </c>
      <c r="AM77" s="213">
        <f>SUMIFS('Key Inputs_BY Techs'!AG:AG,'Key Inputs_BY Techs'!$A:$A,'RSD_BY Techs'!$L77,'Key Inputs_BY Techs'!$C:$C,'RSD_BY Techs'!$B77,'Key Inputs_BY Techs'!$E:$E,'RSD_BY Techs'!$D77)</f>
        <v>1.3</v>
      </c>
      <c r="AN77" s="213">
        <f>SUMIFS('Key Inputs_BY Techs'!AH:AH,'Key Inputs_BY Techs'!$A:$A,'RSD_BY Techs'!$L77,'Key Inputs_BY Techs'!$C:$C,'RSD_BY Techs'!$B77,'Key Inputs_BY Techs'!$E:$E,'RSD_BY Techs'!$D77)</f>
        <v>1.3</v>
      </c>
      <c r="AO77" s="213">
        <f>SUMIFS('Key Inputs_BY Techs'!AI:AI,'Key Inputs_BY Techs'!$A:$A,'RSD_BY Techs'!$L77,'Key Inputs_BY Techs'!$C:$C,'RSD_BY Techs'!$B77,'Key Inputs_BY Techs'!$E:$E,'RSD_BY Techs'!$D77)</f>
        <v>1.3</v>
      </c>
      <c r="AP77" s="213">
        <f>SUMIFS('Key Inputs_BY Techs'!AJ:AJ,'Key Inputs_BY Techs'!$A:$A,'RSD_BY Techs'!$L77,'Key Inputs_BY Techs'!$C:$C,'RSD_BY Techs'!$B77,'Key Inputs_BY Techs'!$E:$E,'RSD_BY Techs'!$D77)</f>
        <v>1.3</v>
      </c>
    </row>
    <row r="78" spans="1:42" x14ac:dyDescent="0.25">
      <c r="A78" s="281" t="s">
        <v>124</v>
      </c>
      <c r="B78" s="281" t="s">
        <v>470</v>
      </c>
      <c r="C78" s="281" t="str">
        <f>Legend!A$66</f>
        <v>Electricity</v>
      </c>
      <c r="D78" s="281" t="str">
        <f>Legend!B$66</f>
        <v>RSDELC</v>
      </c>
      <c r="E78" s="281" t="str">
        <f t="shared" si="20"/>
        <v>RSDELC</v>
      </c>
      <c r="F78" s="254"/>
      <c r="G78" s="254"/>
      <c r="I78" s="215" t="str">
        <f t="shared" si="23"/>
        <v>R-ACL_ELC00</v>
      </c>
      <c r="J78" s="215" t="str">
        <f t="shared" si="23"/>
        <v>RSD Air conditioning technology: Electricity - Existing</v>
      </c>
      <c r="K78" s="215"/>
      <c r="L78" s="215" t="s">
        <v>37</v>
      </c>
      <c r="M78" s="215" t="s">
        <v>174</v>
      </c>
      <c r="N78" s="215"/>
      <c r="O78" s="215">
        <f>SUMIFS('Key Inputs_BY Techs'!I:I,'Key Inputs_BY Techs'!$A:$A,'RSD_BY Techs'!$L78,'Key Inputs_BY Techs'!$C:$C,'RSD_BY Techs'!$B78,'Key Inputs_BY Techs'!$E:$E,'RSD_BY Techs'!$D78)</f>
        <v>2.34</v>
      </c>
      <c r="P78" s="215">
        <f>SUMIFS('Key Inputs_BY Techs'!J:J,'Key Inputs_BY Techs'!$A:$A,'RSD_BY Techs'!$L78,'Key Inputs_BY Techs'!$C:$C,'RSD_BY Techs'!$B78,'Key Inputs_BY Techs'!$E:$E,'RSD_BY Techs'!$D78)</f>
        <v>2.34</v>
      </c>
      <c r="Q78" s="215">
        <f>SUMIFS('Key Inputs_BY Techs'!K:K,'Key Inputs_BY Techs'!$A:$A,'RSD_BY Techs'!$L78,'Key Inputs_BY Techs'!$C:$C,'RSD_BY Techs'!$B78,'Key Inputs_BY Techs'!$E:$E,'RSD_BY Techs'!$D78)</f>
        <v>2.34</v>
      </c>
      <c r="R78" s="215">
        <f>SUMIFS('Key Inputs_BY Techs'!L:L,'Key Inputs_BY Techs'!$A:$A,'RSD_BY Techs'!$L78,'Key Inputs_BY Techs'!$C:$C,'RSD_BY Techs'!$B78,'Key Inputs_BY Techs'!$E:$E,'RSD_BY Techs'!$D78)</f>
        <v>2.34</v>
      </c>
      <c r="S78" s="215">
        <f>SUMIFS('Key Inputs_BY Techs'!M:M,'Key Inputs_BY Techs'!$A:$A,'RSD_BY Techs'!$L78,'Key Inputs_BY Techs'!$C:$C,'RSD_BY Techs'!$B78,'Key Inputs_BY Techs'!$E:$E,'RSD_BY Techs'!$D78)</f>
        <v>2.34</v>
      </c>
      <c r="T78" s="215">
        <f>SUMIFS('Key Inputs_BY Techs'!N:N,'Key Inputs_BY Techs'!$A:$A,'RSD_BY Techs'!$L78,'Key Inputs_BY Techs'!$C:$C,'RSD_BY Techs'!$B78,'Key Inputs_BY Techs'!$E:$E,'RSD_BY Techs'!$D78)</f>
        <v>2.34</v>
      </c>
      <c r="U78" s="215">
        <f>SUMIFS('Key Inputs_BY Techs'!O:O,'Key Inputs_BY Techs'!$A:$A,'RSD_BY Techs'!$L78,'Key Inputs_BY Techs'!$C:$C,'RSD_BY Techs'!$B78,'Key Inputs_BY Techs'!$E:$E,'RSD_BY Techs'!$D78)</f>
        <v>2.34</v>
      </c>
      <c r="V78" s="215">
        <f>SUMIFS('Key Inputs_BY Techs'!P:P,'Key Inputs_BY Techs'!$A:$A,'RSD_BY Techs'!$L78,'Key Inputs_BY Techs'!$C:$C,'RSD_BY Techs'!$B78,'Key Inputs_BY Techs'!$E:$E,'RSD_BY Techs'!$D78)</f>
        <v>2.34</v>
      </c>
      <c r="W78" s="215">
        <f>SUMIFS('Key Inputs_BY Techs'!Q:Q,'Key Inputs_BY Techs'!$A:$A,'RSD_BY Techs'!$L78,'Key Inputs_BY Techs'!$C:$C,'RSD_BY Techs'!$B78,'Key Inputs_BY Techs'!$E:$E,'RSD_BY Techs'!$D78)</f>
        <v>2.34</v>
      </c>
      <c r="X78" s="215">
        <f>SUMIFS('Key Inputs_BY Techs'!R:R,'Key Inputs_BY Techs'!$A:$A,'RSD_BY Techs'!$L78,'Key Inputs_BY Techs'!$C:$C,'RSD_BY Techs'!$B78,'Key Inputs_BY Techs'!$E:$E,'RSD_BY Techs'!$D78)</f>
        <v>2.34</v>
      </c>
      <c r="Y78" s="215">
        <f>SUMIFS('Key Inputs_BY Techs'!S:S,'Key Inputs_BY Techs'!$A:$A,'RSD_BY Techs'!$L78,'Key Inputs_BY Techs'!$C:$C,'RSD_BY Techs'!$B78,'Key Inputs_BY Techs'!$E:$E,'RSD_BY Techs'!$D78)</f>
        <v>2.34</v>
      </c>
      <c r="Z78" s="215">
        <f>SUMIFS('Key Inputs_BY Techs'!T:T,'Key Inputs_BY Techs'!$A:$A,'RSD_BY Techs'!$L78,'Key Inputs_BY Techs'!$C:$C,'RSD_BY Techs'!$B78,'Key Inputs_BY Techs'!$E:$E,'RSD_BY Techs'!$D78)</f>
        <v>2.34</v>
      </c>
      <c r="AA78" s="215">
        <f>SUMIFS('Key Inputs_BY Techs'!U:U,'Key Inputs_BY Techs'!$A:$A,'RSD_BY Techs'!$L78,'Key Inputs_BY Techs'!$C:$C,'RSD_BY Techs'!$B78,'Key Inputs_BY Techs'!$E:$E,'RSD_BY Techs'!$D78)</f>
        <v>2.34</v>
      </c>
      <c r="AB78" s="215">
        <f>SUMIFS('Key Inputs_BY Techs'!V:V,'Key Inputs_BY Techs'!$A:$A,'RSD_BY Techs'!$L78,'Key Inputs_BY Techs'!$C:$C,'RSD_BY Techs'!$B78,'Key Inputs_BY Techs'!$E:$E,'RSD_BY Techs'!$D78)</f>
        <v>2.34</v>
      </c>
      <c r="AC78" s="215">
        <f>SUMIFS('Key Inputs_BY Techs'!W:W,'Key Inputs_BY Techs'!$A:$A,'RSD_BY Techs'!$L78,'Key Inputs_BY Techs'!$C:$C,'RSD_BY Techs'!$B78,'Key Inputs_BY Techs'!$E:$E,'RSD_BY Techs'!$D78)</f>
        <v>2.34</v>
      </c>
      <c r="AD78" s="215">
        <f>SUMIFS('Key Inputs_BY Techs'!X:X,'Key Inputs_BY Techs'!$A:$A,'RSD_BY Techs'!$L78,'Key Inputs_BY Techs'!$C:$C,'RSD_BY Techs'!$B78,'Key Inputs_BY Techs'!$E:$E,'RSD_BY Techs'!$D78)</f>
        <v>2.34</v>
      </c>
      <c r="AE78" s="215">
        <f>SUMIFS('Key Inputs_BY Techs'!Y:Y,'Key Inputs_BY Techs'!$A:$A,'RSD_BY Techs'!$L78,'Key Inputs_BY Techs'!$C:$C,'RSD_BY Techs'!$B78,'Key Inputs_BY Techs'!$E:$E,'RSD_BY Techs'!$D78)</f>
        <v>2.34</v>
      </c>
      <c r="AF78" s="215">
        <f>SUMIFS('Key Inputs_BY Techs'!Z:Z,'Key Inputs_BY Techs'!$A:$A,'RSD_BY Techs'!$L78,'Key Inputs_BY Techs'!$C:$C,'RSD_BY Techs'!$B78,'Key Inputs_BY Techs'!$E:$E,'RSD_BY Techs'!$D78)</f>
        <v>2.34</v>
      </c>
      <c r="AG78" s="215">
        <f>SUMIFS('Key Inputs_BY Techs'!AA:AA,'Key Inputs_BY Techs'!$A:$A,'RSD_BY Techs'!$L78,'Key Inputs_BY Techs'!$C:$C,'RSD_BY Techs'!$B78,'Key Inputs_BY Techs'!$E:$E,'RSD_BY Techs'!$D78)</f>
        <v>2.34</v>
      </c>
      <c r="AH78" s="215">
        <f>SUMIFS('Key Inputs_BY Techs'!AB:AB,'Key Inputs_BY Techs'!$A:$A,'RSD_BY Techs'!$L78,'Key Inputs_BY Techs'!$C:$C,'RSD_BY Techs'!$B78,'Key Inputs_BY Techs'!$E:$E,'RSD_BY Techs'!$D78)</f>
        <v>2.34</v>
      </c>
      <c r="AI78" s="215">
        <f>SUMIFS('Key Inputs_BY Techs'!AC:AC,'Key Inputs_BY Techs'!$A:$A,'RSD_BY Techs'!$L78,'Key Inputs_BY Techs'!$C:$C,'RSD_BY Techs'!$B78,'Key Inputs_BY Techs'!$E:$E,'RSD_BY Techs'!$D78)</f>
        <v>2.34</v>
      </c>
      <c r="AJ78" s="215">
        <f>SUMIFS('Key Inputs_BY Techs'!AD:AD,'Key Inputs_BY Techs'!$A:$A,'RSD_BY Techs'!$L78,'Key Inputs_BY Techs'!$C:$C,'RSD_BY Techs'!$B78,'Key Inputs_BY Techs'!$E:$E,'RSD_BY Techs'!$D78)</f>
        <v>2.34</v>
      </c>
      <c r="AK78" s="215">
        <f>SUMIFS('Key Inputs_BY Techs'!AE:AE,'Key Inputs_BY Techs'!$A:$A,'RSD_BY Techs'!$L78,'Key Inputs_BY Techs'!$C:$C,'RSD_BY Techs'!$B78,'Key Inputs_BY Techs'!$E:$E,'RSD_BY Techs'!$D78)</f>
        <v>2.34</v>
      </c>
      <c r="AL78" s="215">
        <f>SUMIFS('Key Inputs_BY Techs'!AF:AF,'Key Inputs_BY Techs'!$A:$A,'RSD_BY Techs'!$L78,'Key Inputs_BY Techs'!$C:$C,'RSD_BY Techs'!$B78,'Key Inputs_BY Techs'!$E:$E,'RSD_BY Techs'!$D78)</f>
        <v>2.34</v>
      </c>
      <c r="AM78" s="215">
        <f>SUMIFS('Key Inputs_BY Techs'!AG:AG,'Key Inputs_BY Techs'!$A:$A,'RSD_BY Techs'!$L78,'Key Inputs_BY Techs'!$C:$C,'RSD_BY Techs'!$B78,'Key Inputs_BY Techs'!$E:$E,'RSD_BY Techs'!$D78)</f>
        <v>2.34</v>
      </c>
      <c r="AN78" s="215">
        <f>SUMIFS('Key Inputs_BY Techs'!AH:AH,'Key Inputs_BY Techs'!$A:$A,'RSD_BY Techs'!$L78,'Key Inputs_BY Techs'!$C:$C,'RSD_BY Techs'!$B78,'Key Inputs_BY Techs'!$E:$E,'RSD_BY Techs'!$D78)</f>
        <v>2.34</v>
      </c>
      <c r="AO78" s="215">
        <f>SUMIFS('Key Inputs_BY Techs'!AI:AI,'Key Inputs_BY Techs'!$A:$A,'RSD_BY Techs'!$L78,'Key Inputs_BY Techs'!$C:$C,'RSD_BY Techs'!$B78,'Key Inputs_BY Techs'!$E:$E,'RSD_BY Techs'!$D78)</f>
        <v>2.34</v>
      </c>
      <c r="AP78" s="215">
        <f>SUMIFS('Key Inputs_BY Techs'!AJ:AJ,'Key Inputs_BY Techs'!$A:$A,'RSD_BY Techs'!$L78,'Key Inputs_BY Techs'!$C:$C,'RSD_BY Techs'!$B78,'Key Inputs_BY Techs'!$E:$E,'RSD_BY Techs'!$D78)</f>
        <v>2.34</v>
      </c>
    </row>
    <row r="79" spans="1:42" x14ac:dyDescent="0.25">
      <c r="A79" s="280" t="s">
        <v>124</v>
      </c>
      <c r="B79" s="280" t="s">
        <v>471</v>
      </c>
      <c r="C79" s="254" t="str">
        <f>Legend!$A$71&amp;", "&amp;Legend!$A$63&amp;", "&amp;Legend!$A$72</f>
        <v>Natural gas, Biogas, Manufactured gas</v>
      </c>
      <c r="D79" s="280" t="str">
        <f>Legend!$B$71&amp;", "&amp;Legend!$B$63&amp;", "&amp;Legend!$B$72</f>
        <v>RSDGAS, RSDBGS, RSDGAM</v>
      </c>
      <c r="E79" s="280" t="str">
        <f t="shared" ref="E79:E80" si="24">LEFT(D79,6)</f>
        <v>RSDGAS</v>
      </c>
      <c r="F79" s="254"/>
      <c r="G79" s="254"/>
      <c r="I79" s="211" t="str">
        <f t="shared" si="23"/>
        <v>R-ACH_GAS00</v>
      </c>
      <c r="J79" s="211" t="str">
        <f t="shared" si="23"/>
        <v>RSD Air conditioning technology: Natural gas, Biogas, Manufactured gas - Existing</v>
      </c>
      <c r="K79" s="211"/>
      <c r="L79" s="211" t="s">
        <v>37</v>
      </c>
      <c r="M79" s="211" t="s">
        <v>174</v>
      </c>
      <c r="N79" s="211"/>
      <c r="O79" s="213">
        <f>SUMIFS('Key Inputs_BY Techs'!I:I,'Key Inputs_BY Techs'!$A:$A,'RSD_BY Techs'!$L79,'Key Inputs_BY Techs'!$C:$C,'RSD_BY Techs'!$B79,'Key Inputs_BY Techs'!$E:$E,'RSD_BY Techs'!$D79)</f>
        <v>1.3</v>
      </c>
      <c r="P79" s="213">
        <f>SUMIFS('Key Inputs_BY Techs'!J:J,'Key Inputs_BY Techs'!$A:$A,'RSD_BY Techs'!$L79,'Key Inputs_BY Techs'!$C:$C,'RSD_BY Techs'!$B79,'Key Inputs_BY Techs'!$E:$E,'RSD_BY Techs'!$D79)</f>
        <v>1.3</v>
      </c>
      <c r="Q79" s="213">
        <f>SUMIFS('Key Inputs_BY Techs'!K:K,'Key Inputs_BY Techs'!$A:$A,'RSD_BY Techs'!$L79,'Key Inputs_BY Techs'!$C:$C,'RSD_BY Techs'!$B79,'Key Inputs_BY Techs'!$E:$E,'RSD_BY Techs'!$D79)</f>
        <v>1.3</v>
      </c>
      <c r="R79" s="213">
        <f>SUMIFS('Key Inputs_BY Techs'!L:L,'Key Inputs_BY Techs'!$A:$A,'RSD_BY Techs'!$L79,'Key Inputs_BY Techs'!$C:$C,'RSD_BY Techs'!$B79,'Key Inputs_BY Techs'!$E:$E,'RSD_BY Techs'!$D79)</f>
        <v>1.3</v>
      </c>
      <c r="S79" s="213">
        <f>SUMIFS('Key Inputs_BY Techs'!M:M,'Key Inputs_BY Techs'!$A:$A,'RSD_BY Techs'!$L79,'Key Inputs_BY Techs'!$C:$C,'RSD_BY Techs'!$B79,'Key Inputs_BY Techs'!$E:$E,'RSD_BY Techs'!$D79)</f>
        <v>1.3</v>
      </c>
      <c r="T79" s="213">
        <f>SUMIFS('Key Inputs_BY Techs'!N:N,'Key Inputs_BY Techs'!$A:$A,'RSD_BY Techs'!$L79,'Key Inputs_BY Techs'!$C:$C,'RSD_BY Techs'!$B79,'Key Inputs_BY Techs'!$E:$E,'RSD_BY Techs'!$D79)</f>
        <v>1.3</v>
      </c>
      <c r="U79" s="213">
        <f>SUMIFS('Key Inputs_BY Techs'!O:O,'Key Inputs_BY Techs'!$A:$A,'RSD_BY Techs'!$L79,'Key Inputs_BY Techs'!$C:$C,'RSD_BY Techs'!$B79,'Key Inputs_BY Techs'!$E:$E,'RSD_BY Techs'!$D79)</f>
        <v>1.3</v>
      </c>
      <c r="V79" s="213">
        <f>SUMIFS('Key Inputs_BY Techs'!P:P,'Key Inputs_BY Techs'!$A:$A,'RSD_BY Techs'!$L79,'Key Inputs_BY Techs'!$C:$C,'RSD_BY Techs'!$B79,'Key Inputs_BY Techs'!$E:$E,'RSD_BY Techs'!$D79)</f>
        <v>1.3</v>
      </c>
      <c r="W79" s="213">
        <f>SUMIFS('Key Inputs_BY Techs'!Q:Q,'Key Inputs_BY Techs'!$A:$A,'RSD_BY Techs'!$L79,'Key Inputs_BY Techs'!$C:$C,'RSD_BY Techs'!$B79,'Key Inputs_BY Techs'!$E:$E,'RSD_BY Techs'!$D79)</f>
        <v>1.3</v>
      </c>
      <c r="X79" s="213">
        <f>SUMIFS('Key Inputs_BY Techs'!R:R,'Key Inputs_BY Techs'!$A:$A,'RSD_BY Techs'!$L79,'Key Inputs_BY Techs'!$C:$C,'RSD_BY Techs'!$B79,'Key Inputs_BY Techs'!$E:$E,'RSD_BY Techs'!$D79)</f>
        <v>1.3</v>
      </c>
      <c r="Y79" s="213">
        <f>SUMIFS('Key Inputs_BY Techs'!S:S,'Key Inputs_BY Techs'!$A:$A,'RSD_BY Techs'!$L79,'Key Inputs_BY Techs'!$C:$C,'RSD_BY Techs'!$B79,'Key Inputs_BY Techs'!$E:$E,'RSD_BY Techs'!$D79)</f>
        <v>1.3</v>
      </c>
      <c r="Z79" s="213">
        <f>SUMIFS('Key Inputs_BY Techs'!T:T,'Key Inputs_BY Techs'!$A:$A,'RSD_BY Techs'!$L79,'Key Inputs_BY Techs'!$C:$C,'RSD_BY Techs'!$B79,'Key Inputs_BY Techs'!$E:$E,'RSD_BY Techs'!$D79)</f>
        <v>1.3</v>
      </c>
      <c r="AA79" s="213">
        <f>SUMIFS('Key Inputs_BY Techs'!U:U,'Key Inputs_BY Techs'!$A:$A,'RSD_BY Techs'!$L79,'Key Inputs_BY Techs'!$C:$C,'RSD_BY Techs'!$B79,'Key Inputs_BY Techs'!$E:$E,'RSD_BY Techs'!$D79)</f>
        <v>1.3</v>
      </c>
      <c r="AB79" s="213">
        <f>SUMIFS('Key Inputs_BY Techs'!V:V,'Key Inputs_BY Techs'!$A:$A,'RSD_BY Techs'!$L79,'Key Inputs_BY Techs'!$C:$C,'RSD_BY Techs'!$B79,'Key Inputs_BY Techs'!$E:$E,'RSD_BY Techs'!$D79)</f>
        <v>1.3</v>
      </c>
      <c r="AC79" s="213">
        <f>SUMIFS('Key Inputs_BY Techs'!W:W,'Key Inputs_BY Techs'!$A:$A,'RSD_BY Techs'!$L79,'Key Inputs_BY Techs'!$C:$C,'RSD_BY Techs'!$B79,'Key Inputs_BY Techs'!$E:$E,'RSD_BY Techs'!$D79)</f>
        <v>1.3</v>
      </c>
      <c r="AD79" s="213">
        <f>SUMIFS('Key Inputs_BY Techs'!X:X,'Key Inputs_BY Techs'!$A:$A,'RSD_BY Techs'!$L79,'Key Inputs_BY Techs'!$C:$C,'RSD_BY Techs'!$B79,'Key Inputs_BY Techs'!$E:$E,'RSD_BY Techs'!$D79)</f>
        <v>1.3</v>
      </c>
      <c r="AE79" s="213">
        <f>SUMIFS('Key Inputs_BY Techs'!Y:Y,'Key Inputs_BY Techs'!$A:$A,'RSD_BY Techs'!$L79,'Key Inputs_BY Techs'!$C:$C,'RSD_BY Techs'!$B79,'Key Inputs_BY Techs'!$E:$E,'RSD_BY Techs'!$D79)</f>
        <v>1.3</v>
      </c>
      <c r="AF79" s="213">
        <f>SUMIFS('Key Inputs_BY Techs'!Z:Z,'Key Inputs_BY Techs'!$A:$A,'RSD_BY Techs'!$L79,'Key Inputs_BY Techs'!$C:$C,'RSD_BY Techs'!$B79,'Key Inputs_BY Techs'!$E:$E,'RSD_BY Techs'!$D79)</f>
        <v>1.3</v>
      </c>
      <c r="AG79" s="213">
        <f>SUMIFS('Key Inputs_BY Techs'!AA:AA,'Key Inputs_BY Techs'!$A:$A,'RSD_BY Techs'!$L79,'Key Inputs_BY Techs'!$C:$C,'RSD_BY Techs'!$B79,'Key Inputs_BY Techs'!$E:$E,'RSD_BY Techs'!$D79)</f>
        <v>1.3</v>
      </c>
      <c r="AH79" s="213">
        <f>SUMIFS('Key Inputs_BY Techs'!AB:AB,'Key Inputs_BY Techs'!$A:$A,'RSD_BY Techs'!$L79,'Key Inputs_BY Techs'!$C:$C,'RSD_BY Techs'!$B79,'Key Inputs_BY Techs'!$E:$E,'RSD_BY Techs'!$D79)</f>
        <v>1.3</v>
      </c>
      <c r="AI79" s="213">
        <f>SUMIFS('Key Inputs_BY Techs'!AC:AC,'Key Inputs_BY Techs'!$A:$A,'RSD_BY Techs'!$L79,'Key Inputs_BY Techs'!$C:$C,'RSD_BY Techs'!$B79,'Key Inputs_BY Techs'!$E:$E,'RSD_BY Techs'!$D79)</f>
        <v>1.3</v>
      </c>
      <c r="AJ79" s="213">
        <f>SUMIFS('Key Inputs_BY Techs'!AD:AD,'Key Inputs_BY Techs'!$A:$A,'RSD_BY Techs'!$L79,'Key Inputs_BY Techs'!$C:$C,'RSD_BY Techs'!$B79,'Key Inputs_BY Techs'!$E:$E,'RSD_BY Techs'!$D79)</f>
        <v>1.3</v>
      </c>
      <c r="AK79" s="213">
        <f>SUMIFS('Key Inputs_BY Techs'!AE:AE,'Key Inputs_BY Techs'!$A:$A,'RSD_BY Techs'!$L79,'Key Inputs_BY Techs'!$C:$C,'RSD_BY Techs'!$B79,'Key Inputs_BY Techs'!$E:$E,'RSD_BY Techs'!$D79)</f>
        <v>1.3</v>
      </c>
      <c r="AL79" s="213">
        <f>SUMIFS('Key Inputs_BY Techs'!AF:AF,'Key Inputs_BY Techs'!$A:$A,'RSD_BY Techs'!$L79,'Key Inputs_BY Techs'!$C:$C,'RSD_BY Techs'!$B79,'Key Inputs_BY Techs'!$E:$E,'RSD_BY Techs'!$D79)</f>
        <v>1.3</v>
      </c>
      <c r="AM79" s="213">
        <f>SUMIFS('Key Inputs_BY Techs'!AG:AG,'Key Inputs_BY Techs'!$A:$A,'RSD_BY Techs'!$L79,'Key Inputs_BY Techs'!$C:$C,'RSD_BY Techs'!$B79,'Key Inputs_BY Techs'!$E:$E,'RSD_BY Techs'!$D79)</f>
        <v>1.3</v>
      </c>
      <c r="AN79" s="213">
        <f>SUMIFS('Key Inputs_BY Techs'!AH:AH,'Key Inputs_BY Techs'!$A:$A,'RSD_BY Techs'!$L79,'Key Inputs_BY Techs'!$C:$C,'RSD_BY Techs'!$B79,'Key Inputs_BY Techs'!$E:$E,'RSD_BY Techs'!$D79)</f>
        <v>1.3</v>
      </c>
      <c r="AO79" s="213">
        <f>SUMIFS('Key Inputs_BY Techs'!AI:AI,'Key Inputs_BY Techs'!$A:$A,'RSD_BY Techs'!$L79,'Key Inputs_BY Techs'!$C:$C,'RSD_BY Techs'!$B79,'Key Inputs_BY Techs'!$E:$E,'RSD_BY Techs'!$D79)</f>
        <v>1.3</v>
      </c>
      <c r="AP79" s="213">
        <f>SUMIFS('Key Inputs_BY Techs'!AJ:AJ,'Key Inputs_BY Techs'!$A:$A,'RSD_BY Techs'!$L79,'Key Inputs_BY Techs'!$C:$C,'RSD_BY Techs'!$B79,'Key Inputs_BY Techs'!$E:$E,'RSD_BY Techs'!$D79)</f>
        <v>1.3</v>
      </c>
    </row>
    <row r="80" spans="1:42" x14ac:dyDescent="0.25">
      <c r="A80" s="281" t="s">
        <v>124</v>
      </c>
      <c r="B80" s="281" t="s">
        <v>471</v>
      </c>
      <c r="C80" s="281" t="str">
        <f>Legend!A$66</f>
        <v>Electricity</v>
      </c>
      <c r="D80" s="281" t="str">
        <f>Legend!B$66</f>
        <v>RSDELC</v>
      </c>
      <c r="E80" s="281" t="str">
        <f t="shared" si="24"/>
        <v>RSDELC</v>
      </c>
      <c r="F80" s="254"/>
      <c r="G80" s="254"/>
      <c r="I80" s="215" t="str">
        <f t="shared" si="23"/>
        <v>R-ACH_ELC00</v>
      </c>
      <c r="J80" s="215" t="str">
        <f t="shared" si="23"/>
        <v>RSD Air conditioning technology: Electricity - Existing</v>
      </c>
      <c r="K80" s="215"/>
      <c r="L80" s="215" t="s">
        <v>37</v>
      </c>
      <c r="M80" s="215" t="s">
        <v>174</v>
      </c>
      <c r="N80" s="215"/>
      <c r="O80" s="215">
        <f>SUMIFS('Key Inputs_BY Techs'!I:I,'Key Inputs_BY Techs'!$A:$A,'RSD_BY Techs'!$L80,'Key Inputs_BY Techs'!$C:$C,'RSD_BY Techs'!$B80,'Key Inputs_BY Techs'!$E:$E,'RSD_BY Techs'!$D80)</f>
        <v>2.34</v>
      </c>
      <c r="P80" s="215">
        <f>SUMIFS('Key Inputs_BY Techs'!J:J,'Key Inputs_BY Techs'!$A:$A,'RSD_BY Techs'!$L80,'Key Inputs_BY Techs'!$C:$C,'RSD_BY Techs'!$B80,'Key Inputs_BY Techs'!$E:$E,'RSD_BY Techs'!$D80)</f>
        <v>2.34</v>
      </c>
      <c r="Q80" s="215">
        <f>SUMIFS('Key Inputs_BY Techs'!K:K,'Key Inputs_BY Techs'!$A:$A,'RSD_BY Techs'!$L80,'Key Inputs_BY Techs'!$C:$C,'RSD_BY Techs'!$B80,'Key Inputs_BY Techs'!$E:$E,'RSD_BY Techs'!$D80)</f>
        <v>2.34</v>
      </c>
      <c r="R80" s="215">
        <f>SUMIFS('Key Inputs_BY Techs'!L:L,'Key Inputs_BY Techs'!$A:$A,'RSD_BY Techs'!$L80,'Key Inputs_BY Techs'!$C:$C,'RSD_BY Techs'!$B80,'Key Inputs_BY Techs'!$E:$E,'RSD_BY Techs'!$D80)</f>
        <v>2.34</v>
      </c>
      <c r="S80" s="215">
        <f>SUMIFS('Key Inputs_BY Techs'!M:M,'Key Inputs_BY Techs'!$A:$A,'RSD_BY Techs'!$L80,'Key Inputs_BY Techs'!$C:$C,'RSD_BY Techs'!$B80,'Key Inputs_BY Techs'!$E:$E,'RSD_BY Techs'!$D80)</f>
        <v>2.34</v>
      </c>
      <c r="T80" s="215">
        <f>SUMIFS('Key Inputs_BY Techs'!N:N,'Key Inputs_BY Techs'!$A:$A,'RSD_BY Techs'!$L80,'Key Inputs_BY Techs'!$C:$C,'RSD_BY Techs'!$B80,'Key Inputs_BY Techs'!$E:$E,'RSD_BY Techs'!$D80)</f>
        <v>2.34</v>
      </c>
      <c r="U80" s="215">
        <f>SUMIFS('Key Inputs_BY Techs'!O:O,'Key Inputs_BY Techs'!$A:$A,'RSD_BY Techs'!$L80,'Key Inputs_BY Techs'!$C:$C,'RSD_BY Techs'!$B80,'Key Inputs_BY Techs'!$E:$E,'RSD_BY Techs'!$D80)</f>
        <v>2.34</v>
      </c>
      <c r="V80" s="215">
        <f>SUMIFS('Key Inputs_BY Techs'!P:P,'Key Inputs_BY Techs'!$A:$A,'RSD_BY Techs'!$L80,'Key Inputs_BY Techs'!$C:$C,'RSD_BY Techs'!$B80,'Key Inputs_BY Techs'!$E:$E,'RSD_BY Techs'!$D80)</f>
        <v>2.34</v>
      </c>
      <c r="W80" s="215">
        <f>SUMIFS('Key Inputs_BY Techs'!Q:Q,'Key Inputs_BY Techs'!$A:$A,'RSD_BY Techs'!$L80,'Key Inputs_BY Techs'!$C:$C,'RSD_BY Techs'!$B80,'Key Inputs_BY Techs'!$E:$E,'RSD_BY Techs'!$D80)</f>
        <v>2.34</v>
      </c>
      <c r="X80" s="215">
        <f>SUMIFS('Key Inputs_BY Techs'!R:R,'Key Inputs_BY Techs'!$A:$A,'RSD_BY Techs'!$L80,'Key Inputs_BY Techs'!$C:$C,'RSD_BY Techs'!$B80,'Key Inputs_BY Techs'!$E:$E,'RSD_BY Techs'!$D80)</f>
        <v>2.34</v>
      </c>
      <c r="Y80" s="215">
        <f>SUMIFS('Key Inputs_BY Techs'!S:S,'Key Inputs_BY Techs'!$A:$A,'RSD_BY Techs'!$L80,'Key Inputs_BY Techs'!$C:$C,'RSD_BY Techs'!$B80,'Key Inputs_BY Techs'!$E:$E,'RSD_BY Techs'!$D80)</f>
        <v>2.34</v>
      </c>
      <c r="Z80" s="215">
        <f>SUMIFS('Key Inputs_BY Techs'!T:T,'Key Inputs_BY Techs'!$A:$A,'RSD_BY Techs'!$L80,'Key Inputs_BY Techs'!$C:$C,'RSD_BY Techs'!$B80,'Key Inputs_BY Techs'!$E:$E,'RSD_BY Techs'!$D80)</f>
        <v>2.34</v>
      </c>
      <c r="AA80" s="215">
        <f>SUMIFS('Key Inputs_BY Techs'!U:U,'Key Inputs_BY Techs'!$A:$A,'RSD_BY Techs'!$L80,'Key Inputs_BY Techs'!$C:$C,'RSD_BY Techs'!$B80,'Key Inputs_BY Techs'!$E:$E,'RSD_BY Techs'!$D80)</f>
        <v>2.34</v>
      </c>
      <c r="AB80" s="215">
        <f>SUMIFS('Key Inputs_BY Techs'!V:V,'Key Inputs_BY Techs'!$A:$A,'RSD_BY Techs'!$L80,'Key Inputs_BY Techs'!$C:$C,'RSD_BY Techs'!$B80,'Key Inputs_BY Techs'!$E:$E,'RSD_BY Techs'!$D80)</f>
        <v>2.34</v>
      </c>
      <c r="AC80" s="215">
        <f>SUMIFS('Key Inputs_BY Techs'!W:W,'Key Inputs_BY Techs'!$A:$A,'RSD_BY Techs'!$L80,'Key Inputs_BY Techs'!$C:$C,'RSD_BY Techs'!$B80,'Key Inputs_BY Techs'!$E:$E,'RSD_BY Techs'!$D80)</f>
        <v>2.34</v>
      </c>
      <c r="AD80" s="215">
        <f>SUMIFS('Key Inputs_BY Techs'!X:X,'Key Inputs_BY Techs'!$A:$A,'RSD_BY Techs'!$L80,'Key Inputs_BY Techs'!$C:$C,'RSD_BY Techs'!$B80,'Key Inputs_BY Techs'!$E:$E,'RSD_BY Techs'!$D80)</f>
        <v>2.34</v>
      </c>
      <c r="AE80" s="215">
        <f>SUMIFS('Key Inputs_BY Techs'!Y:Y,'Key Inputs_BY Techs'!$A:$A,'RSD_BY Techs'!$L80,'Key Inputs_BY Techs'!$C:$C,'RSD_BY Techs'!$B80,'Key Inputs_BY Techs'!$E:$E,'RSD_BY Techs'!$D80)</f>
        <v>2.34</v>
      </c>
      <c r="AF80" s="215">
        <f>SUMIFS('Key Inputs_BY Techs'!Z:Z,'Key Inputs_BY Techs'!$A:$A,'RSD_BY Techs'!$L80,'Key Inputs_BY Techs'!$C:$C,'RSD_BY Techs'!$B80,'Key Inputs_BY Techs'!$E:$E,'RSD_BY Techs'!$D80)</f>
        <v>2.34</v>
      </c>
      <c r="AG80" s="215">
        <f>SUMIFS('Key Inputs_BY Techs'!AA:AA,'Key Inputs_BY Techs'!$A:$A,'RSD_BY Techs'!$L80,'Key Inputs_BY Techs'!$C:$C,'RSD_BY Techs'!$B80,'Key Inputs_BY Techs'!$E:$E,'RSD_BY Techs'!$D80)</f>
        <v>2.34</v>
      </c>
      <c r="AH80" s="215">
        <f>SUMIFS('Key Inputs_BY Techs'!AB:AB,'Key Inputs_BY Techs'!$A:$A,'RSD_BY Techs'!$L80,'Key Inputs_BY Techs'!$C:$C,'RSD_BY Techs'!$B80,'Key Inputs_BY Techs'!$E:$E,'RSD_BY Techs'!$D80)</f>
        <v>2.34</v>
      </c>
      <c r="AI80" s="215">
        <f>SUMIFS('Key Inputs_BY Techs'!AC:AC,'Key Inputs_BY Techs'!$A:$A,'RSD_BY Techs'!$L80,'Key Inputs_BY Techs'!$C:$C,'RSD_BY Techs'!$B80,'Key Inputs_BY Techs'!$E:$E,'RSD_BY Techs'!$D80)</f>
        <v>2.34</v>
      </c>
      <c r="AJ80" s="215">
        <f>SUMIFS('Key Inputs_BY Techs'!AD:AD,'Key Inputs_BY Techs'!$A:$A,'RSD_BY Techs'!$L80,'Key Inputs_BY Techs'!$C:$C,'RSD_BY Techs'!$B80,'Key Inputs_BY Techs'!$E:$E,'RSD_BY Techs'!$D80)</f>
        <v>2.34</v>
      </c>
      <c r="AK80" s="215">
        <f>SUMIFS('Key Inputs_BY Techs'!AE:AE,'Key Inputs_BY Techs'!$A:$A,'RSD_BY Techs'!$L80,'Key Inputs_BY Techs'!$C:$C,'RSD_BY Techs'!$B80,'Key Inputs_BY Techs'!$E:$E,'RSD_BY Techs'!$D80)</f>
        <v>2.34</v>
      </c>
      <c r="AL80" s="215">
        <f>SUMIFS('Key Inputs_BY Techs'!AF:AF,'Key Inputs_BY Techs'!$A:$A,'RSD_BY Techs'!$L80,'Key Inputs_BY Techs'!$C:$C,'RSD_BY Techs'!$B80,'Key Inputs_BY Techs'!$E:$E,'RSD_BY Techs'!$D80)</f>
        <v>2.34</v>
      </c>
      <c r="AM80" s="215">
        <f>SUMIFS('Key Inputs_BY Techs'!AG:AG,'Key Inputs_BY Techs'!$A:$A,'RSD_BY Techs'!$L80,'Key Inputs_BY Techs'!$C:$C,'RSD_BY Techs'!$B80,'Key Inputs_BY Techs'!$E:$E,'RSD_BY Techs'!$D80)</f>
        <v>2.34</v>
      </c>
      <c r="AN80" s="215">
        <f>SUMIFS('Key Inputs_BY Techs'!AH:AH,'Key Inputs_BY Techs'!$A:$A,'RSD_BY Techs'!$L80,'Key Inputs_BY Techs'!$C:$C,'RSD_BY Techs'!$B80,'Key Inputs_BY Techs'!$E:$E,'RSD_BY Techs'!$D80)</f>
        <v>2.34</v>
      </c>
      <c r="AO80" s="215">
        <f>SUMIFS('Key Inputs_BY Techs'!AI:AI,'Key Inputs_BY Techs'!$A:$A,'RSD_BY Techs'!$L80,'Key Inputs_BY Techs'!$C:$C,'RSD_BY Techs'!$B80,'Key Inputs_BY Techs'!$E:$E,'RSD_BY Techs'!$D80)</f>
        <v>2.34</v>
      </c>
      <c r="AP80" s="215">
        <f>SUMIFS('Key Inputs_BY Techs'!AJ:AJ,'Key Inputs_BY Techs'!$A:$A,'RSD_BY Techs'!$L80,'Key Inputs_BY Techs'!$C:$C,'RSD_BY Techs'!$B80,'Key Inputs_BY Techs'!$E:$E,'RSD_BY Techs'!$D80)</f>
        <v>2.34</v>
      </c>
    </row>
    <row r="81" spans="1:42" x14ac:dyDescent="0.25">
      <c r="A81" s="254" t="s">
        <v>119</v>
      </c>
      <c r="B81" s="254" t="s">
        <v>118</v>
      </c>
      <c r="C81" s="254" t="str">
        <f>Legend!A$64</f>
        <v>Biomass</v>
      </c>
      <c r="D81" s="254" t="str">
        <f>Legend!B$64</f>
        <v>RSDBIO</v>
      </c>
      <c r="E81" s="254" t="str">
        <f>LEFT(D81,6)</f>
        <v>RSDBIO</v>
      </c>
      <c r="F81" s="254"/>
      <c r="G81" s="254"/>
      <c r="I81" s="213" t="str">
        <f t="shared" si="23"/>
        <v>R-CK_BIO00</v>
      </c>
      <c r="J81" s="213" t="str">
        <f t="shared" si="23"/>
        <v>RSD Cooking technology: Biomass - Existing</v>
      </c>
      <c r="K81" s="213"/>
      <c r="L81" s="213" t="s">
        <v>37</v>
      </c>
      <c r="M81" s="213" t="s">
        <v>174</v>
      </c>
      <c r="N81" s="213"/>
      <c r="O81" s="211">
        <f>SUMIFS('Key Inputs_BY Techs'!I:I,'Key Inputs_BY Techs'!$A:$A,'RSD_BY Techs'!$L81,'Key Inputs_BY Techs'!$C:$C,'RSD_BY Techs'!$B81,'Key Inputs_BY Techs'!$E:$E,'RSD_BY Techs'!$D81)</f>
        <v>0.54120000000000001</v>
      </c>
      <c r="P81" s="211">
        <f>SUMIFS('Key Inputs_BY Techs'!J:J,'Key Inputs_BY Techs'!$A:$A,'RSD_BY Techs'!$L81,'Key Inputs_BY Techs'!$C:$C,'RSD_BY Techs'!$B81,'Key Inputs_BY Techs'!$E:$E,'RSD_BY Techs'!$D81)</f>
        <v>0.54120000000000001</v>
      </c>
      <c r="Q81" s="211">
        <f>SUMIFS('Key Inputs_BY Techs'!K:K,'Key Inputs_BY Techs'!$A:$A,'RSD_BY Techs'!$L81,'Key Inputs_BY Techs'!$C:$C,'RSD_BY Techs'!$B81,'Key Inputs_BY Techs'!$E:$E,'RSD_BY Techs'!$D81)</f>
        <v>0.54120000000000001</v>
      </c>
      <c r="R81" s="211">
        <f>SUMIFS('Key Inputs_BY Techs'!L:L,'Key Inputs_BY Techs'!$A:$A,'RSD_BY Techs'!$L81,'Key Inputs_BY Techs'!$C:$C,'RSD_BY Techs'!$B81,'Key Inputs_BY Techs'!$E:$E,'RSD_BY Techs'!$D81)</f>
        <v>0.54120000000000001</v>
      </c>
      <c r="S81" s="211">
        <f>SUMIFS('Key Inputs_BY Techs'!M:M,'Key Inputs_BY Techs'!$A:$A,'RSD_BY Techs'!$L81,'Key Inputs_BY Techs'!$C:$C,'RSD_BY Techs'!$B81,'Key Inputs_BY Techs'!$E:$E,'RSD_BY Techs'!$D81)</f>
        <v>0.54120000000000001</v>
      </c>
      <c r="T81" s="211">
        <f>SUMIFS('Key Inputs_BY Techs'!N:N,'Key Inputs_BY Techs'!$A:$A,'RSD_BY Techs'!$L81,'Key Inputs_BY Techs'!$C:$C,'RSD_BY Techs'!$B81,'Key Inputs_BY Techs'!$E:$E,'RSD_BY Techs'!$D81)</f>
        <v>0.54120000000000001</v>
      </c>
      <c r="U81" s="211">
        <f>SUMIFS('Key Inputs_BY Techs'!O:O,'Key Inputs_BY Techs'!$A:$A,'RSD_BY Techs'!$L81,'Key Inputs_BY Techs'!$C:$C,'RSD_BY Techs'!$B81,'Key Inputs_BY Techs'!$E:$E,'RSD_BY Techs'!$D81)</f>
        <v>0.45100000000000001</v>
      </c>
      <c r="V81" s="211">
        <f>SUMIFS('Key Inputs_BY Techs'!P:P,'Key Inputs_BY Techs'!$A:$A,'RSD_BY Techs'!$L81,'Key Inputs_BY Techs'!$C:$C,'RSD_BY Techs'!$B81,'Key Inputs_BY Techs'!$E:$E,'RSD_BY Techs'!$D81)</f>
        <v>0.54120000000000001</v>
      </c>
      <c r="W81" s="211">
        <f>SUMIFS('Key Inputs_BY Techs'!Q:Q,'Key Inputs_BY Techs'!$A:$A,'RSD_BY Techs'!$L81,'Key Inputs_BY Techs'!$C:$C,'RSD_BY Techs'!$B81,'Key Inputs_BY Techs'!$E:$E,'RSD_BY Techs'!$D81)</f>
        <v>0.48391535544046005</v>
      </c>
      <c r="X81" s="211">
        <f>SUMIFS('Key Inputs_BY Techs'!R:R,'Key Inputs_BY Techs'!$A:$A,'RSD_BY Techs'!$L81,'Key Inputs_BY Techs'!$C:$C,'RSD_BY Techs'!$B81,'Key Inputs_BY Techs'!$E:$E,'RSD_BY Techs'!$D81)</f>
        <v>0.54120000000000001</v>
      </c>
      <c r="Y81" s="211">
        <f>SUMIFS('Key Inputs_BY Techs'!S:S,'Key Inputs_BY Techs'!$A:$A,'RSD_BY Techs'!$L81,'Key Inputs_BY Techs'!$C:$C,'RSD_BY Techs'!$B81,'Key Inputs_BY Techs'!$E:$E,'RSD_BY Techs'!$D81)</f>
        <v>0.54120000000000001</v>
      </c>
      <c r="Z81" s="211">
        <f>SUMIFS('Key Inputs_BY Techs'!T:T,'Key Inputs_BY Techs'!$A:$A,'RSD_BY Techs'!$L81,'Key Inputs_BY Techs'!$C:$C,'RSD_BY Techs'!$B81,'Key Inputs_BY Techs'!$E:$E,'RSD_BY Techs'!$D81)</f>
        <v>0.54120000000000001</v>
      </c>
      <c r="AA81" s="211">
        <f>SUMIFS('Key Inputs_BY Techs'!U:U,'Key Inputs_BY Techs'!$A:$A,'RSD_BY Techs'!$L81,'Key Inputs_BY Techs'!$C:$C,'RSD_BY Techs'!$B81,'Key Inputs_BY Techs'!$E:$E,'RSD_BY Techs'!$D81)</f>
        <v>0.54120000000000001</v>
      </c>
      <c r="AB81" s="211">
        <f>SUMIFS('Key Inputs_BY Techs'!V:V,'Key Inputs_BY Techs'!$A:$A,'RSD_BY Techs'!$L81,'Key Inputs_BY Techs'!$C:$C,'RSD_BY Techs'!$B81,'Key Inputs_BY Techs'!$E:$E,'RSD_BY Techs'!$D81)</f>
        <v>0.54120000000000001</v>
      </c>
      <c r="AC81" s="211">
        <f>SUMIFS('Key Inputs_BY Techs'!W:W,'Key Inputs_BY Techs'!$A:$A,'RSD_BY Techs'!$L81,'Key Inputs_BY Techs'!$C:$C,'RSD_BY Techs'!$B81,'Key Inputs_BY Techs'!$E:$E,'RSD_BY Techs'!$D81)</f>
        <v>0.54120000000000001</v>
      </c>
      <c r="AD81" s="211">
        <f>SUMIFS('Key Inputs_BY Techs'!X:X,'Key Inputs_BY Techs'!$A:$A,'RSD_BY Techs'!$L81,'Key Inputs_BY Techs'!$C:$C,'RSD_BY Techs'!$B81,'Key Inputs_BY Techs'!$E:$E,'RSD_BY Techs'!$D81)</f>
        <v>0.54120000000000001</v>
      </c>
      <c r="AE81" s="211">
        <f>SUMIFS('Key Inputs_BY Techs'!Y:Y,'Key Inputs_BY Techs'!$A:$A,'RSD_BY Techs'!$L81,'Key Inputs_BY Techs'!$C:$C,'RSD_BY Techs'!$B81,'Key Inputs_BY Techs'!$E:$E,'RSD_BY Techs'!$D81)</f>
        <v>0.54120000000000001</v>
      </c>
      <c r="AF81" s="211">
        <f>SUMIFS('Key Inputs_BY Techs'!Z:Z,'Key Inputs_BY Techs'!$A:$A,'RSD_BY Techs'!$L81,'Key Inputs_BY Techs'!$C:$C,'RSD_BY Techs'!$B81,'Key Inputs_BY Techs'!$E:$E,'RSD_BY Techs'!$D81)</f>
        <v>0.54120000000000001</v>
      </c>
      <c r="AG81" s="211">
        <f>SUMIFS('Key Inputs_BY Techs'!AA:AA,'Key Inputs_BY Techs'!$A:$A,'RSD_BY Techs'!$L81,'Key Inputs_BY Techs'!$C:$C,'RSD_BY Techs'!$B81,'Key Inputs_BY Techs'!$E:$E,'RSD_BY Techs'!$D81)</f>
        <v>0.54120000000000001</v>
      </c>
      <c r="AH81" s="211">
        <f>SUMIFS('Key Inputs_BY Techs'!AB:AB,'Key Inputs_BY Techs'!$A:$A,'RSD_BY Techs'!$L81,'Key Inputs_BY Techs'!$C:$C,'RSD_BY Techs'!$B81,'Key Inputs_BY Techs'!$E:$E,'RSD_BY Techs'!$D81)</f>
        <v>0.54120000000000001</v>
      </c>
      <c r="AI81" s="211">
        <f>SUMIFS('Key Inputs_BY Techs'!AC:AC,'Key Inputs_BY Techs'!$A:$A,'RSD_BY Techs'!$L81,'Key Inputs_BY Techs'!$C:$C,'RSD_BY Techs'!$B81,'Key Inputs_BY Techs'!$E:$E,'RSD_BY Techs'!$D81)</f>
        <v>0.54120000000000001</v>
      </c>
      <c r="AJ81" s="211">
        <f>SUMIFS('Key Inputs_BY Techs'!AD:AD,'Key Inputs_BY Techs'!$A:$A,'RSD_BY Techs'!$L81,'Key Inputs_BY Techs'!$C:$C,'RSD_BY Techs'!$B81,'Key Inputs_BY Techs'!$E:$E,'RSD_BY Techs'!$D81)</f>
        <v>0.54120000000000001</v>
      </c>
      <c r="AK81" s="211">
        <f>SUMIFS('Key Inputs_BY Techs'!AE:AE,'Key Inputs_BY Techs'!$A:$A,'RSD_BY Techs'!$L81,'Key Inputs_BY Techs'!$C:$C,'RSD_BY Techs'!$B81,'Key Inputs_BY Techs'!$E:$E,'RSD_BY Techs'!$D81)</f>
        <v>0.54120000000000001</v>
      </c>
      <c r="AL81" s="211">
        <f>SUMIFS('Key Inputs_BY Techs'!AF:AF,'Key Inputs_BY Techs'!$A:$A,'RSD_BY Techs'!$L81,'Key Inputs_BY Techs'!$C:$C,'RSD_BY Techs'!$B81,'Key Inputs_BY Techs'!$E:$E,'RSD_BY Techs'!$D81)</f>
        <v>0.54120000000000001</v>
      </c>
      <c r="AM81" s="211">
        <f>SUMIFS('Key Inputs_BY Techs'!AG:AG,'Key Inputs_BY Techs'!$A:$A,'RSD_BY Techs'!$L81,'Key Inputs_BY Techs'!$C:$C,'RSD_BY Techs'!$B81,'Key Inputs_BY Techs'!$E:$E,'RSD_BY Techs'!$D81)</f>
        <v>0.54120000000000001</v>
      </c>
      <c r="AN81" s="211">
        <f>SUMIFS('Key Inputs_BY Techs'!AH:AH,'Key Inputs_BY Techs'!$A:$A,'RSD_BY Techs'!$L81,'Key Inputs_BY Techs'!$C:$C,'RSD_BY Techs'!$B81,'Key Inputs_BY Techs'!$E:$E,'RSD_BY Techs'!$D81)</f>
        <v>0.54120000000000001</v>
      </c>
      <c r="AO81" s="211">
        <f>SUMIFS('Key Inputs_BY Techs'!AI:AI,'Key Inputs_BY Techs'!$A:$A,'RSD_BY Techs'!$L81,'Key Inputs_BY Techs'!$C:$C,'RSD_BY Techs'!$B81,'Key Inputs_BY Techs'!$E:$E,'RSD_BY Techs'!$D81)</f>
        <v>0.54120000000000001</v>
      </c>
      <c r="AP81" s="211">
        <f>SUMIFS('Key Inputs_BY Techs'!AJ:AJ,'Key Inputs_BY Techs'!$A:$A,'RSD_BY Techs'!$L81,'Key Inputs_BY Techs'!$C:$C,'RSD_BY Techs'!$B81,'Key Inputs_BY Techs'!$E:$E,'RSD_BY Techs'!$D81)</f>
        <v>0.54120000000000001</v>
      </c>
    </row>
    <row r="82" spans="1:42" x14ac:dyDescent="0.25">
      <c r="A82" s="254" t="s">
        <v>119</v>
      </c>
      <c r="B82" s="254" t="s">
        <v>118</v>
      </c>
      <c r="C82" s="254" t="str">
        <f>Legend!A$65</f>
        <v>Coal</v>
      </c>
      <c r="D82" s="254" t="str">
        <f>Legend!B$65</f>
        <v>RSDCOA</v>
      </c>
      <c r="E82" s="254" t="str">
        <f t="shared" ref="E82:E88" si="25">LEFT(D82,6)</f>
        <v>RSDCOA</v>
      </c>
      <c r="F82" s="254"/>
      <c r="G82" s="254"/>
      <c r="I82" s="211" t="str">
        <f t="shared" si="23"/>
        <v>R-CK_COA00</v>
      </c>
      <c r="J82" s="211" t="str">
        <f t="shared" si="23"/>
        <v>RSD Cooking technology: Coal - Existing</v>
      </c>
      <c r="K82" s="211"/>
      <c r="L82" s="211" t="s">
        <v>37</v>
      </c>
      <c r="M82" s="211" t="s">
        <v>174</v>
      </c>
      <c r="N82" s="211"/>
      <c r="O82" s="211">
        <f>SUMIFS('Key Inputs_BY Techs'!I:I,'Key Inputs_BY Techs'!$A:$A,'RSD_BY Techs'!$L82,'Key Inputs_BY Techs'!$C:$C,'RSD_BY Techs'!$B82,'Key Inputs_BY Techs'!$E:$E,'RSD_BY Techs'!$D82)</f>
        <v>0.54120000000000001</v>
      </c>
      <c r="P82" s="211">
        <f>SUMIFS('Key Inputs_BY Techs'!J:J,'Key Inputs_BY Techs'!$A:$A,'RSD_BY Techs'!$L82,'Key Inputs_BY Techs'!$C:$C,'RSD_BY Techs'!$B82,'Key Inputs_BY Techs'!$E:$E,'RSD_BY Techs'!$D82)</f>
        <v>0.54120000000000001</v>
      </c>
      <c r="Q82" s="211">
        <f>SUMIFS('Key Inputs_BY Techs'!K:K,'Key Inputs_BY Techs'!$A:$A,'RSD_BY Techs'!$L82,'Key Inputs_BY Techs'!$C:$C,'RSD_BY Techs'!$B82,'Key Inputs_BY Techs'!$E:$E,'RSD_BY Techs'!$D82)</f>
        <v>0.54120000000000001</v>
      </c>
      <c r="R82" s="211">
        <f>SUMIFS('Key Inputs_BY Techs'!L:L,'Key Inputs_BY Techs'!$A:$A,'RSD_BY Techs'!$L82,'Key Inputs_BY Techs'!$C:$C,'RSD_BY Techs'!$B82,'Key Inputs_BY Techs'!$E:$E,'RSD_BY Techs'!$D82)</f>
        <v>0.54120000000000001</v>
      </c>
      <c r="S82" s="211">
        <f>SUMIFS('Key Inputs_BY Techs'!M:M,'Key Inputs_BY Techs'!$A:$A,'RSD_BY Techs'!$L82,'Key Inputs_BY Techs'!$C:$C,'RSD_BY Techs'!$B82,'Key Inputs_BY Techs'!$E:$E,'RSD_BY Techs'!$D82)</f>
        <v>0.54120000000000001</v>
      </c>
      <c r="T82" s="211">
        <f>SUMIFS('Key Inputs_BY Techs'!N:N,'Key Inputs_BY Techs'!$A:$A,'RSD_BY Techs'!$L82,'Key Inputs_BY Techs'!$C:$C,'RSD_BY Techs'!$B82,'Key Inputs_BY Techs'!$E:$E,'RSD_BY Techs'!$D82)</f>
        <v>0.54120000000000001</v>
      </c>
      <c r="U82" s="211">
        <f>SUMIFS('Key Inputs_BY Techs'!O:O,'Key Inputs_BY Techs'!$A:$A,'RSD_BY Techs'!$L82,'Key Inputs_BY Techs'!$C:$C,'RSD_BY Techs'!$B82,'Key Inputs_BY Techs'!$E:$E,'RSD_BY Techs'!$D82)</f>
        <v>0.45100000000000001</v>
      </c>
      <c r="V82" s="211">
        <f>SUMIFS('Key Inputs_BY Techs'!P:P,'Key Inputs_BY Techs'!$A:$A,'RSD_BY Techs'!$L82,'Key Inputs_BY Techs'!$C:$C,'RSD_BY Techs'!$B82,'Key Inputs_BY Techs'!$E:$E,'RSD_BY Techs'!$D82)</f>
        <v>0.54120000000000001</v>
      </c>
      <c r="W82" s="211">
        <f>SUMIFS('Key Inputs_BY Techs'!Q:Q,'Key Inputs_BY Techs'!$A:$A,'RSD_BY Techs'!$L82,'Key Inputs_BY Techs'!$C:$C,'RSD_BY Techs'!$B82,'Key Inputs_BY Techs'!$E:$E,'RSD_BY Techs'!$D82)</f>
        <v>0.48391535544046005</v>
      </c>
      <c r="X82" s="211">
        <f>SUMIFS('Key Inputs_BY Techs'!R:R,'Key Inputs_BY Techs'!$A:$A,'RSD_BY Techs'!$L82,'Key Inputs_BY Techs'!$C:$C,'RSD_BY Techs'!$B82,'Key Inputs_BY Techs'!$E:$E,'RSD_BY Techs'!$D82)</f>
        <v>0.54120000000000001</v>
      </c>
      <c r="Y82" s="211">
        <f>SUMIFS('Key Inputs_BY Techs'!S:S,'Key Inputs_BY Techs'!$A:$A,'RSD_BY Techs'!$L82,'Key Inputs_BY Techs'!$C:$C,'RSD_BY Techs'!$B82,'Key Inputs_BY Techs'!$E:$E,'RSD_BY Techs'!$D82)</f>
        <v>0.54120000000000001</v>
      </c>
      <c r="Z82" s="211">
        <f>SUMIFS('Key Inputs_BY Techs'!T:T,'Key Inputs_BY Techs'!$A:$A,'RSD_BY Techs'!$L82,'Key Inputs_BY Techs'!$C:$C,'RSD_BY Techs'!$B82,'Key Inputs_BY Techs'!$E:$E,'RSD_BY Techs'!$D82)</f>
        <v>0.54120000000000001</v>
      </c>
      <c r="AA82" s="211">
        <f>SUMIFS('Key Inputs_BY Techs'!U:U,'Key Inputs_BY Techs'!$A:$A,'RSD_BY Techs'!$L82,'Key Inputs_BY Techs'!$C:$C,'RSD_BY Techs'!$B82,'Key Inputs_BY Techs'!$E:$E,'RSD_BY Techs'!$D82)</f>
        <v>0.54120000000000001</v>
      </c>
      <c r="AB82" s="211">
        <f>SUMIFS('Key Inputs_BY Techs'!V:V,'Key Inputs_BY Techs'!$A:$A,'RSD_BY Techs'!$L82,'Key Inputs_BY Techs'!$C:$C,'RSD_BY Techs'!$B82,'Key Inputs_BY Techs'!$E:$E,'RSD_BY Techs'!$D82)</f>
        <v>0.54120000000000001</v>
      </c>
      <c r="AC82" s="211">
        <f>SUMIFS('Key Inputs_BY Techs'!W:W,'Key Inputs_BY Techs'!$A:$A,'RSD_BY Techs'!$L82,'Key Inputs_BY Techs'!$C:$C,'RSD_BY Techs'!$B82,'Key Inputs_BY Techs'!$E:$E,'RSD_BY Techs'!$D82)</f>
        <v>0.54120000000000001</v>
      </c>
      <c r="AD82" s="211">
        <f>SUMIFS('Key Inputs_BY Techs'!X:X,'Key Inputs_BY Techs'!$A:$A,'RSD_BY Techs'!$L82,'Key Inputs_BY Techs'!$C:$C,'RSD_BY Techs'!$B82,'Key Inputs_BY Techs'!$E:$E,'RSD_BY Techs'!$D82)</f>
        <v>0.54120000000000001</v>
      </c>
      <c r="AE82" s="211">
        <f>SUMIFS('Key Inputs_BY Techs'!Y:Y,'Key Inputs_BY Techs'!$A:$A,'RSD_BY Techs'!$L82,'Key Inputs_BY Techs'!$C:$C,'RSD_BY Techs'!$B82,'Key Inputs_BY Techs'!$E:$E,'RSD_BY Techs'!$D82)</f>
        <v>0.54120000000000001</v>
      </c>
      <c r="AF82" s="211">
        <f>SUMIFS('Key Inputs_BY Techs'!Z:Z,'Key Inputs_BY Techs'!$A:$A,'RSD_BY Techs'!$L82,'Key Inputs_BY Techs'!$C:$C,'RSD_BY Techs'!$B82,'Key Inputs_BY Techs'!$E:$E,'RSD_BY Techs'!$D82)</f>
        <v>0.54120000000000001</v>
      </c>
      <c r="AG82" s="211">
        <f>SUMIFS('Key Inputs_BY Techs'!AA:AA,'Key Inputs_BY Techs'!$A:$A,'RSD_BY Techs'!$L82,'Key Inputs_BY Techs'!$C:$C,'RSD_BY Techs'!$B82,'Key Inputs_BY Techs'!$E:$E,'RSD_BY Techs'!$D82)</f>
        <v>0.54120000000000001</v>
      </c>
      <c r="AH82" s="211">
        <f>SUMIFS('Key Inputs_BY Techs'!AB:AB,'Key Inputs_BY Techs'!$A:$A,'RSD_BY Techs'!$L82,'Key Inputs_BY Techs'!$C:$C,'RSD_BY Techs'!$B82,'Key Inputs_BY Techs'!$E:$E,'RSD_BY Techs'!$D82)</f>
        <v>0.54120000000000001</v>
      </c>
      <c r="AI82" s="211">
        <f>SUMIFS('Key Inputs_BY Techs'!AC:AC,'Key Inputs_BY Techs'!$A:$A,'RSD_BY Techs'!$L82,'Key Inputs_BY Techs'!$C:$C,'RSD_BY Techs'!$B82,'Key Inputs_BY Techs'!$E:$E,'RSD_BY Techs'!$D82)</f>
        <v>0.54120000000000001</v>
      </c>
      <c r="AJ82" s="211">
        <f>SUMIFS('Key Inputs_BY Techs'!AD:AD,'Key Inputs_BY Techs'!$A:$A,'RSD_BY Techs'!$L82,'Key Inputs_BY Techs'!$C:$C,'RSD_BY Techs'!$B82,'Key Inputs_BY Techs'!$E:$E,'RSD_BY Techs'!$D82)</f>
        <v>0.54120000000000001</v>
      </c>
      <c r="AK82" s="211">
        <f>SUMIFS('Key Inputs_BY Techs'!AE:AE,'Key Inputs_BY Techs'!$A:$A,'RSD_BY Techs'!$L82,'Key Inputs_BY Techs'!$C:$C,'RSD_BY Techs'!$B82,'Key Inputs_BY Techs'!$E:$E,'RSD_BY Techs'!$D82)</f>
        <v>0.54120000000000001</v>
      </c>
      <c r="AL82" s="211">
        <f>SUMIFS('Key Inputs_BY Techs'!AF:AF,'Key Inputs_BY Techs'!$A:$A,'RSD_BY Techs'!$L82,'Key Inputs_BY Techs'!$C:$C,'RSD_BY Techs'!$B82,'Key Inputs_BY Techs'!$E:$E,'RSD_BY Techs'!$D82)</f>
        <v>0.54120000000000001</v>
      </c>
      <c r="AM82" s="211">
        <f>SUMIFS('Key Inputs_BY Techs'!AG:AG,'Key Inputs_BY Techs'!$A:$A,'RSD_BY Techs'!$L82,'Key Inputs_BY Techs'!$C:$C,'RSD_BY Techs'!$B82,'Key Inputs_BY Techs'!$E:$E,'RSD_BY Techs'!$D82)</f>
        <v>0.54120000000000001</v>
      </c>
      <c r="AN82" s="211">
        <f>SUMIFS('Key Inputs_BY Techs'!AH:AH,'Key Inputs_BY Techs'!$A:$A,'RSD_BY Techs'!$L82,'Key Inputs_BY Techs'!$C:$C,'RSD_BY Techs'!$B82,'Key Inputs_BY Techs'!$E:$E,'RSD_BY Techs'!$D82)</f>
        <v>0.54120000000000001</v>
      </c>
      <c r="AO82" s="211">
        <f>SUMIFS('Key Inputs_BY Techs'!AI:AI,'Key Inputs_BY Techs'!$A:$A,'RSD_BY Techs'!$L82,'Key Inputs_BY Techs'!$C:$C,'RSD_BY Techs'!$B82,'Key Inputs_BY Techs'!$E:$E,'RSD_BY Techs'!$D82)</f>
        <v>0.54120000000000001</v>
      </c>
      <c r="AP82" s="211">
        <f>SUMIFS('Key Inputs_BY Techs'!AJ:AJ,'Key Inputs_BY Techs'!$A:$A,'RSD_BY Techs'!$L82,'Key Inputs_BY Techs'!$C:$C,'RSD_BY Techs'!$B82,'Key Inputs_BY Techs'!$E:$E,'RSD_BY Techs'!$D82)</f>
        <v>0.54120000000000001</v>
      </c>
    </row>
    <row r="83" spans="1:42" x14ac:dyDescent="0.25">
      <c r="A83" s="254" t="s">
        <v>119</v>
      </c>
      <c r="B83" s="254" t="s">
        <v>118</v>
      </c>
      <c r="C83" s="254" t="str">
        <f>Legend!A$66</f>
        <v>Electricity</v>
      </c>
      <c r="D83" s="254" t="str">
        <f>Legend!B$66</f>
        <v>RSDELC</v>
      </c>
      <c r="E83" s="254" t="str">
        <f t="shared" si="25"/>
        <v>RSDELC</v>
      </c>
      <c r="F83" s="254"/>
      <c r="G83" s="254"/>
      <c r="I83" s="211" t="str">
        <f t="shared" si="23"/>
        <v>R-CK_ELC00</v>
      </c>
      <c r="J83" s="211" t="str">
        <f t="shared" si="23"/>
        <v>RSD Cooking technology: Electricity - Existing</v>
      </c>
      <c r="K83" s="211"/>
      <c r="L83" s="211" t="s">
        <v>37</v>
      </c>
      <c r="M83" s="211" t="s">
        <v>174</v>
      </c>
      <c r="N83" s="211"/>
      <c r="O83" s="211">
        <f>SUMIFS('Key Inputs_BY Techs'!I:I,'Key Inputs_BY Techs'!$A:$A,'RSD_BY Techs'!$L83,'Key Inputs_BY Techs'!$C:$C,'RSD_BY Techs'!$B83,'Key Inputs_BY Techs'!$E:$E,'RSD_BY Techs'!$D83)</f>
        <v>0.94799999999999995</v>
      </c>
      <c r="P83" s="211">
        <f>SUMIFS('Key Inputs_BY Techs'!J:J,'Key Inputs_BY Techs'!$A:$A,'RSD_BY Techs'!$L83,'Key Inputs_BY Techs'!$C:$C,'RSD_BY Techs'!$B83,'Key Inputs_BY Techs'!$E:$E,'RSD_BY Techs'!$D83)</f>
        <v>0.94799999999999995</v>
      </c>
      <c r="Q83" s="211">
        <f>SUMIFS('Key Inputs_BY Techs'!K:K,'Key Inputs_BY Techs'!$A:$A,'RSD_BY Techs'!$L83,'Key Inputs_BY Techs'!$C:$C,'RSD_BY Techs'!$B83,'Key Inputs_BY Techs'!$E:$E,'RSD_BY Techs'!$D83)</f>
        <v>0.94799999999999995</v>
      </c>
      <c r="R83" s="211">
        <f>SUMIFS('Key Inputs_BY Techs'!L:L,'Key Inputs_BY Techs'!$A:$A,'RSD_BY Techs'!$L83,'Key Inputs_BY Techs'!$C:$C,'RSD_BY Techs'!$B83,'Key Inputs_BY Techs'!$E:$E,'RSD_BY Techs'!$D83)</f>
        <v>0.94799999999999995</v>
      </c>
      <c r="S83" s="211">
        <f>SUMIFS('Key Inputs_BY Techs'!M:M,'Key Inputs_BY Techs'!$A:$A,'RSD_BY Techs'!$L83,'Key Inputs_BY Techs'!$C:$C,'RSD_BY Techs'!$B83,'Key Inputs_BY Techs'!$E:$E,'RSD_BY Techs'!$D83)</f>
        <v>0.94799999999999995</v>
      </c>
      <c r="T83" s="211">
        <f>SUMIFS('Key Inputs_BY Techs'!N:N,'Key Inputs_BY Techs'!$A:$A,'RSD_BY Techs'!$L83,'Key Inputs_BY Techs'!$C:$C,'RSD_BY Techs'!$B83,'Key Inputs_BY Techs'!$E:$E,'RSD_BY Techs'!$D83)</f>
        <v>0.94799999999999995</v>
      </c>
      <c r="U83" s="211">
        <f>SUMIFS('Key Inputs_BY Techs'!O:O,'Key Inputs_BY Techs'!$A:$A,'RSD_BY Techs'!$L83,'Key Inputs_BY Techs'!$C:$C,'RSD_BY Techs'!$B83,'Key Inputs_BY Techs'!$E:$E,'RSD_BY Techs'!$D83)</f>
        <v>0.79</v>
      </c>
      <c r="V83" s="211">
        <f>SUMIFS('Key Inputs_BY Techs'!P:P,'Key Inputs_BY Techs'!$A:$A,'RSD_BY Techs'!$L83,'Key Inputs_BY Techs'!$C:$C,'RSD_BY Techs'!$B83,'Key Inputs_BY Techs'!$E:$E,'RSD_BY Techs'!$D83)</f>
        <v>0.94799999999999995</v>
      </c>
      <c r="W83" s="211">
        <f>SUMIFS('Key Inputs_BY Techs'!Q:Q,'Key Inputs_BY Techs'!$A:$A,'RSD_BY Techs'!$L83,'Key Inputs_BY Techs'!$C:$C,'RSD_BY Techs'!$B83,'Key Inputs_BY Techs'!$E:$E,'RSD_BY Techs'!$D83)</f>
        <v>0.84765660930812292</v>
      </c>
      <c r="X83" s="211">
        <f>SUMIFS('Key Inputs_BY Techs'!R:R,'Key Inputs_BY Techs'!$A:$A,'RSD_BY Techs'!$L83,'Key Inputs_BY Techs'!$C:$C,'RSD_BY Techs'!$B83,'Key Inputs_BY Techs'!$E:$E,'RSD_BY Techs'!$D83)</f>
        <v>0.94799999999999995</v>
      </c>
      <c r="Y83" s="211">
        <f>SUMIFS('Key Inputs_BY Techs'!S:S,'Key Inputs_BY Techs'!$A:$A,'RSD_BY Techs'!$L83,'Key Inputs_BY Techs'!$C:$C,'RSD_BY Techs'!$B83,'Key Inputs_BY Techs'!$E:$E,'RSD_BY Techs'!$D83)</f>
        <v>0.94799999999999995</v>
      </c>
      <c r="Z83" s="211">
        <f>SUMIFS('Key Inputs_BY Techs'!T:T,'Key Inputs_BY Techs'!$A:$A,'RSD_BY Techs'!$L83,'Key Inputs_BY Techs'!$C:$C,'RSD_BY Techs'!$B83,'Key Inputs_BY Techs'!$E:$E,'RSD_BY Techs'!$D83)</f>
        <v>0.94799999999999995</v>
      </c>
      <c r="AA83" s="211">
        <f>SUMIFS('Key Inputs_BY Techs'!U:U,'Key Inputs_BY Techs'!$A:$A,'RSD_BY Techs'!$L83,'Key Inputs_BY Techs'!$C:$C,'RSD_BY Techs'!$B83,'Key Inputs_BY Techs'!$E:$E,'RSD_BY Techs'!$D83)</f>
        <v>0.94799999999999995</v>
      </c>
      <c r="AB83" s="211">
        <f>SUMIFS('Key Inputs_BY Techs'!V:V,'Key Inputs_BY Techs'!$A:$A,'RSD_BY Techs'!$L83,'Key Inputs_BY Techs'!$C:$C,'RSD_BY Techs'!$B83,'Key Inputs_BY Techs'!$E:$E,'RSD_BY Techs'!$D83)</f>
        <v>0.94799999999999995</v>
      </c>
      <c r="AC83" s="211">
        <f>SUMIFS('Key Inputs_BY Techs'!W:W,'Key Inputs_BY Techs'!$A:$A,'RSD_BY Techs'!$L83,'Key Inputs_BY Techs'!$C:$C,'RSD_BY Techs'!$B83,'Key Inputs_BY Techs'!$E:$E,'RSD_BY Techs'!$D83)</f>
        <v>0.94799999999999995</v>
      </c>
      <c r="AD83" s="211">
        <f>SUMIFS('Key Inputs_BY Techs'!X:X,'Key Inputs_BY Techs'!$A:$A,'RSD_BY Techs'!$L83,'Key Inputs_BY Techs'!$C:$C,'RSD_BY Techs'!$B83,'Key Inputs_BY Techs'!$E:$E,'RSD_BY Techs'!$D83)</f>
        <v>0.94799999999999995</v>
      </c>
      <c r="AE83" s="211">
        <f>SUMIFS('Key Inputs_BY Techs'!Y:Y,'Key Inputs_BY Techs'!$A:$A,'RSD_BY Techs'!$L83,'Key Inputs_BY Techs'!$C:$C,'RSD_BY Techs'!$B83,'Key Inputs_BY Techs'!$E:$E,'RSD_BY Techs'!$D83)</f>
        <v>0.94799999999999995</v>
      </c>
      <c r="AF83" s="211">
        <f>SUMIFS('Key Inputs_BY Techs'!Z:Z,'Key Inputs_BY Techs'!$A:$A,'RSD_BY Techs'!$L83,'Key Inputs_BY Techs'!$C:$C,'RSD_BY Techs'!$B83,'Key Inputs_BY Techs'!$E:$E,'RSD_BY Techs'!$D83)</f>
        <v>0.94799999999999995</v>
      </c>
      <c r="AG83" s="211">
        <f>SUMIFS('Key Inputs_BY Techs'!AA:AA,'Key Inputs_BY Techs'!$A:$A,'RSD_BY Techs'!$L83,'Key Inputs_BY Techs'!$C:$C,'RSD_BY Techs'!$B83,'Key Inputs_BY Techs'!$E:$E,'RSD_BY Techs'!$D83)</f>
        <v>0.94799999999999995</v>
      </c>
      <c r="AH83" s="211">
        <f>SUMIFS('Key Inputs_BY Techs'!AB:AB,'Key Inputs_BY Techs'!$A:$A,'RSD_BY Techs'!$L83,'Key Inputs_BY Techs'!$C:$C,'RSD_BY Techs'!$B83,'Key Inputs_BY Techs'!$E:$E,'RSD_BY Techs'!$D83)</f>
        <v>0.94799999999999995</v>
      </c>
      <c r="AI83" s="211">
        <f>SUMIFS('Key Inputs_BY Techs'!AC:AC,'Key Inputs_BY Techs'!$A:$A,'RSD_BY Techs'!$L83,'Key Inputs_BY Techs'!$C:$C,'RSD_BY Techs'!$B83,'Key Inputs_BY Techs'!$E:$E,'RSD_BY Techs'!$D83)</f>
        <v>0.94799999999999995</v>
      </c>
      <c r="AJ83" s="211">
        <f>SUMIFS('Key Inputs_BY Techs'!AD:AD,'Key Inputs_BY Techs'!$A:$A,'RSD_BY Techs'!$L83,'Key Inputs_BY Techs'!$C:$C,'RSD_BY Techs'!$B83,'Key Inputs_BY Techs'!$E:$E,'RSD_BY Techs'!$D83)</f>
        <v>0.94799999999999995</v>
      </c>
      <c r="AK83" s="211">
        <f>SUMIFS('Key Inputs_BY Techs'!AE:AE,'Key Inputs_BY Techs'!$A:$A,'RSD_BY Techs'!$L83,'Key Inputs_BY Techs'!$C:$C,'RSD_BY Techs'!$B83,'Key Inputs_BY Techs'!$E:$E,'RSD_BY Techs'!$D83)</f>
        <v>0.94799999999999995</v>
      </c>
      <c r="AL83" s="211">
        <f>SUMIFS('Key Inputs_BY Techs'!AF:AF,'Key Inputs_BY Techs'!$A:$A,'RSD_BY Techs'!$L83,'Key Inputs_BY Techs'!$C:$C,'RSD_BY Techs'!$B83,'Key Inputs_BY Techs'!$E:$E,'RSD_BY Techs'!$D83)</f>
        <v>0.94799999999999995</v>
      </c>
      <c r="AM83" s="211">
        <f>SUMIFS('Key Inputs_BY Techs'!AG:AG,'Key Inputs_BY Techs'!$A:$A,'RSD_BY Techs'!$L83,'Key Inputs_BY Techs'!$C:$C,'RSD_BY Techs'!$B83,'Key Inputs_BY Techs'!$E:$E,'RSD_BY Techs'!$D83)</f>
        <v>0.94799999999999995</v>
      </c>
      <c r="AN83" s="211">
        <f>SUMIFS('Key Inputs_BY Techs'!AH:AH,'Key Inputs_BY Techs'!$A:$A,'RSD_BY Techs'!$L83,'Key Inputs_BY Techs'!$C:$C,'RSD_BY Techs'!$B83,'Key Inputs_BY Techs'!$E:$E,'RSD_BY Techs'!$D83)</f>
        <v>0.94799999999999995</v>
      </c>
      <c r="AO83" s="211">
        <f>SUMIFS('Key Inputs_BY Techs'!AI:AI,'Key Inputs_BY Techs'!$A:$A,'RSD_BY Techs'!$L83,'Key Inputs_BY Techs'!$C:$C,'RSD_BY Techs'!$B83,'Key Inputs_BY Techs'!$E:$E,'RSD_BY Techs'!$D83)</f>
        <v>0.94799999999999995</v>
      </c>
      <c r="AP83" s="211">
        <f>SUMIFS('Key Inputs_BY Techs'!AJ:AJ,'Key Inputs_BY Techs'!$A:$A,'RSD_BY Techs'!$L83,'Key Inputs_BY Techs'!$C:$C,'RSD_BY Techs'!$B83,'Key Inputs_BY Techs'!$E:$E,'RSD_BY Techs'!$D83)</f>
        <v>0.94799999999999995</v>
      </c>
    </row>
    <row r="84" spans="1:42" x14ac:dyDescent="0.25">
      <c r="A84" s="254" t="s">
        <v>119</v>
      </c>
      <c r="B84" s="254" t="s">
        <v>118</v>
      </c>
      <c r="C84" s="254" t="str">
        <f>Legend!$A$71&amp;", "&amp;Legend!$A$63&amp;", "&amp;Legend!$A$72</f>
        <v>Natural gas, Biogas, Manufactured gas</v>
      </c>
      <c r="D84" s="254" t="str">
        <f>Legend!$B$71&amp;", "&amp;Legend!$B$63&amp;", "&amp;Legend!$B$72</f>
        <v>RSDGAS, RSDBGS, RSDGAM</v>
      </c>
      <c r="E84" s="254" t="str">
        <f t="shared" si="25"/>
        <v>RSDGAS</v>
      </c>
      <c r="F84" s="254"/>
      <c r="G84" s="254"/>
      <c r="I84" s="211" t="str">
        <f t="shared" si="23"/>
        <v>R-CK_GAS00</v>
      </c>
      <c r="J84" s="211" t="str">
        <f t="shared" si="23"/>
        <v>RSD Cooking technology: Natural gas, Biogas, Manufactured gas - Existing</v>
      </c>
      <c r="K84" s="211"/>
      <c r="L84" s="211" t="s">
        <v>37</v>
      </c>
      <c r="M84" s="211" t="s">
        <v>174</v>
      </c>
      <c r="N84" s="211"/>
      <c r="O84" s="211">
        <f>SUMIFS('Key Inputs_BY Techs'!I:I,'Key Inputs_BY Techs'!$A:$A,'RSD_BY Techs'!$L84,'Key Inputs_BY Techs'!$C:$C,'RSD_BY Techs'!$B84,'Key Inputs_BY Techs'!$E:$E,'RSD_BY Techs'!$D84)</f>
        <v>0.504</v>
      </c>
      <c r="P84" s="211">
        <f>SUMIFS('Key Inputs_BY Techs'!J:J,'Key Inputs_BY Techs'!$A:$A,'RSD_BY Techs'!$L84,'Key Inputs_BY Techs'!$C:$C,'RSD_BY Techs'!$B84,'Key Inputs_BY Techs'!$E:$E,'RSD_BY Techs'!$D84)</f>
        <v>0.504</v>
      </c>
      <c r="Q84" s="211">
        <f>SUMIFS('Key Inputs_BY Techs'!K:K,'Key Inputs_BY Techs'!$A:$A,'RSD_BY Techs'!$L84,'Key Inputs_BY Techs'!$C:$C,'RSD_BY Techs'!$B84,'Key Inputs_BY Techs'!$E:$E,'RSD_BY Techs'!$D84)</f>
        <v>0.504</v>
      </c>
      <c r="R84" s="211">
        <f>SUMIFS('Key Inputs_BY Techs'!L:L,'Key Inputs_BY Techs'!$A:$A,'RSD_BY Techs'!$L84,'Key Inputs_BY Techs'!$C:$C,'RSD_BY Techs'!$B84,'Key Inputs_BY Techs'!$E:$E,'RSD_BY Techs'!$D84)</f>
        <v>0.504</v>
      </c>
      <c r="S84" s="211">
        <f>SUMIFS('Key Inputs_BY Techs'!M:M,'Key Inputs_BY Techs'!$A:$A,'RSD_BY Techs'!$L84,'Key Inputs_BY Techs'!$C:$C,'RSD_BY Techs'!$B84,'Key Inputs_BY Techs'!$E:$E,'RSD_BY Techs'!$D84)</f>
        <v>0.504</v>
      </c>
      <c r="T84" s="211">
        <f>SUMIFS('Key Inputs_BY Techs'!N:N,'Key Inputs_BY Techs'!$A:$A,'RSD_BY Techs'!$L84,'Key Inputs_BY Techs'!$C:$C,'RSD_BY Techs'!$B84,'Key Inputs_BY Techs'!$E:$E,'RSD_BY Techs'!$D84)</f>
        <v>0.504</v>
      </c>
      <c r="U84" s="211">
        <f>SUMIFS('Key Inputs_BY Techs'!O:O,'Key Inputs_BY Techs'!$A:$A,'RSD_BY Techs'!$L84,'Key Inputs_BY Techs'!$C:$C,'RSD_BY Techs'!$B84,'Key Inputs_BY Techs'!$E:$E,'RSD_BY Techs'!$D84)</f>
        <v>0.42</v>
      </c>
      <c r="V84" s="211">
        <f>SUMIFS('Key Inputs_BY Techs'!P:P,'Key Inputs_BY Techs'!$A:$A,'RSD_BY Techs'!$L84,'Key Inputs_BY Techs'!$C:$C,'RSD_BY Techs'!$B84,'Key Inputs_BY Techs'!$E:$E,'RSD_BY Techs'!$D84)</f>
        <v>0.504</v>
      </c>
      <c r="W84" s="211">
        <f>SUMIFS('Key Inputs_BY Techs'!Q:Q,'Key Inputs_BY Techs'!$A:$A,'RSD_BY Techs'!$L84,'Key Inputs_BY Techs'!$C:$C,'RSD_BY Techs'!$B84,'Key Inputs_BY Techs'!$E:$E,'RSD_BY Techs'!$D84)</f>
        <v>0.45065288089798938</v>
      </c>
      <c r="X84" s="211">
        <f>SUMIFS('Key Inputs_BY Techs'!R:R,'Key Inputs_BY Techs'!$A:$A,'RSD_BY Techs'!$L84,'Key Inputs_BY Techs'!$C:$C,'RSD_BY Techs'!$B84,'Key Inputs_BY Techs'!$E:$E,'RSD_BY Techs'!$D84)</f>
        <v>0.504</v>
      </c>
      <c r="Y84" s="211">
        <f>SUMIFS('Key Inputs_BY Techs'!S:S,'Key Inputs_BY Techs'!$A:$A,'RSD_BY Techs'!$L84,'Key Inputs_BY Techs'!$C:$C,'RSD_BY Techs'!$B84,'Key Inputs_BY Techs'!$E:$E,'RSD_BY Techs'!$D84)</f>
        <v>0.504</v>
      </c>
      <c r="Z84" s="211">
        <f>SUMIFS('Key Inputs_BY Techs'!T:T,'Key Inputs_BY Techs'!$A:$A,'RSD_BY Techs'!$L84,'Key Inputs_BY Techs'!$C:$C,'RSD_BY Techs'!$B84,'Key Inputs_BY Techs'!$E:$E,'RSD_BY Techs'!$D84)</f>
        <v>0.504</v>
      </c>
      <c r="AA84" s="211">
        <f>SUMIFS('Key Inputs_BY Techs'!U:U,'Key Inputs_BY Techs'!$A:$A,'RSD_BY Techs'!$L84,'Key Inputs_BY Techs'!$C:$C,'RSD_BY Techs'!$B84,'Key Inputs_BY Techs'!$E:$E,'RSD_BY Techs'!$D84)</f>
        <v>0.504</v>
      </c>
      <c r="AB84" s="211">
        <f>SUMIFS('Key Inputs_BY Techs'!V:V,'Key Inputs_BY Techs'!$A:$A,'RSD_BY Techs'!$L84,'Key Inputs_BY Techs'!$C:$C,'RSD_BY Techs'!$B84,'Key Inputs_BY Techs'!$E:$E,'RSD_BY Techs'!$D84)</f>
        <v>0.504</v>
      </c>
      <c r="AC84" s="211">
        <f>SUMIFS('Key Inputs_BY Techs'!W:W,'Key Inputs_BY Techs'!$A:$A,'RSD_BY Techs'!$L84,'Key Inputs_BY Techs'!$C:$C,'RSD_BY Techs'!$B84,'Key Inputs_BY Techs'!$E:$E,'RSD_BY Techs'!$D84)</f>
        <v>0.504</v>
      </c>
      <c r="AD84" s="211">
        <f>SUMIFS('Key Inputs_BY Techs'!X:X,'Key Inputs_BY Techs'!$A:$A,'RSD_BY Techs'!$L84,'Key Inputs_BY Techs'!$C:$C,'RSD_BY Techs'!$B84,'Key Inputs_BY Techs'!$E:$E,'RSD_BY Techs'!$D84)</f>
        <v>0.504</v>
      </c>
      <c r="AE84" s="211">
        <f>SUMIFS('Key Inputs_BY Techs'!Y:Y,'Key Inputs_BY Techs'!$A:$A,'RSD_BY Techs'!$L84,'Key Inputs_BY Techs'!$C:$C,'RSD_BY Techs'!$B84,'Key Inputs_BY Techs'!$E:$E,'RSD_BY Techs'!$D84)</f>
        <v>0.504</v>
      </c>
      <c r="AF84" s="211">
        <f>SUMIFS('Key Inputs_BY Techs'!Z:Z,'Key Inputs_BY Techs'!$A:$A,'RSD_BY Techs'!$L84,'Key Inputs_BY Techs'!$C:$C,'RSD_BY Techs'!$B84,'Key Inputs_BY Techs'!$E:$E,'RSD_BY Techs'!$D84)</f>
        <v>0.504</v>
      </c>
      <c r="AG84" s="211">
        <f>SUMIFS('Key Inputs_BY Techs'!AA:AA,'Key Inputs_BY Techs'!$A:$A,'RSD_BY Techs'!$L84,'Key Inputs_BY Techs'!$C:$C,'RSD_BY Techs'!$B84,'Key Inputs_BY Techs'!$E:$E,'RSD_BY Techs'!$D84)</f>
        <v>0.504</v>
      </c>
      <c r="AH84" s="211">
        <f>SUMIFS('Key Inputs_BY Techs'!AB:AB,'Key Inputs_BY Techs'!$A:$A,'RSD_BY Techs'!$L84,'Key Inputs_BY Techs'!$C:$C,'RSD_BY Techs'!$B84,'Key Inputs_BY Techs'!$E:$E,'RSD_BY Techs'!$D84)</f>
        <v>0.504</v>
      </c>
      <c r="AI84" s="211">
        <f>SUMIFS('Key Inputs_BY Techs'!AC:AC,'Key Inputs_BY Techs'!$A:$A,'RSD_BY Techs'!$L84,'Key Inputs_BY Techs'!$C:$C,'RSD_BY Techs'!$B84,'Key Inputs_BY Techs'!$E:$E,'RSD_BY Techs'!$D84)</f>
        <v>0.504</v>
      </c>
      <c r="AJ84" s="211">
        <f>SUMIFS('Key Inputs_BY Techs'!AD:AD,'Key Inputs_BY Techs'!$A:$A,'RSD_BY Techs'!$L84,'Key Inputs_BY Techs'!$C:$C,'RSD_BY Techs'!$B84,'Key Inputs_BY Techs'!$E:$E,'RSD_BY Techs'!$D84)</f>
        <v>0.504</v>
      </c>
      <c r="AK84" s="211">
        <f>SUMIFS('Key Inputs_BY Techs'!AE:AE,'Key Inputs_BY Techs'!$A:$A,'RSD_BY Techs'!$L84,'Key Inputs_BY Techs'!$C:$C,'RSD_BY Techs'!$B84,'Key Inputs_BY Techs'!$E:$E,'RSD_BY Techs'!$D84)</f>
        <v>0.504</v>
      </c>
      <c r="AL84" s="211">
        <f>SUMIFS('Key Inputs_BY Techs'!AF:AF,'Key Inputs_BY Techs'!$A:$A,'RSD_BY Techs'!$L84,'Key Inputs_BY Techs'!$C:$C,'RSD_BY Techs'!$B84,'Key Inputs_BY Techs'!$E:$E,'RSD_BY Techs'!$D84)</f>
        <v>0.504</v>
      </c>
      <c r="AM84" s="211">
        <f>SUMIFS('Key Inputs_BY Techs'!AG:AG,'Key Inputs_BY Techs'!$A:$A,'RSD_BY Techs'!$L84,'Key Inputs_BY Techs'!$C:$C,'RSD_BY Techs'!$B84,'Key Inputs_BY Techs'!$E:$E,'RSD_BY Techs'!$D84)</f>
        <v>0.504</v>
      </c>
      <c r="AN84" s="211">
        <f>SUMIFS('Key Inputs_BY Techs'!AH:AH,'Key Inputs_BY Techs'!$A:$A,'RSD_BY Techs'!$L84,'Key Inputs_BY Techs'!$C:$C,'RSD_BY Techs'!$B84,'Key Inputs_BY Techs'!$E:$E,'RSD_BY Techs'!$D84)</f>
        <v>0.504</v>
      </c>
      <c r="AO84" s="211">
        <f>SUMIFS('Key Inputs_BY Techs'!AI:AI,'Key Inputs_BY Techs'!$A:$A,'RSD_BY Techs'!$L84,'Key Inputs_BY Techs'!$C:$C,'RSD_BY Techs'!$B84,'Key Inputs_BY Techs'!$E:$E,'RSD_BY Techs'!$D84)</f>
        <v>0.504</v>
      </c>
      <c r="AP84" s="211">
        <f>SUMIFS('Key Inputs_BY Techs'!AJ:AJ,'Key Inputs_BY Techs'!$A:$A,'RSD_BY Techs'!$L84,'Key Inputs_BY Techs'!$C:$C,'RSD_BY Techs'!$B84,'Key Inputs_BY Techs'!$E:$E,'RSD_BY Techs'!$D84)</f>
        <v>0.504</v>
      </c>
    </row>
    <row r="85" spans="1:42" x14ac:dyDescent="0.25">
      <c r="A85" s="254" t="s">
        <v>119</v>
      </c>
      <c r="B85" s="254" t="s">
        <v>118</v>
      </c>
      <c r="C85" s="254" t="str">
        <f>Legend!$A$70</f>
        <v>LPG</v>
      </c>
      <c r="D85" s="254" t="str">
        <f>Legend!$B$70</f>
        <v>RSDLPG</v>
      </c>
      <c r="E85" s="254" t="str">
        <f t="shared" si="25"/>
        <v>RSDLPG</v>
      </c>
      <c r="F85" s="254"/>
      <c r="G85" s="254"/>
      <c r="I85" s="211" t="str">
        <f t="shared" si="23"/>
        <v>R-CK_LPG00</v>
      </c>
      <c r="J85" s="211" t="str">
        <f t="shared" si="23"/>
        <v>RSD Cooking technology: LPG - Existing</v>
      </c>
      <c r="K85" s="211"/>
      <c r="L85" s="211" t="s">
        <v>37</v>
      </c>
      <c r="M85" s="211" t="s">
        <v>174</v>
      </c>
      <c r="N85" s="211"/>
      <c r="O85" s="211">
        <f>SUMIFS('Key Inputs_BY Techs'!I:I,'Key Inputs_BY Techs'!$A:$A,'RSD_BY Techs'!$L85,'Key Inputs_BY Techs'!$C:$C,'RSD_BY Techs'!$B85,'Key Inputs_BY Techs'!$E:$E,'RSD_BY Techs'!$D85)</f>
        <v>0.7248</v>
      </c>
      <c r="P85" s="211">
        <f>SUMIFS('Key Inputs_BY Techs'!J:J,'Key Inputs_BY Techs'!$A:$A,'RSD_BY Techs'!$L85,'Key Inputs_BY Techs'!$C:$C,'RSD_BY Techs'!$B85,'Key Inputs_BY Techs'!$E:$E,'RSD_BY Techs'!$D85)</f>
        <v>0.7248</v>
      </c>
      <c r="Q85" s="211">
        <f>SUMIFS('Key Inputs_BY Techs'!K:K,'Key Inputs_BY Techs'!$A:$A,'RSD_BY Techs'!$L85,'Key Inputs_BY Techs'!$C:$C,'RSD_BY Techs'!$B85,'Key Inputs_BY Techs'!$E:$E,'RSD_BY Techs'!$D85)</f>
        <v>0.7248</v>
      </c>
      <c r="R85" s="211">
        <f>SUMIFS('Key Inputs_BY Techs'!L:L,'Key Inputs_BY Techs'!$A:$A,'RSD_BY Techs'!$L85,'Key Inputs_BY Techs'!$C:$C,'RSD_BY Techs'!$B85,'Key Inputs_BY Techs'!$E:$E,'RSD_BY Techs'!$D85)</f>
        <v>0.7248</v>
      </c>
      <c r="S85" s="211">
        <f>SUMIFS('Key Inputs_BY Techs'!M:M,'Key Inputs_BY Techs'!$A:$A,'RSD_BY Techs'!$L85,'Key Inputs_BY Techs'!$C:$C,'RSD_BY Techs'!$B85,'Key Inputs_BY Techs'!$E:$E,'RSD_BY Techs'!$D85)</f>
        <v>0.7248</v>
      </c>
      <c r="T85" s="211">
        <f>SUMIFS('Key Inputs_BY Techs'!N:N,'Key Inputs_BY Techs'!$A:$A,'RSD_BY Techs'!$L85,'Key Inputs_BY Techs'!$C:$C,'RSD_BY Techs'!$B85,'Key Inputs_BY Techs'!$E:$E,'RSD_BY Techs'!$D85)</f>
        <v>0.7248</v>
      </c>
      <c r="U85" s="211">
        <f>SUMIFS('Key Inputs_BY Techs'!O:O,'Key Inputs_BY Techs'!$A:$A,'RSD_BY Techs'!$L85,'Key Inputs_BY Techs'!$C:$C,'RSD_BY Techs'!$B85,'Key Inputs_BY Techs'!$E:$E,'RSD_BY Techs'!$D85)</f>
        <v>0.60399999999999998</v>
      </c>
      <c r="V85" s="211">
        <f>SUMIFS('Key Inputs_BY Techs'!P:P,'Key Inputs_BY Techs'!$A:$A,'RSD_BY Techs'!$L85,'Key Inputs_BY Techs'!$C:$C,'RSD_BY Techs'!$B85,'Key Inputs_BY Techs'!$E:$E,'RSD_BY Techs'!$D85)</f>
        <v>0.7248</v>
      </c>
      <c r="W85" s="211">
        <f>SUMIFS('Key Inputs_BY Techs'!Q:Q,'Key Inputs_BY Techs'!$A:$A,'RSD_BY Techs'!$L85,'Key Inputs_BY Techs'!$C:$C,'RSD_BY Techs'!$B85,'Key Inputs_BY Techs'!$E:$E,'RSD_BY Techs'!$D85)</f>
        <v>0.64808176205329904</v>
      </c>
      <c r="X85" s="211">
        <f>SUMIFS('Key Inputs_BY Techs'!R:R,'Key Inputs_BY Techs'!$A:$A,'RSD_BY Techs'!$L85,'Key Inputs_BY Techs'!$C:$C,'RSD_BY Techs'!$B85,'Key Inputs_BY Techs'!$E:$E,'RSD_BY Techs'!$D85)</f>
        <v>0.7248</v>
      </c>
      <c r="Y85" s="211">
        <f>SUMIFS('Key Inputs_BY Techs'!S:S,'Key Inputs_BY Techs'!$A:$A,'RSD_BY Techs'!$L85,'Key Inputs_BY Techs'!$C:$C,'RSD_BY Techs'!$B85,'Key Inputs_BY Techs'!$E:$E,'RSD_BY Techs'!$D85)</f>
        <v>0.7248</v>
      </c>
      <c r="Z85" s="211">
        <f>SUMIFS('Key Inputs_BY Techs'!T:T,'Key Inputs_BY Techs'!$A:$A,'RSD_BY Techs'!$L85,'Key Inputs_BY Techs'!$C:$C,'RSD_BY Techs'!$B85,'Key Inputs_BY Techs'!$E:$E,'RSD_BY Techs'!$D85)</f>
        <v>0.7248</v>
      </c>
      <c r="AA85" s="211">
        <f>SUMIFS('Key Inputs_BY Techs'!U:U,'Key Inputs_BY Techs'!$A:$A,'RSD_BY Techs'!$L85,'Key Inputs_BY Techs'!$C:$C,'RSD_BY Techs'!$B85,'Key Inputs_BY Techs'!$E:$E,'RSD_BY Techs'!$D85)</f>
        <v>0.7248</v>
      </c>
      <c r="AB85" s="211">
        <f>SUMIFS('Key Inputs_BY Techs'!V:V,'Key Inputs_BY Techs'!$A:$A,'RSD_BY Techs'!$L85,'Key Inputs_BY Techs'!$C:$C,'RSD_BY Techs'!$B85,'Key Inputs_BY Techs'!$E:$E,'RSD_BY Techs'!$D85)</f>
        <v>0.7248</v>
      </c>
      <c r="AC85" s="211">
        <f>SUMIFS('Key Inputs_BY Techs'!W:W,'Key Inputs_BY Techs'!$A:$A,'RSD_BY Techs'!$L85,'Key Inputs_BY Techs'!$C:$C,'RSD_BY Techs'!$B85,'Key Inputs_BY Techs'!$E:$E,'RSD_BY Techs'!$D85)</f>
        <v>0.7248</v>
      </c>
      <c r="AD85" s="211">
        <f>SUMIFS('Key Inputs_BY Techs'!X:X,'Key Inputs_BY Techs'!$A:$A,'RSD_BY Techs'!$L85,'Key Inputs_BY Techs'!$C:$C,'RSD_BY Techs'!$B85,'Key Inputs_BY Techs'!$E:$E,'RSD_BY Techs'!$D85)</f>
        <v>0.7248</v>
      </c>
      <c r="AE85" s="211">
        <f>SUMIFS('Key Inputs_BY Techs'!Y:Y,'Key Inputs_BY Techs'!$A:$A,'RSD_BY Techs'!$L85,'Key Inputs_BY Techs'!$C:$C,'RSD_BY Techs'!$B85,'Key Inputs_BY Techs'!$E:$E,'RSD_BY Techs'!$D85)</f>
        <v>0.7248</v>
      </c>
      <c r="AF85" s="211">
        <f>SUMIFS('Key Inputs_BY Techs'!Z:Z,'Key Inputs_BY Techs'!$A:$A,'RSD_BY Techs'!$L85,'Key Inputs_BY Techs'!$C:$C,'RSD_BY Techs'!$B85,'Key Inputs_BY Techs'!$E:$E,'RSD_BY Techs'!$D85)</f>
        <v>0.7248</v>
      </c>
      <c r="AG85" s="211">
        <f>SUMIFS('Key Inputs_BY Techs'!AA:AA,'Key Inputs_BY Techs'!$A:$A,'RSD_BY Techs'!$L85,'Key Inputs_BY Techs'!$C:$C,'RSD_BY Techs'!$B85,'Key Inputs_BY Techs'!$E:$E,'RSD_BY Techs'!$D85)</f>
        <v>0.7248</v>
      </c>
      <c r="AH85" s="211">
        <f>SUMIFS('Key Inputs_BY Techs'!AB:AB,'Key Inputs_BY Techs'!$A:$A,'RSD_BY Techs'!$L85,'Key Inputs_BY Techs'!$C:$C,'RSD_BY Techs'!$B85,'Key Inputs_BY Techs'!$E:$E,'RSD_BY Techs'!$D85)</f>
        <v>0.7248</v>
      </c>
      <c r="AI85" s="211">
        <f>SUMIFS('Key Inputs_BY Techs'!AC:AC,'Key Inputs_BY Techs'!$A:$A,'RSD_BY Techs'!$L85,'Key Inputs_BY Techs'!$C:$C,'RSD_BY Techs'!$B85,'Key Inputs_BY Techs'!$E:$E,'RSD_BY Techs'!$D85)</f>
        <v>0.7248</v>
      </c>
      <c r="AJ85" s="211">
        <f>SUMIFS('Key Inputs_BY Techs'!AD:AD,'Key Inputs_BY Techs'!$A:$A,'RSD_BY Techs'!$L85,'Key Inputs_BY Techs'!$C:$C,'RSD_BY Techs'!$B85,'Key Inputs_BY Techs'!$E:$E,'RSD_BY Techs'!$D85)</f>
        <v>0.7248</v>
      </c>
      <c r="AK85" s="211">
        <f>SUMIFS('Key Inputs_BY Techs'!AE:AE,'Key Inputs_BY Techs'!$A:$A,'RSD_BY Techs'!$L85,'Key Inputs_BY Techs'!$C:$C,'RSD_BY Techs'!$B85,'Key Inputs_BY Techs'!$E:$E,'RSD_BY Techs'!$D85)</f>
        <v>0.7248</v>
      </c>
      <c r="AL85" s="211">
        <f>SUMIFS('Key Inputs_BY Techs'!AF:AF,'Key Inputs_BY Techs'!$A:$A,'RSD_BY Techs'!$L85,'Key Inputs_BY Techs'!$C:$C,'RSD_BY Techs'!$B85,'Key Inputs_BY Techs'!$E:$E,'RSD_BY Techs'!$D85)</f>
        <v>0.7248</v>
      </c>
      <c r="AM85" s="211">
        <f>SUMIFS('Key Inputs_BY Techs'!AG:AG,'Key Inputs_BY Techs'!$A:$A,'RSD_BY Techs'!$L85,'Key Inputs_BY Techs'!$C:$C,'RSD_BY Techs'!$B85,'Key Inputs_BY Techs'!$E:$E,'RSD_BY Techs'!$D85)</f>
        <v>0.7248</v>
      </c>
      <c r="AN85" s="211">
        <f>SUMIFS('Key Inputs_BY Techs'!AH:AH,'Key Inputs_BY Techs'!$A:$A,'RSD_BY Techs'!$L85,'Key Inputs_BY Techs'!$C:$C,'RSD_BY Techs'!$B85,'Key Inputs_BY Techs'!$E:$E,'RSD_BY Techs'!$D85)</f>
        <v>0.7248</v>
      </c>
      <c r="AO85" s="211">
        <f>SUMIFS('Key Inputs_BY Techs'!AI:AI,'Key Inputs_BY Techs'!$A:$A,'RSD_BY Techs'!$L85,'Key Inputs_BY Techs'!$C:$C,'RSD_BY Techs'!$B85,'Key Inputs_BY Techs'!$E:$E,'RSD_BY Techs'!$D85)</f>
        <v>0.7248</v>
      </c>
      <c r="AP85" s="211">
        <f>SUMIFS('Key Inputs_BY Techs'!AJ:AJ,'Key Inputs_BY Techs'!$A:$A,'RSD_BY Techs'!$L85,'Key Inputs_BY Techs'!$C:$C,'RSD_BY Techs'!$B85,'Key Inputs_BY Techs'!$E:$E,'RSD_BY Techs'!$D85)</f>
        <v>0.7248</v>
      </c>
    </row>
    <row r="86" spans="1:42" x14ac:dyDescent="0.25">
      <c r="A86" s="254" t="s">
        <v>119</v>
      </c>
      <c r="B86" s="254" t="s">
        <v>118</v>
      </c>
      <c r="C86" s="254" t="str">
        <f>Legend!$A$73&amp;", "&amp;Legend!$A$69</f>
        <v>Oil, Liquid biofuels</v>
      </c>
      <c r="D86" s="254" t="str">
        <f>Legend!$B$73&amp;", "&amp;Legend!$B$69</f>
        <v>RSDOIL, RSDBLQ</v>
      </c>
      <c r="E86" s="254" t="str">
        <f t="shared" si="25"/>
        <v>RSDOIL</v>
      </c>
      <c r="F86" s="254"/>
      <c r="G86" s="254"/>
      <c r="I86" s="211" t="str">
        <f t="shared" si="23"/>
        <v>R-CK_OIL00</v>
      </c>
      <c r="J86" s="211" t="str">
        <f t="shared" si="23"/>
        <v>RSD Cooking technology: Oil, Liquid biofuels - Existing</v>
      </c>
      <c r="K86" s="211"/>
      <c r="L86" s="211" t="s">
        <v>37</v>
      </c>
      <c r="M86" s="216" t="s">
        <v>174</v>
      </c>
      <c r="N86" s="216"/>
      <c r="O86" s="211">
        <f>SUMIFS('Key Inputs_BY Techs'!I:I,'Key Inputs_BY Techs'!$A:$A,'RSD_BY Techs'!$L86,'Key Inputs_BY Techs'!$C:$C,'RSD_BY Techs'!$B86,'Key Inputs_BY Techs'!$E:$E,'RSD_BY Techs'!$D86)</f>
        <v>0.7248</v>
      </c>
      <c r="P86" s="211">
        <f>SUMIFS('Key Inputs_BY Techs'!J:J,'Key Inputs_BY Techs'!$A:$A,'RSD_BY Techs'!$L86,'Key Inputs_BY Techs'!$C:$C,'RSD_BY Techs'!$B86,'Key Inputs_BY Techs'!$E:$E,'RSD_BY Techs'!$D86)</f>
        <v>0.7248</v>
      </c>
      <c r="Q86" s="211">
        <f>SUMIFS('Key Inputs_BY Techs'!K:K,'Key Inputs_BY Techs'!$A:$A,'RSD_BY Techs'!$L86,'Key Inputs_BY Techs'!$C:$C,'RSD_BY Techs'!$B86,'Key Inputs_BY Techs'!$E:$E,'RSD_BY Techs'!$D86)</f>
        <v>0.7248</v>
      </c>
      <c r="R86" s="211">
        <f>SUMIFS('Key Inputs_BY Techs'!L:L,'Key Inputs_BY Techs'!$A:$A,'RSD_BY Techs'!$L86,'Key Inputs_BY Techs'!$C:$C,'RSD_BY Techs'!$B86,'Key Inputs_BY Techs'!$E:$E,'RSD_BY Techs'!$D86)</f>
        <v>0.7248</v>
      </c>
      <c r="S86" s="211">
        <f>SUMIFS('Key Inputs_BY Techs'!M:M,'Key Inputs_BY Techs'!$A:$A,'RSD_BY Techs'!$L86,'Key Inputs_BY Techs'!$C:$C,'RSD_BY Techs'!$B86,'Key Inputs_BY Techs'!$E:$E,'RSD_BY Techs'!$D86)</f>
        <v>0.7248</v>
      </c>
      <c r="T86" s="211">
        <f>SUMIFS('Key Inputs_BY Techs'!N:N,'Key Inputs_BY Techs'!$A:$A,'RSD_BY Techs'!$L86,'Key Inputs_BY Techs'!$C:$C,'RSD_BY Techs'!$B86,'Key Inputs_BY Techs'!$E:$E,'RSD_BY Techs'!$D86)</f>
        <v>0.7248</v>
      </c>
      <c r="U86" s="211">
        <f>SUMIFS('Key Inputs_BY Techs'!O:O,'Key Inputs_BY Techs'!$A:$A,'RSD_BY Techs'!$L86,'Key Inputs_BY Techs'!$C:$C,'RSD_BY Techs'!$B86,'Key Inputs_BY Techs'!$E:$E,'RSD_BY Techs'!$D86)</f>
        <v>0.60399999999999998</v>
      </c>
      <c r="V86" s="211">
        <f>SUMIFS('Key Inputs_BY Techs'!P:P,'Key Inputs_BY Techs'!$A:$A,'RSD_BY Techs'!$L86,'Key Inputs_BY Techs'!$C:$C,'RSD_BY Techs'!$B86,'Key Inputs_BY Techs'!$E:$E,'RSD_BY Techs'!$D86)</f>
        <v>0.7248</v>
      </c>
      <c r="W86" s="211">
        <f>SUMIFS('Key Inputs_BY Techs'!Q:Q,'Key Inputs_BY Techs'!$A:$A,'RSD_BY Techs'!$L86,'Key Inputs_BY Techs'!$C:$C,'RSD_BY Techs'!$B86,'Key Inputs_BY Techs'!$E:$E,'RSD_BY Techs'!$D86)</f>
        <v>0.64808176205329904</v>
      </c>
      <c r="X86" s="211">
        <f>SUMIFS('Key Inputs_BY Techs'!R:R,'Key Inputs_BY Techs'!$A:$A,'RSD_BY Techs'!$L86,'Key Inputs_BY Techs'!$C:$C,'RSD_BY Techs'!$B86,'Key Inputs_BY Techs'!$E:$E,'RSD_BY Techs'!$D86)</f>
        <v>0.7248</v>
      </c>
      <c r="Y86" s="211">
        <f>SUMIFS('Key Inputs_BY Techs'!S:S,'Key Inputs_BY Techs'!$A:$A,'RSD_BY Techs'!$L86,'Key Inputs_BY Techs'!$C:$C,'RSD_BY Techs'!$B86,'Key Inputs_BY Techs'!$E:$E,'RSD_BY Techs'!$D86)</f>
        <v>0.7248</v>
      </c>
      <c r="Z86" s="211">
        <f>SUMIFS('Key Inputs_BY Techs'!T:T,'Key Inputs_BY Techs'!$A:$A,'RSD_BY Techs'!$L86,'Key Inputs_BY Techs'!$C:$C,'RSD_BY Techs'!$B86,'Key Inputs_BY Techs'!$E:$E,'RSD_BY Techs'!$D86)</f>
        <v>0.7248</v>
      </c>
      <c r="AA86" s="211">
        <f>SUMIFS('Key Inputs_BY Techs'!U:U,'Key Inputs_BY Techs'!$A:$A,'RSD_BY Techs'!$L86,'Key Inputs_BY Techs'!$C:$C,'RSD_BY Techs'!$B86,'Key Inputs_BY Techs'!$E:$E,'RSD_BY Techs'!$D86)</f>
        <v>0.7248</v>
      </c>
      <c r="AB86" s="211">
        <f>SUMIFS('Key Inputs_BY Techs'!V:V,'Key Inputs_BY Techs'!$A:$A,'RSD_BY Techs'!$L86,'Key Inputs_BY Techs'!$C:$C,'RSD_BY Techs'!$B86,'Key Inputs_BY Techs'!$E:$E,'RSD_BY Techs'!$D86)</f>
        <v>0.7248</v>
      </c>
      <c r="AC86" s="211">
        <f>SUMIFS('Key Inputs_BY Techs'!W:W,'Key Inputs_BY Techs'!$A:$A,'RSD_BY Techs'!$L86,'Key Inputs_BY Techs'!$C:$C,'RSD_BY Techs'!$B86,'Key Inputs_BY Techs'!$E:$E,'RSD_BY Techs'!$D86)</f>
        <v>0.7248</v>
      </c>
      <c r="AD86" s="211">
        <f>SUMIFS('Key Inputs_BY Techs'!X:X,'Key Inputs_BY Techs'!$A:$A,'RSD_BY Techs'!$L86,'Key Inputs_BY Techs'!$C:$C,'RSD_BY Techs'!$B86,'Key Inputs_BY Techs'!$E:$E,'RSD_BY Techs'!$D86)</f>
        <v>0.7248</v>
      </c>
      <c r="AE86" s="211">
        <f>SUMIFS('Key Inputs_BY Techs'!Y:Y,'Key Inputs_BY Techs'!$A:$A,'RSD_BY Techs'!$L86,'Key Inputs_BY Techs'!$C:$C,'RSD_BY Techs'!$B86,'Key Inputs_BY Techs'!$E:$E,'RSD_BY Techs'!$D86)</f>
        <v>0.7248</v>
      </c>
      <c r="AF86" s="211">
        <f>SUMIFS('Key Inputs_BY Techs'!Z:Z,'Key Inputs_BY Techs'!$A:$A,'RSD_BY Techs'!$L86,'Key Inputs_BY Techs'!$C:$C,'RSD_BY Techs'!$B86,'Key Inputs_BY Techs'!$E:$E,'RSD_BY Techs'!$D86)</f>
        <v>0.7248</v>
      </c>
      <c r="AG86" s="211">
        <f>SUMIFS('Key Inputs_BY Techs'!AA:AA,'Key Inputs_BY Techs'!$A:$A,'RSD_BY Techs'!$L86,'Key Inputs_BY Techs'!$C:$C,'RSD_BY Techs'!$B86,'Key Inputs_BY Techs'!$E:$E,'RSD_BY Techs'!$D86)</f>
        <v>0.7248</v>
      </c>
      <c r="AH86" s="211">
        <f>SUMIFS('Key Inputs_BY Techs'!AB:AB,'Key Inputs_BY Techs'!$A:$A,'RSD_BY Techs'!$L86,'Key Inputs_BY Techs'!$C:$C,'RSD_BY Techs'!$B86,'Key Inputs_BY Techs'!$E:$E,'RSD_BY Techs'!$D86)</f>
        <v>0.7248</v>
      </c>
      <c r="AI86" s="211">
        <f>SUMIFS('Key Inputs_BY Techs'!AC:AC,'Key Inputs_BY Techs'!$A:$A,'RSD_BY Techs'!$L86,'Key Inputs_BY Techs'!$C:$C,'RSD_BY Techs'!$B86,'Key Inputs_BY Techs'!$E:$E,'RSD_BY Techs'!$D86)</f>
        <v>0.7248</v>
      </c>
      <c r="AJ86" s="211">
        <f>SUMIFS('Key Inputs_BY Techs'!AD:AD,'Key Inputs_BY Techs'!$A:$A,'RSD_BY Techs'!$L86,'Key Inputs_BY Techs'!$C:$C,'RSD_BY Techs'!$B86,'Key Inputs_BY Techs'!$E:$E,'RSD_BY Techs'!$D86)</f>
        <v>0.7248</v>
      </c>
      <c r="AK86" s="211">
        <f>SUMIFS('Key Inputs_BY Techs'!AE:AE,'Key Inputs_BY Techs'!$A:$A,'RSD_BY Techs'!$L86,'Key Inputs_BY Techs'!$C:$C,'RSD_BY Techs'!$B86,'Key Inputs_BY Techs'!$E:$E,'RSD_BY Techs'!$D86)</f>
        <v>0.7248</v>
      </c>
      <c r="AL86" s="211">
        <f>SUMIFS('Key Inputs_BY Techs'!AF:AF,'Key Inputs_BY Techs'!$A:$A,'RSD_BY Techs'!$L86,'Key Inputs_BY Techs'!$C:$C,'RSD_BY Techs'!$B86,'Key Inputs_BY Techs'!$E:$E,'RSD_BY Techs'!$D86)</f>
        <v>0.7248</v>
      </c>
      <c r="AM86" s="211">
        <f>SUMIFS('Key Inputs_BY Techs'!AG:AG,'Key Inputs_BY Techs'!$A:$A,'RSD_BY Techs'!$L86,'Key Inputs_BY Techs'!$C:$C,'RSD_BY Techs'!$B86,'Key Inputs_BY Techs'!$E:$E,'RSD_BY Techs'!$D86)</f>
        <v>0.7248</v>
      </c>
      <c r="AN86" s="211">
        <f>SUMIFS('Key Inputs_BY Techs'!AH:AH,'Key Inputs_BY Techs'!$A:$A,'RSD_BY Techs'!$L86,'Key Inputs_BY Techs'!$C:$C,'RSD_BY Techs'!$B86,'Key Inputs_BY Techs'!$E:$E,'RSD_BY Techs'!$D86)</f>
        <v>0.7248</v>
      </c>
      <c r="AO86" s="211">
        <f>SUMIFS('Key Inputs_BY Techs'!AI:AI,'Key Inputs_BY Techs'!$A:$A,'RSD_BY Techs'!$L86,'Key Inputs_BY Techs'!$C:$C,'RSD_BY Techs'!$B86,'Key Inputs_BY Techs'!$E:$E,'RSD_BY Techs'!$D86)</f>
        <v>0.7248</v>
      </c>
      <c r="AP86" s="211">
        <f>SUMIFS('Key Inputs_BY Techs'!AJ:AJ,'Key Inputs_BY Techs'!$A:$A,'RSD_BY Techs'!$L86,'Key Inputs_BY Techs'!$C:$C,'RSD_BY Techs'!$B86,'Key Inputs_BY Techs'!$E:$E,'RSD_BY Techs'!$D86)</f>
        <v>0.7248</v>
      </c>
    </row>
    <row r="87" spans="1:42" x14ac:dyDescent="0.25">
      <c r="A87" s="281" t="s">
        <v>119</v>
      </c>
      <c r="B87" s="281" t="s">
        <v>118</v>
      </c>
      <c r="C87" s="281" t="str">
        <f>Legend!$A$74</f>
        <v>Solar</v>
      </c>
      <c r="D87" s="281" t="str">
        <f>Legend!$B$74</f>
        <v>RSDSOL</v>
      </c>
      <c r="E87" s="281" t="str">
        <f t="shared" si="25"/>
        <v>RSDSOL</v>
      </c>
      <c r="F87" s="254"/>
      <c r="G87" s="254"/>
      <c r="I87" s="215" t="str">
        <f t="shared" si="23"/>
        <v>R-CK_SOL00</v>
      </c>
      <c r="J87" s="215" t="str">
        <f t="shared" si="23"/>
        <v>RSD Cooking technology: Solar - Existing</v>
      </c>
      <c r="K87" s="215"/>
      <c r="L87" s="215" t="s">
        <v>37</v>
      </c>
      <c r="M87" s="215" t="s">
        <v>174</v>
      </c>
      <c r="N87" s="215"/>
      <c r="O87" s="215">
        <f>SUMIFS('Key Inputs_BY Techs'!I:I,'Key Inputs_BY Techs'!$A:$A,'RSD_BY Techs'!$L87,'Key Inputs_BY Techs'!$C:$C,'RSD_BY Techs'!$B87,'Key Inputs_BY Techs'!$E:$E,'RSD_BY Techs'!$D87)</f>
        <v>1</v>
      </c>
      <c r="P87" s="215">
        <f>SUMIFS('Key Inputs_BY Techs'!J:J,'Key Inputs_BY Techs'!$A:$A,'RSD_BY Techs'!$L87,'Key Inputs_BY Techs'!$C:$C,'RSD_BY Techs'!$B87,'Key Inputs_BY Techs'!$E:$E,'RSD_BY Techs'!$D87)</f>
        <v>1</v>
      </c>
      <c r="Q87" s="215">
        <f>SUMIFS('Key Inputs_BY Techs'!K:K,'Key Inputs_BY Techs'!$A:$A,'RSD_BY Techs'!$L87,'Key Inputs_BY Techs'!$C:$C,'RSD_BY Techs'!$B87,'Key Inputs_BY Techs'!$E:$E,'RSD_BY Techs'!$D87)</f>
        <v>1</v>
      </c>
      <c r="R87" s="215">
        <f>SUMIFS('Key Inputs_BY Techs'!L:L,'Key Inputs_BY Techs'!$A:$A,'RSD_BY Techs'!$L87,'Key Inputs_BY Techs'!$C:$C,'RSD_BY Techs'!$B87,'Key Inputs_BY Techs'!$E:$E,'RSD_BY Techs'!$D87)</f>
        <v>1</v>
      </c>
      <c r="S87" s="215">
        <f>SUMIFS('Key Inputs_BY Techs'!M:M,'Key Inputs_BY Techs'!$A:$A,'RSD_BY Techs'!$L87,'Key Inputs_BY Techs'!$C:$C,'RSD_BY Techs'!$B87,'Key Inputs_BY Techs'!$E:$E,'RSD_BY Techs'!$D87)</f>
        <v>1</v>
      </c>
      <c r="T87" s="215">
        <f>SUMIFS('Key Inputs_BY Techs'!N:N,'Key Inputs_BY Techs'!$A:$A,'RSD_BY Techs'!$L87,'Key Inputs_BY Techs'!$C:$C,'RSD_BY Techs'!$B87,'Key Inputs_BY Techs'!$E:$E,'RSD_BY Techs'!$D87)</f>
        <v>1</v>
      </c>
      <c r="U87" s="215">
        <f>SUMIFS('Key Inputs_BY Techs'!O:O,'Key Inputs_BY Techs'!$A:$A,'RSD_BY Techs'!$L87,'Key Inputs_BY Techs'!$C:$C,'RSD_BY Techs'!$B87,'Key Inputs_BY Techs'!$E:$E,'RSD_BY Techs'!$D87)</f>
        <v>1</v>
      </c>
      <c r="V87" s="215">
        <f>SUMIFS('Key Inputs_BY Techs'!P:P,'Key Inputs_BY Techs'!$A:$A,'RSD_BY Techs'!$L87,'Key Inputs_BY Techs'!$C:$C,'RSD_BY Techs'!$B87,'Key Inputs_BY Techs'!$E:$E,'RSD_BY Techs'!$D87)</f>
        <v>1</v>
      </c>
      <c r="W87" s="215">
        <f>SUMIFS('Key Inputs_BY Techs'!Q:Q,'Key Inputs_BY Techs'!$A:$A,'RSD_BY Techs'!$L87,'Key Inputs_BY Techs'!$C:$C,'RSD_BY Techs'!$B87,'Key Inputs_BY Techs'!$E:$E,'RSD_BY Techs'!$D87)</f>
        <v>1</v>
      </c>
      <c r="X87" s="215">
        <f>SUMIFS('Key Inputs_BY Techs'!R:R,'Key Inputs_BY Techs'!$A:$A,'RSD_BY Techs'!$L87,'Key Inputs_BY Techs'!$C:$C,'RSD_BY Techs'!$B87,'Key Inputs_BY Techs'!$E:$E,'RSD_BY Techs'!$D87)</f>
        <v>1</v>
      </c>
      <c r="Y87" s="215">
        <f>SUMIFS('Key Inputs_BY Techs'!S:S,'Key Inputs_BY Techs'!$A:$A,'RSD_BY Techs'!$L87,'Key Inputs_BY Techs'!$C:$C,'RSD_BY Techs'!$B87,'Key Inputs_BY Techs'!$E:$E,'RSD_BY Techs'!$D87)</f>
        <v>1</v>
      </c>
      <c r="Z87" s="215">
        <f>SUMIFS('Key Inputs_BY Techs'!T:T,'Key Inputs_BY Techs'!$A:$A,'RSD_BY Techs'!$L87,'Key Inputs_BY Techs'!$C:$C,'RSD_BY Techs'!$B87,'Key Inputs_BY Techs'!$E:$E,'RSD_BY Techs'!$D87)</f>
        <v>1</v>
      </c>
      <c r="AA87" s="215">
        <f>SUMIFS('Key Inputs_BY Techs'!U:U,'Key Inputs_BY Techs'!$A:$A,'RSD_BY Techs'!$L87,'Key Inputs_BY Techs'!$C:$C,'RSD_BY Techs'!$B87,'Key Inputs_BY Techs'!$E:$E,'RSD_BY Techs'!$D87)</f>
        <v>1</v>
      </c>
      <c r="AB87" s="215">
        <f>SUMIFS('Key Inputs_BY Techs'!V:V,'Key Inputs_BY Techs'!$A:$A,'RSD_BY Techs'!$L87,'Key Inputs_BY Techs'!$C:$C,'RSD_BY Techs'!$B87,'Key Inputs_BY Techs'!$E:$E,'RSD_BY Techs'!$D87)</f>
        <v>1</v>
      </c>
      <c r="AC87" s="215">
        <f>SUMIFS('Key Inputs_BY Techs'!W:W,'Key Inputs_BY Techs'!$A:$A,'RSD_BY Techs'!$L87,'Key Inputs_BY Techs'!$C:$C,'RSD_BY Techs'!$B87,'Key Inputs_BY Techs'!$E:$E,'RSD_BY Techs'!$D87)</f>
        <v>1</v>
      </c>
      <c r="AD87" s="215">
        <f>SUMIFS('Key Inputs_BY Techs'!X:X,'Key Inputs_BY Techs'!$A:$A,'RSD_BY Techs'!$L87,'Key Inputs_BY Techs'!$C:$C,'RSD_BY Techs'!$B87,'Key Inputs_BY Techs'!$E:$E,'RSD_BY Techs'!$D87)</f>
        <v>1</v>
      </c>
      <c r="AE87" s="215">
        <f>SUMIFS('Key Inputs_BY Techs'!Y:Y,'Key Inputs_BY Techs'!$A:$A,'RSD_BY Techs'!$L87,'Key Inputs_BY Techs'!$C:$C,'RSD_BY Techs'!$B87,'Key Inputs_BY Techs'!$E:$E,'RSD_BY Techs'!$D87)</f>
        <v>1</v>
      </c>
      <c r="AF87" s="215">
        <f>SUMIFS('Key Inputs_BY Techs'!Z:Z,'Key Inputs_BY Techs'!$A:$A,'RSD_BY Techs'!$L87,'Key Inputs_BY Techs'!$C:$C,'RSD_BY Techs'!$B87,'Key Inputs_BY Techs'!$E:$E,'RSD_BY Techs'!$D87)</f>
        <v>1</v>
      </c>
      <c r="AG87" s="215">
        <f>SUMIFS('Key Inputs_BY Techs'!AA:AA,'Key Inputs_BY Techs'!$A:$A,'RSD_BY Techs'!$L87,'Key Inputs_BY Techs'!$C:$C,'RSD_BY Techs'!$B87,'Key Inputs_BY Techs'!$E:$E,'RSD_BY Techs'!$D87)</f>
        <v>1</v>
      </c>
      <c r="AH87" s="215">
        <f>SUMIFS('Key Inputs_BY Techs'!AB:AB,'Key Inputs_BY Techs'!$A:$A,'RSD_BY Techs'!$L87,'Key Inputs_BY Techs'!$C:$C,'RSD_BY Techs'!$B87,'Key Inputs_BY Techs'!$E:$E,'RSD_BY Techs'!$D87)</f>
        <v>1</v>
      </c>
      <c r="AI87" s="215">
        <f>SUMIFS('Key Inputs_BY Techs'!AC:AC,'Key Inputs_BY Techs'!$A:$A,'RSD_BY Techs'!$L87,'Key Inputs_BY Techs'!$C:$C,'RSD_BY Techs'!$B87,'Key Inputs_BY Techs'!$E:$E,'RSD_BY Techs'!$D87)</f>
        <v>1</v>
      </c>
      <c r="AJ87" s="215">
        <f>SUMIFS('Key Inputs_BY Techs'!AD:AD,'Key Inputs_BY Techs'!$A:$A,'RSD_BY Techs'!$L87,'Key Inputs_BY Techs'!$C:$C,'RSD_BY Techs'!$B87,'Key Inputs_BY Techs'!$E:$E,'RSD_BY Techs'!$D87)</f>
        <v>1</v>
      </c>
      <c r="AK87" s="215">
        <f>SUMIFS('Key Inputs_BY Techs'!AE:AE,'Key Inputs_BY Techs'!$A:$A,'RSD_BY Techs'!$L87,'Key Inputs_BY Techs'!$C:$C,'RSD_BY Techs'!$B87,'Key Inputs_BY Techs'!$E:$E,'RSD_BY Techs'!$D87)</f>
        <v>1</v>
      </c>
      <c r="AL87" s="215">
        <f>SUMIFS('Key Inputs_BY Techs'!AF:AF,'Key Inputs_BY Techs'!$A:$A,'RSD_BY Techs'!$L87,'Key Inputs_BY Techs'!$C:$C,'RSD_BY Techs'!$B87,'Key Inputs_BY Techs'!$E:$E,'RSD_BY Techs'!$D87)</f>
        <v>1</v>
      </c>
      <c r="AM87" s="215">
        <f>SUMIFS('Key Inputs_BY Techs'!AG:AG,'Key Inputs_BY Techs'!$A:$A,'RSD_BY Techs'!$L87,'Key Inputs_BY Techs'!$C:$C,'RSD_BY Techs'!$B87,'Key Inputs_BY Techs'!$E:$E,'RSD_BY Techs'!$D87)</f>
        <v>1</v>
      </c>
      <c r="AN87" s="215">
        <f>SUMIFS('Key Inputs_BY Techs'!AH:AH,'Key Inputs_BY Techs'!$A:$A,'RSD_BY Techs'!$L87,'Key Inputs_BY Techs'!$C:$C,'RSD_BY Techs'!$B87,'Key Inputs_BY Techs'!$E:$E,'RSD_BY Techs'!$D87)</f>
        <v>1</v>
      </c>
      <c r="AO87" s="215">
        <f>SUMIFS('Key Inputs_BY Techs'!AI:AI,'Key Inputs_BY Techs'!$A:$A,'RSD_BY Techs'!$L87,'Key Inputs_BY Techs'!$C:$C,'RSD_BY Techs'!$B87,'Key Inputs_BY Techs'!$E:$E,'RSD_BY Techs'!$D87)</f>
        <v>1</v>
      </c>
      <c r="AP87" s="215">
        <f>SUMIFS('Key Inputs_BY Techs'!AJ:AJ,'Key Inputs_BY Techs'!$A:$A,'RSD_BY Techs'!$L87,'Key Inputs_BY Techs'!$C:$C,'RSD_BY Techs'!$B87,'Key Inputs_BY Techs'!$E:$E,'RSD_BY Techs'!$D87)</f>
        <v>1</v>
      </c>
    </row>
    <row r="88" spans="1:42" x14ac:dyDescent="0.25">
      <c r="A88" s="282" t="s">
        <v>94</v>
      </c>
      <c r="B88" s="282" t="s">
        <v>125</v>
      </c>
      <c r="C88" s="282" t="str">
        <f>Legend!A$66</f>
        <v>Electricity</v>
      </c>
      <c r="D88" s="282" t="str">
        <f>Legend!B$66</f>
        <v>RSDELC</v>
      </c>
      <c r="E88" s="282" t="str">
        <f t="shared" si="25"/>
        <v>RSDELC</v>
      </c>
      <c r="F88" s="254"/>
      <c r="G88" s="254"/>
      <c r="I88" s="211" t="str">
        <f t="shared" si="23"/>
        <v>R-LIG_ELC00</v>
      </c>
      <c r="J88" s="211" t="str">
        <f t="shared" si="23"/>
        <v>RSD Lighting technology: Electricity - Existing</v>
      </c>
      <c r="K88" s="211"/>
      <c r="L88" s="211" t="s">
        <v>37</v>
      </c>
      <c r="M88" s="211" t="s">
        <v>174</v>
      </c>
      <c r="N88" s="211"/>
      <c r="O88" s="215">
        <f>SUMIFS('Key Inputs_BY Techs'!I:I,'Key Inputs_BY Techs'!$A:$A,'RSD_BY Techs'!$L88,'Key Inputs_BY Techs'!$C:$C,'RSD_BY Techs'!$B88,'Key Inputs_BY Techs'!$E:$E,'RSD_BY Techs'!$D88)</f>
        <v>25</v>
      </c>
      <c r="P88" s="215">
        <f>SUMIFS('Key Inputs_BY Techs'!J:J,'Key Inputs_BY Techs'!$A:$A,'RSD_BY Techs'!$L88,'Key Inputs_BY Techs'!$C:$C,'RSD_BY Techs'!$B88,'Key Inputs_BY Techs'!$E:$E,'RSD_BY Techs'!$D88)</f>
        <v>25</v>
      </c>
      <c r="Q88" s="215">
        <f>SUMIFS('Key Inputs_BY Techs'!K:K,'Key Inputs_BY Techs'!$A:$A,'RSD_BY Techs'!$L88,'Key Inputs_BY Techs'!$C:$C,'RSD_BY Techs'!$B88,'Key Inputs_BY Techs'!$E:$E,'RSD_BY Techs'!$D88)</f>
        <v>25</v>
      </c>
      <c r="R88" s="215">
        <f>SUMIFS('Key Inputs_BY Techs'!L:L,'Key Inputs_BY Techs'!$A:$A,'RSD_BY Techs'!$L88,'Key Inputs_BY Techs'!$C:$C,'RSD_BY Techs'!$B88,'Key Inputs_BY Techs'!$E:$E,'RSD_BY Techs'!$D88)</f>
        <v>25</v>
      </c>
      <c r="S88" s="215">
        <f>SUMIFS('Key Inputs_BY Techs'!M:M,'Key Inputs_BY Techs'!$A:$A,'RSD_BY Techs'!$L88,'Key Inputs_BY Techs'!$C:$C,'RSD_BY Techs'!$B88,'Key Inputs_BY Techs'!$E:$E,'RSD_BY Techs'!$D88)</f>
        <v>25</v>
      </c>
      <c r="T88" s="215">
        <f>SUMIFS('Key Inputs_BY Techs'!N:N,'Key Inputs_BY Techs'!$A:$A,'RSD_BY Techs'!$L88,'Key Inputs_BY Techs'!$C:$C,'RSD_BY Techs'!$B88,'Key Inputs_BY Techs'!$E:$E,'RSD_BY Techs'!$D88)</f>
        <v>25</v>
      </c>
      <c r="U88" s="215">
        <f>SUMIFS('Key Inputs_BY Techs'!O:O,'Key Inputs_BY Techs'!$A:$A,'RSD_BY Techs'!$L88,'Key Inputs_BY Techs'!$C:$C,'RSD_BY Techs'!$B88,'Key Inputs_BY Techs'!$E:$E,'RSD_BY Techs'!$D88)</f>
        <v>25</v>
      </c>
      <c r="V88" s="215">
        <f>SUMIFS('Key Inputs_BY Techs'!P:P,'Key Inputs_BY Techs'!$A:$A,'RSD_BY Techs'!$L88,'Key Inputs_BY Techs'!$C:$C,'RSD_BY Techs'!$B88,'Key Inputs_BY Techs'!$E:$E,'RSD_BY Techs'!$D88)</f>
        <v>25</v>
      </c>
      <c r="W88" s="215">
        <f>SUMIFS('Key Inputs_BY Techs'!Q:Q,'Key Inputs_BY Techs'!$A:$A,'RSD_BY Techs'!$L88,'Key Inputs_BY Techs'!$C:$C,'RSD_BY Techs'!$B88,'Key Inputs_BY Techs'!$E:$E,'RSD_BY Techs'!$D88)</f>
        <v>25</v>
      </c>
      <c r="X88" s="215">
        <f>SUMIFS('Key Inputs_BY Techs'!R:R,'Key Inputs_BY Techs'!$A:$A,'RSD_BY Techs'!$L88,'Key Inputs_BY Techs'!$C:$C,'RSD_BY Techs'!$B88,'Key Inputs_BY Techs'!$E:$E,'RSD_BY Techs'!$D88)</f>
        <v>25</v>
      </c>
      <c r="Y88" s="215">
        <f>SUMIFS('Key Inputs_BY Techs'!S:S,'Key Inputs_BY Techs'!$A:$A,'RSD_BY Techs'!$L88,'Key Inputs_BY Techs'!$C:$C,'RSD_BY Techs'!$B88,'Key Inputs_BY Techs'!$E:$E,'RSD_BY Techs'!$D88)</f>
        <v>25</v>
      </c>
      <c r="Z88" s="215">
        <f>SUMIFS('Key Inputs_BY Techs'!T:T,'Key Inputs_BY Techs'!$A:$A,'RSD_BY Techs'!$L88,'Key Inputs_BY Techs'!$C:$C,'RSD_BY Techs'!$B88,'Key Inputs_BY Techs'!$E:$E,'RSD_BY Techs'!$D88)</f>
        <v>25</v>
      </c>
      <c r="AA88" s="215">
        <f>SUMIFS('Key Inputs_BY Techs'!U:U,'Key Inputs_BY Techs'!$A:$A,'RSD_BY Techs'!$L88,'Key Inputs_BY Techs'!$C:$C,'RSD_BY Techs'!$B88,'Key Inputs_BY Techs'!$E:$E,'RSD_BY Techs'!$D88)</f>
        <v>25</v>
      </c>
      <c r="AB88" s="215">
        <f>SUMIFS('Key Inputs_BY Techs'!V:V,'Key Inputs_BY Techs'!$A:$A,'RSD_BY Techs'!$L88,'Key Inputs_BY Techs'!$C:$C,'RSD_BY Techs'!$B88,'Key Inputs_BY Techs'!$E:$E,'RSD_BY Techs'!$D88)</f>
        <v>25</v>
      </c>
      <c r="AC88" s="215">
        <f>SUMIFS('Key Inputs_BY Techs'!W:W,'Key Inputs_BY Techs'!$A:$A,'RSD_BY Techs'!$L88,'Key Inputs_BY Techs'!$C:$C,'RSD_BY Techs'!$B88,'Key Inputs_BY Techs'!$E:$E,'RSD_BY Techs'!$D88)</f>
        <v>25</v>
      </c>
      <c r="AD88" s="215">
        <f>SUMIFS('Key Inputs_BY Techs'!X:X,'Key Inputs_BY Techs'!$A:$A,'RSD_BY Techs'!$L88,'Key Inputs_BY Techs'!$C:$C,'RSD_BY Techs'!$B88,'Key Inputs_BY Techs'!$E:$E,'RSD_BY Techs'!$D88)</f>
        <v>25</v>
      </c>
      <c r="AE88" s="215">
        <f>SUMIFS('Key Inputs_BY Techs'!Y:Y,'Key Inputs_BY Techs'!$A:$A,'RSD_BY Techs'!$L88,'Key Inputs_BY Techs'!$C:$C,'RSD_BY Techs'!$B88,'Key Inputs_BY Techs'!$E:$E,'RSD_BY Techs'!$D88)</f>
        <v>25</v>
      </c>
      <c r="AF88" s="215">
        <f>SUMIFS('Key Inputs_BY Techs'!Z:Z,'Key Inputs_BY Techs'!$A:$A,'RSD_BY Techs'!$L88,'Key Inputs_BY Techs'!$C:$C,'RSD_BY Techs'!$B88,'Key Inputs_BY Techs'!$E:$E,'RSD_BY Techs'!$D88)</f>
        <v>25</v>
      </c>
      <c r="AG88" s="215">
        <f>SUMIFS('Key Inputs_BY Techs'!AA:AA,'Key Inputs_BY Techs'!$A:$A,'RSD_BY Techs'!$L88,'Key Inputs_BY Techs'!$C:$C,'RSD_BY Techs'!$B88,'Key Inputs_BY Techs'!$E:$E,'RSD_BY Techs'!$D88)</f>
        <v>25</v>
      </c>
      <c r="AH88" s="215">
        <f>SUMIFS('Key Inputs_BY Techs'!AB:AB,'Key Inputs_BY Techs'!$A:$A,'RSD_BY Techs'!$L88,'Key Inputs_BY Techs'!$C:$C,'RSD_BY Techs'!$B88,'Key Inputs_BY Techs'!$E:$E,'RSD_BY Techs'!$D88)</f>
        <v>25</v>
      </c>
      <c r="AI88" s="215">
        <f>SUMIFS('Key Inputs_BY Techs'!AC:AC,'Key Inputs_BY Techs'!$A:$A,'RSD_BY Techs'!$L88,'Key Inputs_BY Techs'!$C:$C,'RSD_BY Techs'!$B88,'Key Inputs_BY Techs'!$E:$E,'RSD_BY Techs'!$D88)</f>
        <v>25</v>
      </c>
      <c r="AJ88" s="215">
        <f>SUMIFS('Key Inputs_BY Techs'!AD:AD,'Key Inputs_BY Techs'!$A:$A,'RSD_BY Techs'!$L88,'Key Inputs_BY Techs'!$C:$C,'RSD_BY Techs'!$B88,'Key Inputs_BY Techs'!$E:$E,'RSD_BY Techs'!$D88)</f>
        <v>25</v>
      </c>
      <c r="AK88" s="215">
        <f>SUMIFS('Key Inputs_BY Techs'!AE:AE,'Key Inputs_BY Techs'!$A:$A,'RSD_BY Techs'!$L88,'Key Inputs_BY Techs'!$C:$C,'RSD_BY Techs'!$B88,'Key Inputs_BY Techs'!$E:$E,'RSD_BY Techs'!$D88)</f>
        <v>25</v>
      </c>
      <c r="AL88" s="215">
        <f>SUMIFS('Key Inputs_BY Techs'!AF:AF,'Key Inputs_BY Techs'!$A:$A,'RSD_BY Techs'!$L88,'Key Inputs_BY Techs'!$C:$C,'RSD_BY Techs'!$B88,'Key Inputs_BY Techs'!$E:$E,'RSD_BY Techs'!$D88)</f>
        <v>25</v>
      </c>
      <c r="AM88" s="215">
        <f>SUMIFS('Key Inputs_BY Techs'!AG:AG,'Key Inputs_BY Techs'!$A:$A,'RSD_BY Techs'!$L88,'Key Inputs_BY Techs'!$C:$C,'RSD_BY Techs'!$B88,'Key Inputs_BY Techs'!$E:$E,'RSD_BY Techs'!$D88)</f>
        <v>25</v>
      </c>
      <c r="AN88" s="215">
        <f>SUMIFS('Key Inputs_BY Techs'!AH:AH,'Key Inputs_BY Techs'!$A:$A,'RSD_BY Techs'!$L88,'Key Inputs_BY Techs'!$C:$C,'RSD_BY Techs'!$B88,'Key Inputs_BY Techs'!$E:$E,'RSD_BY Techs'!$D88)</f>
        <v>25</v>
      </c>
      <c r="AO88" s="215">
        <f>SUMIFS('Key Inputs_BY Techs'!AI:AI,'Key Inputs_BY Techs'!$A:$A,'RSD_BY Techs'!$L88,'Key Inputs_BY Techs'!$C:$C,'RSD_BY Techs'!$B88,'Key Inputs_BY Techs'!$E:$E,'RSD_BY Techs'!$D88)</f>
        <v>25</v>
      </c>
      <c r="AP88" s="215">
        <f>SUMIFS('Key Inputs_BY Techs'!AJ:AJ,'Key Inputs_BY Techs'!$A:$A,'RSD_BY Techs'!$L88,'Key Inputs_BY Techs'!$C:$C,'RSD_BY Techs'!$B88,'Key Inputs_BY Techs'!$E:$E,'RSD_BY Techs'!$D88)</f>
        <v>25</v>
      </c>
    </row>
    <row r="89" spans="1:42" x14ac:dyDescent="0.25">
      <c r="A89" s="283" t="s">
        <v>148</v>
      </c>
      <c r="B89" s="283" t="s">
        <v>173</v>
      </c>
      <c r="C89" s="283" t="str">
        <f>Legend!A$66</f>
        <v>Electricity</v>
      </c>
      <c r="D89" s="283" t="str">
        <f>Legend!B$66</f>
        <v>RSDELC</v>
      </c>
      <c r="E89" s="283" t="str">
        <f>LEFT(D89,6)</f>
        <v>RSDELC</v>
      </c>
      <c r="F89" s="284"/>
      <c r="G89" s="284"/>
      <c r="I89" s="86" t="str">
        <f t="shared" si="23"/>
        <v>R-EAP_ELC00</v>
      </c>
      <c r="J89" s="86" t="str">
        <f t="shared" si="23"/>
        <v>RSD Electric Appliances technology: Electricity - Existing</v>
      </c>
      <c r="K89" s="86"/>
      <c r="L89" s="86" t="s">
        <v>37</v>
      </c>
      <c r="M89" s="86" t="s">
        <v>174</v>
      </c>
      <c r="N89" s="86"/>
      <c r="O89" s="215">
        <f>SUMIFS('Key Inputs_BY Techs'!I:I,'Key Inputs_BY Techs'!$A:$A,'RSD_BY Techs'!$L89,'Key Inputs_BY Techs'!$C:$C,'RSD_BY Techs'!$B89,'Key Inputs_BY Techs'!$E:$E,'RSD_BY Techs'!$D89)</f>
        <v>1</v>
      </c>
      <c r="P89" s="215">
        <f>SUMIFS('Key Inputs_BY Techs'!J:J,'Key Inputs_BY Techs'!$A:$A,'RSD_BY Techs'!$L89,'Key Inputs_BY Techs'!$C:$C,'RSD_BY Techs'!$B89,'Key Inputs_BY Techs'!$E:$E,'RSD_BY Techs'!$D89)</f>
        <v>1</v>
      </c>
      <c r="Q89" s="215">
        <f>SUMIFS('Key Inputs_BY Techs'!K:K,'Key Inputs_BY Techs'!$A:$A,'RSD_BY Techs'!$L89,'Key Inputs_BY Techs'!$C:$C,'RSD_BY Techs'!$B89,'Key Inputs_BY Techs'!$E:$E,'RSD_BY Techs'!$D89)</f>
        <v>1</v>
      </c>
      <c r="R89" s="215">
        <f>SUMIFS('Key Inputs_BY Techs'!L:L,'Key Inputs_BY Techs'!$A:$A,'RSD_BY Techs'!$L89,'Key Inputs_BY Techs'!$C:$C,'RSD_BY Techs'!$B89,'Key Inputs_BY Techs'!$E:$E,'RSD_BY Techs'!$D89)</f>
        <v>1</v>
      </c>
      <c r="S89" s="215">
        <f>SUMIFS('Key Inputs_BY Techs'!M:M,'Key Inputs_BY Techs'!$A:$A,'RSD_BY Techs'!$L89,'Key Inputs_BY Techs'!$C:$C,'RSD_BY Techs'!$B89,'Key Inputs_BY Techs'!$E:$E,'RSD_BY Techs'!$D89)</f>
        <v>1</v>
      </c>
      <c r="T89" s="215">
        <f>SUMIFS('Key Inputs_BY Techs'!N:N,'Key Inputs_BY Techs'!$A:$A,'RSD_BY Techs'!$L89,'Key Inputs_BY Techs'!$C:$C,'RSD_BY Techs'!$B89,'Key Inputs_BY Techs'!$E:$E,'RSD_BY Techs'!$D89)</f>
        <v>1</v>
      </c>
      <c r="U89" s="215">
        <f>SUMIFS('Key Inputs_BY Techs'!O:O,'Key Inputs_BY Techs'!$A:$A,'RSD_BY Techs'!$L89,'Key Inputs_BY Techs'!$C:$C,'RSD_BY Techs'!$B89,'Key Inputs_BY Techs'!$E:$E,'RSD_BY Techs'!$D89)</f>
        <v>1</v>
      </c>
      <c r="V89" s="215">
        <f>SUMIFS('Key Inputs_BY Techs'!P:P,'Key Inputs_BY Techs'!$A:$A,'RSD_BY Techs'!$L89,'Key Inputs_BY Techs'!$C:$C,'RSD_BY Techs'!$B89,'Key Inputs_BY Techs'!$E:$E,'RSD_BY Techs'!$D89)</f>
        <v>1</v>
      </c>
      <c r="W89" s="215">
        <f>SUMIFS('Key Inputs_BY Techs'!Q:Q,'Key Inputs_BY Techs'!$A:$A,'RSD_BY Techs'!$L89,'Key Inputs_BY Techs'!$C:$C,'RSD_BY Techs'!$B89,'Key Inputs_BY Techs'!$E:$E,'RSD_BY Techs'!$D89)</f>
        <v>1</v>
      </c>
      <c r="X89" s="215">
        <f>SUMIFS('Key Inputs_BY Techs'!R:R,'Key Inputs_BY Techs'!$A:$A,'RSD_BY Techs'!$L89,'Key Inputs_BY Techs'!$C:$C,'RSD_BY Techs'!$B89,'Key Inputs_BY Techs'!$E:$E,'RSD_BY Techs'!$D89)</f>
        <v>1</v>
      </c>
      <c r="Y89" s="215">
        <f>SUMIFS('Key Inputs_BY Techs'!S:S,'Key Inputs_BY Techs'!$A:$A,'RSD_BY Techs'!$L89,'Key Inputs_BY Techs'!$C:$C,'RSD_BY Techs'!$B89,'Key Inputs_BY Techs'!$E:$E,'RSD_BY Techs'!$D89)</f>
        <v>1</v>
      </c>
      <c r="Z89" s="215">
        <f>SUMIFS('Key Inputs_BY Techs'!T:T,'Key Inputs_BY Techs'!$A:$A,'RSD_BY Techs'!$L89,'Key Inputs_BY Techs'!$C:$C,'RSD_BY Techs'!$B89,'Key Inputs_BY Techs'!$E:$E,'RSD_BY Techs'!$D89)</f>
        <v>1</v>
      </c>
      <c r="AA89" s="215">
        <f>SUMIFS('Key Inputs_BY Techs'!U:U,'Key Inputs_BY Techs'!$A:$A,'RSD_BY Techs'!$L89,'Key Inputs_BY Techs'!$C:$C,'RSD_BY Techs'!$B89,'Key Inputs_BY Techs'!$E:$E,'RSD_BY Techs'!$D89)</f>
        <v>1</v>
      </c>
      <c r="AB89" s="215">
        <f>SUMIFS('Key Inputs_BY Techs'!V:V,'Key Inputs_BY Techs'!$A:$A,'RSD_BY Techs'!$L89,'Key Inputs_BY Techs'!$C:$C,'RSD_BY Techs'!$B89,'Key Inputs_BY Techs'!$E:$E,'RSD_BY Techs'!$D89)</f>
        <v>1</v>
      </c>
      <c r="AC89" s="215">
        <f>SUMIFS('Key Inputs_BY Techs'!W:W,'Key Inputs_BY Techs'!$A:$A,'RSD_BY Techs'!$L89,'Key Inputs_BY Techs'!$C:$C,'RSD_BY Techs'!$B89,'Key Inputs_BY Techs'!$E:$E,'RSD_BY Techs'!$D89)</f>
        <v>1</v>
      </c>
      <c r="AD89" s="215">
        <f>SUMIFS('Key Inputs_BY Techs'!X:X,'Key Inputs_BY Techs'!$A:$A,'RSD_BY Techs'!$L89,'Key Inputs_BY Techs'!$C:$C,'RSD_BY Techs'!$B89,'Key Inputs_BY Techs'!$E:$E,'RSD_BY Techs'!$D89)</f>
        <v>1</v>
      </c>
      <c r="AE89" s="215">
        <f>SUMIFS('Key Inputs_BY Techs'!Y:Y,'Key Inputs_BY Techs'!$A:$A,'RSD_BY Techs'!$L89,'Key Inputs_BY Techs'!$C:$C,'RSD_BY Techs'!$B89,'Key Inputs_BY Techs'!$E:$E,'RSD_BY Techs'!$D89)</f>
        <v>1</v>
      </c>
      <c r="AF89" s="215">
        <f>SUMIFS('Key Inputs_BY Techs'!Z:Z,'Key Inputs_BY Techs'!$A:$A,'RSD_BY Techs'!$L89,'Key Inputs_BY Techs'!$C:$C,'RSD_BY Techs'!$B89,'Key Inputs_BY Techs'!$E:$E,'RSD_BY Techs'!$D89)</f>
        <v>1</v>
      </c>
      <c r="AG89" s="215">
        <f>SUMIFS('Key Inputs_BY Techs'!AA:AA,'Key Inputs_BY Techs'!$A:$A,'RSD_BY Techs'!$L89,'Key Inputs_BY Techs'!$C:$C,'RSD_BY Techs'!$B89,'Key Inputs_BY Techs'!$E:$E,'RSD_BY Techs'!$D89)</f>
        <v>1</v>
      </c>
      <c r="AH89" s="215">
        <f>SUMIFS('Key Inputs_BY Techs'!AB:AB,'Key Inputs_BY Techs'!$A:$A,'RSD_BY Techs'!$L89,'Key Inputs_BY Techs'!$C:$C,'RSD_BY Techs'!$B89,'Key Inputs_BY Techs'!$E:$E,'RSD_BY Techs'!$D89)</f>
        <v>1</v>
      </c>
      <c r="AI89" s="215">
        <f>SUMIFS('Key Inputs_BY Techs'!AC:AC,'Key Inputs_BY Techs'!$A:$A,'RSD_BY Techs'!$L89,'Key Inputs_BY Techs'!$C:$C,'RSD_BY Techs'!$B89,'Key Inputs_BY Techs'!$E:$E,'RSD_BY Techs'!$D89)</f>
        <v>1</v>
      </c>
      <c r="AJ89" s="215">
        <f>SUMIFS('Key Inputs_BY Techs'!AD:AD,'Key Inputs_BY Techs'!$A:$A,'RSD_BY Techs'!$L89,'Key Inputs_BY Techs'!$C:$C,'RSD_BY Techs'!$B89,'Key Inputs_BY Techs'!$E:$E,'RSD_BY Techs'!$D89)</f>
        <v>1</v>
      </c>
      <c r="AK89" s="215">
        <f>SUMIFS('Key Inputs_BY Techs'!AE:AE,'Key Inputs_BY Techs'!$A:$A,'RSD_BY Techs'!$L89,'Key Inputs_BY Techs'!$C:$C,'RSD_BY Techs'!$B89,'Key Inputs_BY Techs'!$E:$E,'RSD_BY Techs'!$D89)</f>
        <v>1</v>
      </c>
      <c r="AL89" s="215">
        <f>SUMIFS('Key Inputs_BY Techs'!AF:AF,'Key Inputs_BY Techs'!$A:$A,'RSD_BY Techs'!$L89,'Key Inputs_BY Techs'!$C:$C,'RSD_BY Techs'!$B89,'Key Inputs_BY Techs'!$E:$E,'RSD_BY Techs'!$D89)</f>
        <v>1</v>
      </c>
      <c r="AM89" s="215">
        <f>SUMIFS('Key Inputs_BY Techs'!AG:AG,'Key Inputs_BY Techs'!$A:$A,'RSD_BY Techs'!$L89,'Key Inputs_BY Techs'!$C:$C,'RSD_BY Techs'!$B89,'Key Inputs_BY Techs'!$E:$E,'RSD_BY Techs'!$D89)</f>
        <v>1</v>
      </c>
      <c r="AN89" s="215">
        <f>SUMIFS('Key Inputs_BY Techs'!AH:AH,'Key Inputs_BY Techs'!$A:$A,'RSD_BY Techs'!$L89,'Key Inputs_BY Techs'!$C:$C,'RSD_BY Techs'!$B89,'Key Inputs_BY Techs'!$E:$E,'RSD_BY Techs'!$D89)</f>
        <v>1</v>
      </c>
      <c r="AO89" s="215">
        <f>SUMIFS('Key Inputs_BY Techs'!AI:AI,'Key Inputs_BY Techs'!$A:$A,'RSD_BY Techs'!$L89,'Key Inputs_BY Techs'!$C:$C,'RSD_BY Techs'!$B89,'Key Inputs_BY Techs'!$E:$E,'RSD_BY Techs'!$D89)</f>
        <v>1</v>
      </c>
      <c r="AP89" s="215">
        <f>SUMIFS('Key Inputs_BY Techs'!AJ:AJ,'Key Inputs_BY Techs'!$A:$A,'RSD_BY Techs'!$L89,'Key Inputs_BY Techs'!$C:$C,'RSD_BY Techs'!$B89,'Key Inputs_BY Techs'!$E:$E,'RSD_BY Techs'!$D89)</f>
        <v>1</v>
      </c>
    </row>
    <row r="90" spans="1:42" x14ac:dyDescent="0.25">
      <c r="A90" s="282" t="s">
        <v>169</v>
      </c>
      <c r="B90" s="282" t="s">
        <v>120</v>
      </c>
      <c r="C90" s="282"/>
      <c r="D90" s="282"/>
      <c r="E90" s="282" t="str">
        <f t="shared" ref="E90" si="26">LEFT(D90,6)</f>
        <v/>
      </c>
      <c r="F90" s="254"/>
      <c r="G90" s="254"/>
      <c r="I90" s="86" t="str">
        <f t="shared" si="23"/>
        <v>R-OTH_00</v>
      </c>
      <c r="J90" s="86" t="str">
        <f t="shared" si="23"/>
        <v>RSD Other uses - Existing</v>
      </c>
      <c r="K90" s="86"/>
      <c r="L90" s="86" t="s">
        <v>37</v>
      </c>
      <c r="M90" s="86" t="s">
        <v>174</v>
      </c>
      <c r="N90" s="86"/>
      <c r="O90" s="215">
        <f>SUMIFS('Key Inputs_BY Techs'!I:I,'Key Inputs_BY Techs'!$A:$A,'RSD_BY Techs'!$L90,'Key Inputs_BY Techs'!$C:$C,'RSD_BY Techs'!$B90)</f>
        <v>1</v>
      </c>
      <c r="P90" s="215">
        <f>SUMIFS('Key Inputs_BY Techs'!J:J,'Key Inputs_BY Techs'!$A:$A,'RSD_BY Techs'!$L90,'Key Inputs_BY Techs'!$C:$C,'RSD_BY Techs'!$B90)</f>
        <v>1</v>
      </c>
      <c r="Q90" s="215">
        <f>SUMIFS('Key Inputs_BY Techs'!K:K,'Key Inputs_BY Techs'!$A:$A,'RSD_BY Techs'!$L90,'Key Inputs_BY Techs'!$C:$C,'RSD_BY Techs'!$B90)</f>
        <v>1</v>
      </c>
      <c r="R90" s="215">
        <f>SUMIFS('Key Inputs_BY Techs'!L:L,'Key Inputs_BY Techs'!$A:$A,'RSD_BY Techs'!$L90,'Key Inputs_BY Techs'!$C:$C,'RSD_BY Techs'!$B90)</f>
        <v>1</v>
      </c>
      <c r="S90" s="215">
        <f>SUMIFS('Key Inputs_BY Techs'!M:M,'Key Inputs_BY Techs'!$A:$A,'RSD_BY Techs'!$L90,'Key Inputs_BY Techs'!$C:$C,'RSD_BY Techs'!$B90)</f>
        <v>1</v>
      </c>
      <c r="T90" s="215">
        <f>SUMIFS('Key Inputs_BY Techs'!N:N,'Key Inputs_BY Techs'!$A:$A,'RSD_BY Techs'!$L90,'Key Inputs_BY Techs'!$C:$C,'RSD_BY Techs'!$B90)</f>
        <v>1</v>
      </c>
      <c r="U90" s="215">
        <f>SUMIFS('Key Inputs_BY Techs'!O:O,'Key Inputs_BY Techs'!$A:$A,'RSD_BY Techs'!$L90,'Key Inputs_BY Techs'!$C:$C,'RSD_BY Techs'!$B90)</f>
        <v>1</v>
      </c>
      <c r="V90" s="215">
        <f>SUMIFS('Key Inputs_BY Techs'!P:P,'Key Inputs_BY Techs'!$A:$A,'RSD_BY Techs'!$L90,'Key Inputs_BY Techs'!$C:$C,'RSD_BY Techs'!$B90)</f>
        <v>1</v>
      </c>
      <c r="W90" s="215">
        <f>SUMIFS('Key Inputs_BY Techs'!Q:Q,'Key Inputs_BY Techs'!$A:$A,'RSD_BY Techs'!$L90,'Key Inputs_BY Techs'!$C:$C,'RSD_BY Techs'!$B90)</f>
        <v>1</v>
      </c>
      <c r="X90" s="215">
        <f>SUMIFS('Key Inputs_BY Techs'!R:R,'Key Inputs_BY Techs'!$A:$A,'RSD_BY Techs'!$L90,'Key Inputs_BY Techs'!$C:$C,'RSD_BY Techs'!$B90)</f>
        <v>1</v>
      </c>
      <c r="Y90" s="215">
        <f>SUMIFS('Key Inputs_BY Techs'!S:S,'Key Inputs_BY Techs'!$A:$A,'RSD_BY Techs'!$L90,'Key Inputs_BY Techs'!$C:$C,'RSD_BY Techs'!$B90)</f>
        <v>1</v>
      </c>
      <c r="Z90" s="215">
        <f>SUMIFS('Key Inputs_BY Techs'!T:T,'Key Inputs_BY Techs'!$A:$A,'RSD_BY Techs'!$L90,'Key Inputs_BY Techs'!$C:$C,'RSD_BY Techs'!$B90)</f>
        <v>1</v>
      </c>
      <c r="AA90" s="215">
        <f>SUMIFS('Key Inputs_BY Techs'!U:U,'Key Inputs_BY Techs'!$A:$A,'RSD_BY Techs'!$L90,'Key Inputs_BY Techs'!$C:$C,'RSD_BY Techs'!$B90)</f>
        <v>1</v>
      </c>
      <c r="AB90" s="215">
        <f>SUMIFS('Key Inputs_BY Techs'!V:V,'Key Inputs_BY Techs'!$A:$A,'RSD_BY Techs'!$L90,'Key Inputs_BY Techs'!$C:$C,'RSD_BY Techs'!$B90)</f>
        <v>1</v>
      </c>
      <c r="AC90" s="215">
        <f>SUMIFS('Key Inputs_BY Techs'!W:W,'Key Inputs_BY Techs'!$A:$A,'RSD_BY Techs'!$L90,'Key Inputs_BY Techs'!$C:$C,'RSD_BY Techs'!$B90)</f>
        <v>1</v>
      </c>
      <c r="AD90" s="215">
        <f>SUMIFS('Key Inputs_BY Techs'!X:X,'Key Inputs_BY Techs'!$A:$A,'RSD_BY Techs'!$L90,'Key Inputs_BY Techs'!$C:$C,'RSD_BY Techs'!$B90)</f>
        <v>1</v>
      </c>
      <c r="AE90" s="215">
        <f>SUMIFS('Key Inputs_BY Techs'!Y:Y,'Key Inputs_BY Techs'!$A:$A,'RSD_BY Techs'!$L90,'Key Inputs_BY Techs'!$C:$C,'RSD_BY Techs'!$B90)</f>
        <v>1</v>
      </c>
      <c r="AF90" s="215">
        <f>SUMIFS('Key Inputs_BY Techs'!Z:Z,'Key Inputs_BY Techs'!$A:$A,'RSD_BY Techs'!$L90,'Key Inputs_BY Techs'!$C:$C,'RSD_BY Techs'!$B90)</f>
        <v>1</v>
      </c>
      <c r="AG90" s="215">
        <f>SUMIFS('Key Inputs_BY Techs'!AA:AA,'Key Inputs_BY Techs'!$A:$A,'RSD_BY Techs'!$L90,'Key Inputs_BY Techs'!$C:$C,'RSD_BY Techs'!$B90)</f>
        <v>1</v>
      </c>
      <c r="AH90" s="215">
        <f>SUMIFS('Key Inputs_BY Techs'!AB:AB,'Key Inputs_BY Techs'!$A:$A,'RSD_BY Techs'!$L90,'Key Inputs_BY Techs'!$C:$C,'RSD_BY Techs'!$B90)</f>
        <v>1</v>
      </c>
      <c r="AI90" s="215">
        <f>SUMIFS('Key Inputs_BY Techs'!AC:AC,'Key Inputs_BY Techs'!$A:$A,'RSD_BY Techs'!$L90,'Key Inputs_BY Techs'!$C:$C,'RSD_BY Techs'!$B90)</f>
        <v>1</v>
      </c>
      <c r="AJ90" s="215">
        <f>SUMIFS('Key Inputs_BY Techs'!AD:AD,'Key Inputs_BY Techs'!$A:$A,'RSD_BY Techs'!$L90,'Key Inputs_BY Techs'!$C:$C,'RSD_BY Techs'!$B90)</f>
        <v>1</v>
      </c>
      <c r="AK90" s="215">
        <f>SUMIFS('Key Inputs_BY Techs'!AE:AE,'Key Inputs_BY Techs'!$A:$A,'RSD_BY Techs'!$L90,'Key Inputs_BY Techs'!$C:$C,'RSD_BY Techs'!$B90)</f>
        <v>1</v>
      </c>
      <c r="AL90" s="215">
        <f>SUMIFS('Key Inputs_BY Techs'!AF:AF,'Key Inputs_BY Techs'!$A:$A,'RSD_BY Techs'!$L90,'Key Inputs_BY Techs'!$C:$C,'RSD_BY Techs'!$B90)</f>
        <v>1</v>
      </c>
      <c r="AM90" s="215">
        <f>SUMIFS('Key Inputs_BY Techs'!AG:AG,'Key Inputs_BY Techs'!$A:$A,'RSD_BY Techs'!$L90,'Key Inputs_BY Techs'!$C:$C,'RSD_BY Techs'!$B90)</f>
        <v>1</v>
      </c>
      <c r="AN90" s="215">
        <f>SUMIFS('Key Inputs_BY Techs'!AH:AH,'Key Inputs_BY Techs'!$A:$A,'RSD_BY Techs'!$L90,'Key Inputs_BY Techs'!$C:$C,'RSD_BY Techs'!$B90)</f>
        <v>1</v>
      </c>
      <c r="AO90" s="215">
        <f>SUMIFS('Key Inputs_BY Techs'!AI:AI,'Key Inputs_BY Techs'!$A:$A,'RSD_BY Techs'!$L90,'Key Inputs_BY Techs'!$C:$C,'RSD_BY Techs'!$B90)</f>
        <v>1</v>
      </c>
      <c r="AP90" s="215">
        <f>SUMIFS('Key Inputs_BY Techs'!AJ:AJ,'Key Inputs_BY Techs'!$A:$A,'RSD_BY Techs'!$L90,'Key Inputs_BY Techs'!$C:$C,'RSD_BY Techs'!$B90)</f>
        <v>1</v>
      </c>
    </row>
    <row r="91" spans="1:42" x14ac:dyDescent="0.25">
      <c r="A91" s="254"/>
      <c r="B91" s="254"/>
      <c r="C91" s="254"/>
      <c r="D91" s="254"/>
      <c r="E91" s="254"/>
      <c r="F91" s="254"/>
      <c r="G91" s="254"/>
      <c r="I91" s="231" t="str">
        <f>"*"&amp;L92</f>
        <v>*AFA</v>
      </c>
      <c r="J91" s="232"/>
      <c r="K91" s="232"/>
      <c r="L91" s="232"/>
      <c r="M91" s="232"/>
      <c r="N91" s="232"/>
      <c r="O91" s="232"/>
      <c r="P91" s="232"/>
      <c r="Q91" s="232"/>
      <c r="R91" s="232"/>
      <c r="S91" s="232"/>
      <c r="T91" s="232"/>
      <c r="U91" s="232"/>
      <c r="V91" s="232"/>
      <c r="W91" s="232"/>
      <c r="X91" s="232"/>
      <c r="Y91" s="232"/>
      <c r="Z91" s="232"/>
      <c r="AA91" s="232"/>
      <c r="AB91" s="232"/>
      <c r="AC91" s="232"/>
      <c r="AD91" s="232"/>
      <c r="AE91" s="232"/>
      <c r="AF91" s="232"/>
      <c r="AG91" s="232"/>
      <c r="AH91" s="232"/>
      <c r="AI91" s="232"/>
      <c r="AJ91" s="232"/>
      <c r="AK91" s="232"/>
      <c r="AL91" s="232"/>
      <c r="AM91" s="232"/>
      <c r="AN91" s="232"/>
      <c r="AO91" s="232"/>
      <c r="AP91" s="232"/>
    </row>
    <row r="92" spans="1:42" x14ac:dyDescent="0.25">
      <c r="A92" s="254" t="s">
        <v>122</v>
      </c>
      <c r="B92" s="254" t="s">
        <v>468</v>
      </c>
      <c r="C92" s="254" t="str">
        <f>Legend!A$64</f>
        <v>Biomass</v>
      </c>
      <c r="D92" s="254" t="str">
        <f>Legend!B$64</f>
        <v>RSDBIO</v>
      </c>
      <c r="E92" s="254" t="str">
        <f t="shared" ref="E92:E113" si="27">LEFT(D92,6)</f>
        <v>RSDBIO</v>
      </c>
      <c r="F92" s="254"/>
      <c r="G92" s="254"/>
      <c r="I92" s="213" t="str">
        <f t="shared" ref="I92:J122" si="28">I6</f>
        <v>R-THL-STV_BIO00</v>
      </c>
      <c r="J92" s="213" t="str">
        <f t="shared" si="28"/>
        <v>RSD Thermal uses technology: Biomass - Existing</v>
      </c>
      <c r="K92" s="213"/>
      <c r="L92" s="214" t="s">
        <v>191</v>
      </c>
      <c r="M92" s="214" t="s">
        <v>174</v>
      </c>
      <c r="N92" s="214"/>
      <c r="O92" s="213">
        <f>SUMIFS('Key Inputs_BY Techs'!I:I,'Key Inputs_BY Techs'!$A:$A,'RSD_BY Techs'!$L92,'Key Inputs_BY Techs'!$C:$C,'RSD_BY Techs'!$B92)/8760</f>
        <v>4.5322895632501033E-2</v>
      </c>
      <c r="P92" s="213">
        <f>SUMIFS('Key Inputs_BY Techs'!J:J,'Key Inputs_BY Techs'!$A:$A,'RSD_BY Techs'!$L92,'Key Inputs_BY Techs'!$C:$C,'RSD_BY Techs'!$B92)/8760</f>
        <v>4.5047579105877276E-2</v>
      </c>
      <c r="Q92" s="213">
        <f>SUMIFS('Key Inputs_BY Techs'!K:K,'Key Inputs_BY Techs'!$A:$A,'RSD_BY Techs'!$L92,'Key Inputs_BY Techs'!$C:$C,'RSD_BY Techs'!$B92)/8760</f>
        <v>4.1991055814934002E-2</v>
      </c>
      <c r="R92" s="213">
        <f>SUMIFS('Key Inputs_BY Techs'!L:L,'Key Inputs_BY Techs'!$A:$A,'RSD_BY Techs'!$L92,'Key Inputs_BY Techs'!$C:$C,'RSD_BY Techs'!$B92)/8760</f>
        <v>4.1685785869904429E-2</v>
      </c>
      <c r="S92" s="213">
        <f>SUMIFS('Key Inputs_BY Techs'!M:M,'Key Inputs_BY Techs'!$A:$A,'RSD_BY Techs'!$L92,'Key Inputs_BY Techs'!$C:$C,'RSD_BY Techs'!$B92)/8760</f>
        <v>5.0682342606484215E-2</v>
      </c>
      <c r="T92" s="213">
        <f>SUMIFS('Key Inputs_BY Techs'!N:N,'Key Inputs_BY Techs'!$A:$A,'RSD_BY Techs'!$L92,'Key Inputs_BY Techs'!$C:$C,'RSD_BY Techs'!$B92)/8760</f>
        <v>5.807085407630011E-2</v>
      </c>
      <c r="U92" s="213">
        <f>SUMIFS('Key Inputs_BY Techs'!O:O,'Key Inputs_BY Techs'!$A:$A,'RSD_BY Techs'!$L92,'Key Inputs_BY Techs'!$C:$C,'RSD_BY Techs'!$B92)/8760</f>
        <v>4.1687877260716787E-2</v>
      </c>
      <c r="V92" s="213">
        <f>SUMIFS('Key Inputs_BY Techs'!P:P,'Key Inputs_BY Techs'!$A:$A,'RSD_BY Techs'!$L92,'Key Inputs_BY Techs'!$C:$C,'RSD_BY Techs'!$B92)/8760</f>
        <v>4.2884552320900708E-2</v>
      </c>
      <c r="W92" s="213">
        <f>SUMIFS('Key Inputs_BY Techs'!Q:Q,'Key Inputs_BY Techs'!$A:$A,'RSD_BY Techs'!$L92,'Key Inputs_BY Techs'!$C:$C,'RSD_BY Techs'!$B92)/8760</f>
        <v>4.1666666666666664E-2</v>
      </c>
      <c r="X92" s="213">
        <f>SUMIFS('Key Inputs_BY Techs'!R:R,'Key Inputs_BY Techs'!$A:$A,'RSD_BY Techs'!$L92,'Key Inputs_BY Techs'!$C:$C,'RSD_BY Techs'!$B92)/8760</f>
        <v>0.12925469986413698</v>
      </c>
      <c r="Y92" s="213">
        <f>SUMIFS('Key Inputs_BY Techs'!S:S,'Key Inputs_BY Techs'!$A:$A,'RSD_BY Techs'!$L92,'Key Inputs_BY Techs'!$C:$C,'RSD_BY Techs'!$B92)/8760</f>
        <v>5.6018402502504346E-2</v>
      </c>
      <c r="Z92" s="213">
        <f>SUMIFS('Key Inputs_BY Techs'!T:T,'Key Inputs_BY Techs'!$A:$A,'RSD_BY Techs'!$L92,'Key Inputs_BY Techs'!$C:$C,'RSD_BY Techs'!$B92)/8760</f>
        <v>8.0456212261297039E-2</v>
      </c>
      <c r="AA92" s="213">
        <f>SUMIFS('Key Inputs_BY Techs'!U:U,'Key Inputs_BY Techs'!$A:$A,'RSD_BY Techs'!$L92,'Key Inputs_BY Techs'!$C:$C,'RSD_BY Techs'!$B92)/8760</f>
        <v>8.196249702811996E-2</v>
      </c>
      <c r="AB92" s="213">
        <f>SUMIFS('Key Inputs_BY Techs'!V:V,'Key Inputs_BY Techs'!$A:$A,'RSD_BY Techs'!$L92,'Key Inputs_BY Techs'!$C:$C,'RSD_BY Techs'!$B92)/8760</f>
        <v>9.0560920532517131E-2</v>
      </c>
      <c r="AC92" s="213">
        <f>SUMIFS('Key Inputs_BY Techs'!W:W,'Key Inputs_BY Techs'!$A:$A,'RSD_BY Techs'!$L92,'Key Inputs_BY Techs'!$C:$C,'RSD_BY Techs'!$B92)/8760</f>
        <v>7.7640907014416241E-2</v>
      </c>
      <c r="AD92" s="213">
        <f>SUMIFS('Key Inputs_BY Techs'!X:X,'Key Inputs_BY Techs'!$A:$A,'RSD_BY Techs'!$L92,'Key Inputs_BY Techs'!$C:$C,'RSD_BY Techs'!$B92)/8760</f>
        <v>6.6864645901418843E-2</v>
      </c>
      <c r="AE92" s="213">
        <f>SUMIFS('Key Inputs_BY Techs'!Y:Y,'Key Inputs_BY Techs'!$A:$A,'RSD_BY Techs'!$L92,'Key Inputs_BY Techs'!$C:$C,'RSD_BY Techs'!$B92)/8760</f>
        <v>6.6864645901418843E-2</v>
      </c>
      <c r="AF92" s="213">
        <f>SUMIFS('Key Inputs_BY Techs'!Z:Z,'Key Inputs_BY Techs'!$A:$A,'RSD_BY Techs'!$L92,'Key Inputs_BY Techs'!$C:$C,'RSD_BY Techs'!$B92)/8760</f>
        <v>4.1666666666666664E-2</v>
      </c>
      <c r="AG92" s="213">
        <f>SUMIFS('Key Inputs_BY Techs'!AA:AA,'Key Inputs_BY Techs'!$A:$A,'RSD_BY Techs'!$L92,'Key Inputs_BY Techs'!$C:$C,'RSD_BY Techs'!$B92)/8760</f>
        <v>4.1666666666666664E-2</v>
      </c>
      <c r="AH92" s="213">
        <f>SUMIFS('Key Inputs_BY Techs'!AB:AB,'Key Inputs_BY Techs'!$A:$A,'RSD_BY Techs'!$L92,'Key Inputs_BY Techs'!$C:$C,'RSD_BY Techs'!$B92)/8760</f>
        <v>5.1477189103886295E-2</v>
      </c>
      <c r="AI92" s="213">
        <f>SUMIFS('Key Inputs_BY Techs'!AC:AC,'Key Inputs_BY Techs'!$A:$A,'RSD_BY Techs'!$L92,'Key Inputs_BY Techs'!$C:$C,'RSD_BY Techs'!$B92)/8760</f>
        <v>4.1666666666666664E-2</v>
      </c>
      <c r="AJ92" s="213">
        <f>SUMIFS('Key Inputs_BY Techs'!AD:AD,'Key Inputs_BY Techs'!$A:$A,'RSD_BY Techs'!$L92,'Key Inputs_BY Techs'!$C:$C,'RSD_BY Techs'!$B92)/8760</f>
        <v>7.0781511423467725E-2</v>
      </c>
      <c r="AK92" s="213">
        <f>SUMIFS('Key Inputs_BY Techs'!AE:AE,'Key Inputs_BY Techs'!$A:$A,'RSD_BY Techs'!$L92,'Key Inputs_BY Techs'!$C:$C,'RSD_BY Techs'!$B92)/8760</f>
        <v>4.1666666666666664E-2</v>
      </c>
      <c r="AL92" s="213">
        <f>SUMIFS('Key Inputs_BY Techs'!AF:AF,'Key Inputs_BY Techs'!$A:$A,'RSD_BY Techs'!$L92,'Key Inputs_BY Techs'!$C:$C,'RSD_BY Techs'!$B92)/8760</f>
        <v>4.8525528371344114E-2</v>
      </c>
      <c r="AM92" s="213">
        <f>SUMIFS('Key Inputs_BY Techs'!AG:AG,'Key Inputs_BY Techs'!$A:$A,'RSD_BY Techs'!$L92,'Key Inputs_BY Techs'!$C:$C,'RSD_BY Techs'!$B92)/8760</f>
        <v>4.1991055814934002E-2</v>
      </c>
      <c r="AN92" s="213">
        <f>SUMIFS('Key Inputs_BY Techs'!AH:AH,'Key Inputs_BY Techs'!$A:$A,'RSD_BY Techs'!$L92,'Key Inputs_BY Techs'!$C:$C,'RSD_BY Techs'!$B92)/8760</f>
        <v>0.10573317089500424</v>
      </c>
      <c r="AO92" s="213">
        <f>SUMIFS('Key Inputs_BY Techs'!AI:AI,'Key Inputs_BY Techs'!$A:$A,'RSD_BY Techs'!$L92,'Key Inputs_BY Techs'!$C:$C,'RSD_BY Techs'!$B92)/8760</f>
        <v>8.0437275857606058E-2</v>
      </c>
      <c r="AP92" s="213">
        <f>SUMIFS('Key Inputs_BY Techs'!AJ:AJ,'Key Inputs_BY Techs'!$A:$A,'RSD_BY Techs'!$L92,'Key Inputs_BY Techs'!$C:$C,'RSD_BY Techs'!$B92)/8760</f>
        <v>6.6692438947101099E-2</v>
      </c>
    </row>
    <row r="93" spans="1:42" x14ac:dyDescent="0.25">
      <c r="A93" s="254" t="s">
        <v>122</v>
      </c>
      <c r="B93" s="254" t="s">
        <v>468</v>
      </c>
      <c r="C93" s="254" t="str">
        <f>Legend!A$65</f>
        <v>Coal</v>
      </c>
      <c r="D93" s="254" t="str">
        <f>Legend!B$65</f>
        <v>RSDCOA</v>
      </c>
      <c r="E93" s="254" t="str">
        <f t="shared" si="27"/>
        <v>RSDCOA</v>
      </c>
      <c r="F93" s="254"/>
      <c r="G93" s="254"/>
      <c r="I93" s="211" t="str">
        <f t="shared" si="28"/>
        <v>R-THL-STV_COA00</v>
      </c>
      <c r="J93" s="211" t="str">
        <f t="shared" si="28"/>
        <v>RSD Thermal uses technology: Coal - Existing</v>
      </c>
      <c r="K93" s="211"/>
      <c r="L93" s="211" t="s">
        <v>191</v>
      </c>
      <c r="M93" s="211" t="s">
        <v>174</v>
      </c>
      <c r="N93" s="211"/>
      <c r="O93" s="211">
        <f>SUMIFS('Key Inputs_BY Techs'!I:I,'Key Inputs_BY Techs'!$A:$A,'RSD_BY Techs'!$L93,'Key Inputs_BY Techs'!$C:$C,'RSD_BY Techs'!$B93)/8760</f>
        <v>4.5322895632501033E-2</v>
      </c>
      <c r="P93" s="211">
        <f>SUMIFS('Key Inputs_BY Techs'!J:J,'Key Inputs_BY Techs'!$A:$A,'RSD_BY Techs'!$L93,'Key Inputs_BY Techs'!$C:$C,'RSD_BY Techs'!$B93)/8760</f>
        <v>4.5047579105877276E-2</v>
      </c>
      <c r="Q93" s="211">
        <f>SUMIFS('Key Inputs_BY Techs'!K:K,'Key Inputs_BY Techs'!$A:$A,'RSD_BY Techs'!$L93,'Key Inputs_BY Techs'!$C:$C,'RSD_BY Techs'!$B93)/8760</f>
        <v>4.1991055814934002E-2</v>
      </c>
      <c r="R93" s="211">
        <f>SUMIFS('Key Inputs_BY Techs'!L:L,'Key Inputs_BY Techs'!$A:$A,'RSD_BY Techs'!$L93,'Key Inputs_BY Techs'!$C:$C,'RSD_BY Techs'!$B93)/8760</f>
        <v>4.1685785869904429E-2</v>
      </c>
      <c r="S93" s="211">
        <f>SUMIFS('Key Inputs_BY Techs'!M:M,'Key Inputs_BY Techs'!$A:$A,'RSD_BY Techs'!$L93,'Key Inputs_BY Techs'!$C:$C,'RSD_BY Techs'!$B93)/8760</f>
        <v>5.0682342606484215E-2</v>
      </c>
      <c r="T93" s="211">
        <f>SUMIFS('Key Inputs_BY Techs'!N:N,'Key Inputs_BY Techs'!$A:$A,'RSD_BY Techs'!$L93,'Key Inputs_BY Techs'!$C:$C,'RSD_BY Techs'!$B93)/8760</f>
        <v>5.807085407630011E-2</v>
      </c>
      <c r="U93" s="211">
        <f>SUMIFS('Key Inputs_BY Techs'!O:O,'Key Inputs_BY Techs'!$A:$A,'RSD_BY Techs'!$L93,'Key Inputs_BY Techs'!$C:$C,'RSD_BY Techs'!$B93)/8760</f>
        <v>4.1687877260716787E-2</v>
      </c>
      <c r="V93" s="211">
        <f>SUMIFS('Key Inputs_BY Techs'!P:P,'Key Inputs_BY Techs'!$A:$A,'RSD_BY Techs'!$L93,'Key Inputs_BY Techs'!$C:$C,'RSD_BY Techs'!$B93)/8760</f>
        <v>4.2884552320900708E-2</v>
      </c>
      <c r="W93" s="211">
        <f>SUMIFS('Key Inputs_BY Techs'!Q:Q,'Key Inputs_BY Techs'!$A:$A,'RSD_BY Techs'!$L93,'Key Inputs_BY Techs'!$C:$C,'RSD_BY Techs'!$B93)/8760</f>
        <v>4.1666666666666664E-2</v>
      </c>
      <c r="X93" s="211">
        <f>SUMIFS('Key Inputs_BY Techs'!R:R,'Key Inputs_BY Techs'!$A:$A,'RSD_BY Techs'!$L93,'Key Inputs_BY Techs'!$C:$C,'RSD_BY Techs'!$B93)/8760</f>
        <v>0.12925469986413698</v>
      </c>
      <c r="Y93" s="211">
        <f>SUMIFS('Key Inputs_BY Techs'!S:S,'Key Inputs_BY Techs'!$A:$A,'RSD_BY Techs'!$L93,'Key Inputs_BY Techs'!$C:$C,'RSD_BY Techs'!$B93)/8760</f>
        <v>5.6018402502504346E-2</v>
      </c>
      <c r="Z93" s="211">
        <f>SUMIFS('Key Inputs_BY Techs'!T:T,'Key Inputs_BY Techs'!$A:$A,'RSD_BY Techs'!$L93,'Key Inputs_BY Techs'!$C:$C,'RSD_BY Techs'!$B93)/8760</f>
        <v>8.0456212261297039E-2</v>
      </c>
      <c r="AA93" s="211">
        <f>SUMIFS('Key Inputs_BY Techs'!U:U,'Key Inputs_BY Techs'!$A:$A,'RSD_BY Techs'!$L93,'Key Inputs_BY Techs'!$C:$C,'RSD_BY Techs'!$B93)/8760</f>
        <v>8.196249702811996E-2</v>
      </c>
      <c r="AB93" s="211">
        <f>SUMIFS('Key Inputs_BY Techs'!V:V,'Key Inputs_BY Techs'!$A:$A,'RSD_BY Techs'!$L93,'Key Inputs_BY Techs'!$C:$C,'RSD_BY Techs'!$B93)/8760</f>
        <v>9.0560920532517131E-2</v>
      </c>
      <c r="AC93" s="211">
        <f>SUMIFS('Key Inputs_BY Techs'!W:W,'Key Inputs_BY Techs'!$A:$A,'RSD_BY Techs'!$L93,'Key Inputs_BY Techs'!$C:$C,'RSD_BY Techs'!$B93)/8760</f>
        <v>7.7640907014416241E-2</v>
      </c>
      <c r="AD93" s="211">
        <f>SUMIFS('Key Inputs_BY Techs'!X:X,'Key Inputs_BY Techs'!$A:$A,'RSD_BY Techs'!$L93,'Key Inputs_BY Techs'!$C:$C,'RSD_BY Techs'!$B93)/8760</f>
        <v>6.6864645901418843E-2</v>
      </c>
      <c r="AE93" s="211">
        <f>SUMIFS('Key Inputs_BY Techs'!Y:Y,'Key Inputs_BY Techs'!$A:$A,'RSD_BY Techs'!$L93,'Key Inputs_BY Techs'!$C:$C,'RSD_BY Techs'!$B93)/8760</f>
        <v>6.6864645901418843E-2</v>
      </c>
      <c r="AF93" s="211">
        <f>SUMIFS('Key Inputs_BY Techs'!Z:Z,'Key Inputs_BY Techs'!$A:$A,'RSD_BY Techs'!$L93,'Key Inputs_BY Techs'!$C:$C,'RSD_BY Techs'!$B93)/8760</f>
        <v>4.1666666666666664E-2</v>
      </c>
      <c r="AG93" s="211">
        <f>SUMIFS('Key Inputs_BY Techs'!AA:AA,'Key Inputs_BY Techs'!$A:$A,'RSD_BY Techs'!$L93,'Key Inputs_BY Techs'!$C:$C,'RSD_BY Techs'!$B93)/8760</f>
        <v>4.1666666666666664E-2</v>
      </c>
      <c r="AH93" s="211">
        <f>SUMIFS('Key Inputs_BY Techs'!AB:AB,'Key Inputs_BY Techs'!$A:$A,'RSD_BY Techs'!$L93,'Key Inputs_BY Techs'!$C:$C,'RSD_BY Techs'!$B93)/8760</f>
        <v>5.1477189103886295E-2</v>
      </c>
      <c r="AI93" s="211">
        <f>SUMIFS('Key Inputs_BY Techs'!AC:AC,'Key Inputs_BY Techs'!$A:$A,'RSD_BY Techs'!$L93,'Key Inputs_BY Techs'!$C:$C,'RSD_BY Techs'!$B93)/8760</f>
        <v>4.1666666666666664E-2</v>
      </c>
      <c r="AJ93" s="211">
        <f>SUMIFS('Key Inputs_BY Techs'!AD:AD,'Key Inputs_BY Techs'!$A:$A,'RSD_BY Techs'!$L93,'Key Inputs_BY Techs'!$C:$C,'RSD_BY Techs'!$B93)/8760</f>
        <v>7.0781511423467725E-2</v>
      </c>
      <c r="AK93" s="211">
        <f>SUMIFS('Key Inputs_BY Techs'!AE:AE,'Key Inputs_BY Techs'!$A:$A,'RSD_BY Techs'!$L93,'Key Inputs_BY Techs'!$C:$C,'RSD_BY Techs'!$B93)/8760</f>
        <v>4.1666666666666664E-2</v>
      </c>
      <c r="AL93" s="211">
        <f>SUMIFS('Key Inputs_BY Techs'!AF:AF,'Key Inputs_BY Techs'!$A:$A,'RSD_BY Techs'!$L93,'Key Inputs_BY Techs'!$C:$C,'RSD_BY Techs'!$B93)/8760</f>
        <v>4.8525528371344114E-2</v>
      </c>
      <c r="AM93" s="211">
        <f>SUMIFS('Key Inputs_BY Techs'!AG:AG,'Key Inputs_BY Techs'!$A:$A,'RSD_BY Techs'!$L93,'Key Inputs_BY Techs'!$C:$C,'RSD_BY Techs'!$B93)/8760</f>
        <v>4.1991055814934002E-2</v>
      </c>
      <c r="AN93" s="211">
        <f>SUMIFS('Key Inputs_BY Techs'!AH:AH,'Key Inputs_BY Techs'!$A:$A,'RSD_BY Techs'!$L93,'Key Inputs_BY Techs'!$C:$C,'RSD_BY Techs'!$B93)/8760</f>
        <v>0.10573317089500424</v>
      </c>
      <c r="AO93" s="211">
        <f>SUMIFS('Key Inputs_BY Techs'!AI:AI,'Key Inputs_BY Techs'!$A:$A,'RSD_BY Techs'!$L93,'Key Inputs_BY Techs'!$C:$C,'RSD_BY Techs'!$B93)/8760</f>
        <v>8.0437275857606058E-2</v>
      </c>
      <c r="AP93" s="211">
        <f>SUMIFS('Key Inputs_BY Techs'!AJ:AJ,'Key Inputs_BY Techs'!$A:$A,'RSD_BY Techs'!$L93,'Key Inputs_BY Techs'!$C:$C,'RSD_BY Techs'!$B93)/8760</f>
        <v>6.6692438947101099E-2</v>
      </c>
    </row>
    <row r="94" spans="1:42" x14ac:dyDescent="0.25">
      <c r="A94" s="254" t="s">
        <v>122</v>
      </c>
      <c r="B94" s="254" t="s">
        <v>468</v>
      </c>
      <c r="C94" s="254" t="str">
        <f>Legend!A$66</f>
        <v>Electricity</v>
      </c>
      <c r="D94" s="254" t="str">
        <f>Legend!B$66</f>
        <v>RSDELC</v>
      </c>
      <c r="E94" s="254" t="str">
        <f t="shared" si="27"/>
        <v>RSDELC</v>
      </c>
      <c r="F94" s="254"/>
      <c r="G94" s="254"/>
      <c r="I94" s="211" t="str">
        <f t="shared" si="28"/>
        <v>R-THL-RST_ELC00</v>
      </c>
      <c r="J94" s="211" t="str">
        <f t="shared" si="28"/>
        <v>RSD Thermal uses technology: Electricity - Existing</v>
      </c>
      <c r="K94" s="211"/>
      <c r="L94" s="211" t="s">
        <v>191</v>
      </c>
      <c r="M94" s="211" t="s">
        <v>174</v>
      </c>
      <c r="N94" s="211"/>
      <c r="O94" s="211">
        <f>SUMIFS('Key Inputs_BY Techs'!I:I,'Key Inputs_BY Techs'!$A:$A,'RSD_BY Techs'!$L94,'Key Inputs_BY Techs'!$C:$C,'RSD_BY Techs'!$B94)/8760</f>
        <v>4.5322895632501033E-2</v>
      </c>
      <c r="P94" s="211">
        <f>SUMIFS('Key Inputs_BY Techs'!J:J,'Key Inputs_BY Techs'!$A:$A,'RSD_BY Techs'!$L94,'Key Inputs_BY Techs'!$C:$C,'RSD_BY Techs'!$B94)/8760</f>
        <v>4.5047579105877276E-2</v>
      </c>
      <c r="Q94" s="211">
        <f>SUMIFS('Key Inputs_BY Techs'!K:K,'Key Inputs_BY Techs'!$A:$A,'RSD_BY Techs'!$L94,'Key Inputs_BY Techs'!$C:$C,'RSD_BY Techs'!$B94)/8760</f>
        <v>4.1991055814934002E-2</v>
      </c>
      <c r="R94" s="211">
        <f>SUMIFS('Key Inputs_BY Techs'!L:L,'Key Inputs_BY Techs'!$A:$A,'RSD_BY Techs'!$L94,'Key Inputs_BY Techs'!$C:$C,'RSD_BY Techs'!$B94)/8760</f>
        <v>4.1685785869904429E-2</v>
      </c>
      <c r="S94" s="211">
        <f>SUMIFS('Key Inputs_BY Techs'!M:M,'Key Inputs_BY Techs'!$A:$A,'RSD_BY Techs'!$L94,'Key Inputs_BY Techs'!$C:$C,'RSD_BY Techs'!$B94)/8760</f>
        <v>5.0682342606484215E-2</v>
      </c>
      <c r="T94" s="211">
        <f>SUMIFS('Key Inputs_BY Techs'!N:N,'Key Inputs_BY Techs'!$A:$A,'RSD_BY Techs'!$L94,'Key Inputs_BY Techs'!$C:$C,'RSD_BY Techs'!$B94)/8760</f>
        <v>5.807085407630011E-2</v>
      </c>
      <c r="U94" s="211">
        <f>SUMIFS('Key Inputs_BY Techs'!O:O,'Key Inputs_BY Techs'!$A:$A,'RSD_BY Techs'!$L94,'Key Inputs_BY Techs'!$C:$C,'RSD_BY Techs'!$B94)/8760</f>
        <v>4.1687877260716787E-2</v>
      </c>
      <c r="V94" s="211">
        <f>SUMIFS('Key Inputs_BY Techs'!P:P,'Key Inputs_BY Techs'!$A:$A,'RSD_BY Techs'!$L94,'Key Inputs_BY Techs'!$C:$C,'RSD_BY Techs'!$B94)/8760</f>
        <v>4.2884552320900708E-2</v>
      </c>
      <c r="W94" s="211">
        <f>SUMIFS('Key Inputs_BY Techs'!Q:Q,'Key Inputs_BY Techs'!$A:$A,'RSD_BY Techs'!$L94,'Key Inputs_BY Techs'!$C:$C,'RSD_BY Techs'!$B94)/8760</f>
        <v>4.1666666666666664E-2</v>
      </c>
      <c r="X94" s="211">
        <f>SUMIFS('Key Inputs_BY Techs'!R:R,'Key Inputs_BY Techs'!$A:$A,'RSD_BY Techs'!$L94,'Key Inputs_BY Techs'!$C:$C,'RSD_BY Techs'!$B94)/8760</f>
        <v>0.12925469986413698</v>
      </c>
      <c r="Y94" s="211">
        <f>SUMIFS('Key Inputs_BY Techs'!S:S,'Key Inputs_BY Techs'!$A:$A,'RSD_BY Techs'!$L94,'Key Inputs_BY Techs'!$C:$C,'RSD_BY Techs'!$B94)/8760</f>
        <v>5.6018402502504346E-2</v>
      </c>
      <c r="Z94" s="211">
        <f>SUMIFS('Key Inputs_BY Techs'!T:T,'Key Inputs_BY Techs'!$A:$A,'RSD_BY Techs'!$L94,'Key Inputs_BY Techs'!$C:$C,'RSD_BY Techs'!$B94)/8760</f>
        <v>8.0456212261297039E-2</v>
      </c>
      <c r="AA94" s="211">
        <f>SUMIFS('Key Inputs_BY Techs'!U:U,'Key Inputs_BY Techs'!$A:$A,'RSD_BY Techs'!$L94,'Key Inputs_BY Techs'!$C:$C,'RSD_BY Techs'!$B94)/8760</f>
        <v>8.196249702811996E-2</v>
      </c>
      <c r="AB94" s="211">
        <f>SUMIFS('Key Inputs_BY Techs'!V:V,'Key Inputs_BY Techs'!$A:$A,'RSD_BY Techs'!$L94,'Key Inputs_BY Techs'!$C:$C,'RSD_BY Techs'!$B94)/8760</f>
        <v>9.0560920532517131E-2</v>
      </c>
      <c r="AC94" s="211">
        <f>SUMIFS('Key Inputs_BY Techs'!W:W,'Key Inputs_BY Techs'!$A:$A,'RSD_BY Techs'!$L94,'Key Inputs_BY Techs'!$C:$C,'RSD_BY Techs'!$B94)/8760</f>
        <v>7.7640907014416241E-2</v>
      </c>
      <c r="AD94" s="211">
        <f>SUMIFS('Key Inputs_BY Techs'!X:X,'Key Inputs_BY Techs'!$A:$A,'RSD_BY Techs'!$L94,'Key Inputs_BY Techs'!$C:$C,'RSD_BY Techs'!$B94)/8760</f>
        <v>6.6864645901418843E-2</v>
      </c>
      <c r="AE94" s="211">
        <f>SUMIFS('Key Inputs_BY Techs'!Y:Y,'Key Inputs_BY Techs'!$A:$A,'RSD_BY Techs'!$L94,'Key Inputs_BY Techs'!$C:$C,'RSD_BY Techs'!$B94)/8760</f>
        <v>6.6864645901418843E-2</v>
      </c>
      <c r="AF94" s="211">
        <f>SUMIFS('Key Inputs_BY Techs'!Z:Z,'Key Inputs_BY Techs'!$A:$A,'RSD_BY Techs'!$L94,'Key Inputs_BY Techs'!$C:$C,'RSD_BY Techs'!$B94)/8760</f>
        <v>4.1666666666666664E-2</v>
      </c>
      <c r="AG94" s="211">
        <f>SUMIFS('Key Inputs_BY Techs'!AA:AA,'Key Inputs_BY Techs'!$A:$A,'RSD_BY Techs'!$L94,'Key Inputs_BY Techs'!$C:$C,'RSD_BY Techs'!$B94)/8760</f>
        <v>4.1666666666666664E-2</v>
      </c>
      <c r="AH94" s="211">
        <f>SUMIFS('Key Inputs_BY Techs'!AB:AB,'Key Inputs_BY Techs'!$A:$A,'RSD_BY Techs'!$L94,'Key Inputs_BY Techs'!$C:$C,'RSD_BY Techs'!$B94)/8760</f>
        <v>5.1477189103886295E-2</v>
      </c>
      <c r="AI94" s="211">
        <f>SUMIFS('Key Inputs_BY Techs'!AC:AC,'Key Inputs_BY Techs'!$A:$A,'RSD_BY Techs'!$L94,'Key Inputs_BY Techs'!$C:$C,'RSD_BY Techs'!$B94)/8760</f>
        <v>4.1666666666666664E-2</v>
      </c>
      <c r="AJ94" s="211">
        <f>SUMIFS('Key Inputs_BY Techs'!AD:AD,'Key Inputs_BY Techs'!$A:$A,'RSD_BY Techs'!$L94,'Key Inputs_BY Techs'!$C:$C,'RSD_BY Techs'!$B94)/8760</f>
        <v>7.0781511423467725E-2</v>
      </c>
      <c r="AK94" s="211">
        <f>SUMIFS('Key Inputs_BY Techs'!AE:AE,'Key Inputs_BY Techs'!$A:$A,'RSD_BY Techs'!$L94,'Key Inputs_BY Techs'!$C:$C,'RSD_BY Techs'!$B94)/8760</f>
        <v>4.1666666666666664E-2</v>
      </c>
      <c r="AL94" s="211">
        <f>SUMIFS('Key Inputs_BY Techs'!AF:AF,'Key Inputs_BY Techs'!$A:$A,'RSD_BY Techs'!$L94,'Key Inputs_BY Techs'!$C:$C,'RSD_BY Techs'!$B94)/8760</f>
        <v>4.8525528371344114E-2</v>
      </c>
      <c r="AM94" s="211">
        <f>SUMIFS('Key Inputs_BY Techs'!AG:AG,'Key Inputs_BY Techs'!$A:$A,'RSD_BY Techs'!$L94,'Key Inputs_BY Techs'!$C:$C,'RSD_BY Techs'!$B94)/8760</f>
        <v>4.1991055814934002E-2</v>
      </c>
      <c r="AN94" s="211">
        <f>SUMIFS('Key Inputs_BY Techs'!AH:AH,'Key Inputs_BY Techs'!$A:$A,'RSD_BY Techs'!$L94,'Key Inputs_BY Techs'!$C:$C,'RSD_BY Techs'!$B94)/8760</f>
        <v>0.10573317089500424</v>
      </c>
      <c r="AO94" s="211">
        <f>SUMIFS('Key Inputs_BY Techs'!AI:AI,'Key Inputs_BY Techs'!$A:$A,'RSD_BY Techs'!$L94,'Key Inputs_BY Techs'!$C:$C,'RSD_BY Techs'!$B94)/8760</f>
        <v>8.0437275857606058E-2</v>
      </c>
      <c r="AP94" s="211">
        <f>SUMIFS('Key Inputs_BY Techs'!AJ:AJ,'Key Inputs_BY Techs'!$A:$A,'RSD_BY Techs'!$L94,'Key Inputs_BY Techs'!$C:$C,'RSD_BY Techs'!$B94)/8760</f>
        <v>6.6692438947101099E-2</v>
      </c>
    </row>
    <row r="95" spans="1:42" x14ac:dyDescent="0.25">
      <c r="A95" s="254" t="s">
        <v>122</v>
      </c>
      <c r="B95" s="254" t="s">
        <v>468</v>
      </c>
      <c r="C95" s="254" t="str">
        <f>Legend!A$66&amp;" (Heat Pump)"</f>
        <v>Electricity (Heat Pump)</v>
      </c>
      <c r="D95" s="254" t="str">
        <f>Legend!B$66</f>
        <v>RSDELC</v>
      </c>
      <c r="E95" s="254" t="str">
        <f t="shared" si="27"/>
        <v>RSDELC</v>
      </c>
      <c r="F95" s="254"/>
      <c r="G95" s="254"/>
      <c r="I95" s="211" t="str">
        <f t="shared" si="28"/>
        <v>R-THL-HPA_ELC00</v>
      </c>
      <c r="J95" s="211" t="str">
        <f t="shared" si="28"/>
        <v>RSD Thermal uses technology: Electricity (Heat Pump) - Existing</v>
      </c>
      <c r="K95" s="211"/>
      <c r="L95" s="211" t="s">
        <v>191</v>
      </c>
      <c r="M95" s="211" t="s">
        <v>174</v>
      </c>
      <c r="N95" s="211"/>
      <c r="O95" s="211">
        <f>SUMIFS('Key Inputs_BY Techs'!I:I,'Key Inputs_BY Techs'!$A:$A,'RSD_BY Techs'!$L95,'Key Inputs_BY Techs'!$C:$C,'RSD_BY Techs'!$B95)/8760</f>
        <v>4.5322895632501033E-2</v>
      </c>
      <c r="P95" s="211">
        <f>SUMIFS('Key Inputs_BY Techs'!J:J,'Key Inputs_BY Techs'!$A:$A,'RSD_BY Techs'!$L95,'Key Inputs_BY Techs'!$C:$C,'RSD_BY Techs'!$B95)/8760</f>
        <v>4.5047579105877276E-2</v>
      </c>
      <c r="Q95" s="211">
        <f>SUMIFS('Key Inputs_BY Techs'!K:K,'Key Inputs_BY Techs'!$A:$A,'RSD_BY Techs'!$L95,'Key Inputs_BY Techs'!$C:$C,'RSD_BY Techs'!$B95)/8760</f>
        <v>4.1991055814934002E-2</v>
      </c>
      <c r="R95" s="211">
        <f>SUMIFS('Key Inputs_BY Techs'!L:L,'Key Inputs_BY Techs'!$A:$A,'RSD_BY Techs'!$L95,'Key Inputs_BY Techs'!$C:$C,'RSD_BY Techs'!$B95)/8760</f>
        <v>4.1685785869904429E-2</v>
      </c>
      <c r="S95" s="211">
        <f>SUMIFS('Key Inputs_BY Techs'!M:M,'Key Inputs_BY Techs'!$A:$A,'RSD_BY Techs'!$L95,'Key Inputs_BY Techs'!$C:$C,'RSD_BY Techs'!$B95)/8760</f>
        <v>5.0682342606484215E-2</v>
      </c>
      <c r="T95" s="211">
        <f>SUMIFS('Key Inputs_BY Techs'!N:N,'Key Inputs_BY Techs'!$A:$A,'RSD_BY Techs'!$L95,'Key Inputs_BY Techs'!$C:$C,'RSD_BY Techs'!$B95)/8760</f>
        <v>5.807085407630011E-2</v>
      </c>
      <c r="U95" s="211">
        <f>SUMIFS('Key Inputs_BY Techs'!O:O,'Key Inputs_BY Techs'!$A:$A,'RSD_BY Techs'!$L95,'Key Inputs_BY Techs'!$C:$C,'RSD_BY Techs'!$B95)/8760</f>
        <v>4.1687877260716787E-2</v>
      </c>
      <c r="V95" s="211">
        <f>SUMIFS('Key Inputs_BY Techs'!P:P,'Key Inputs_BY Techs'!$A:$A,'RSD_BY Techs'!$L95,'Key Inputs_BY Techs'!$C:$C,'RSD_BY Techs'!$B95)/8760</f>
        <v>4.2884552320900708E-2</v>
      </c>
      <c r="W95" s="211">
        <f>SUMIFS('Key Inputs_BY Techs'!Q:Q,'Key Inputs_BY Techs'!$A:$A,'RSD_BY Techs'!$L95,'Key Inputs_BY Techs'!$C:$C,'RSD_BY Techs'!$B95)/8760</f>
        <v>4.1666666666666664E-2</v>
      </c>
      <c r="X95" s="211">
        <f>SUMIFS('Key Inputs_BY Techs'!R:R,'Key Inputs_BY Techs'!$A:$A,'RSD_BY Techs'!$L95,'Key Inputs_BY Techs'!$C:$C,'RSD_BY Techs'!$B95)/8760</f>
        <v>0.12925469986413698</v>
      </c>
      <c r="Y95" s="211">
        <f>SUMIFS('Key Inputs_BY Techs'!S:S,'Key Inputs_BY Techs'!$A:$A,'RSD_BY Techs'!$L95,'Key Inputs_BY Techs'!$C:$C,'RSD_BY Techs'!$B95)/8760</f>
        <v>5.6018402502504346E-2</v>
      </c>
      <c r="Z95" s="211">
        <f>SUMIFS('Key Inputs_BY Techs'!T:T,'Key Inputs_BY Techs'!$A:$A,'RSD_BY Techs'!$L95,'Key Inputs_BY Techs'!$C:$C,'RSD_BY Techs'!$B95)/8760</f>
        <v>8.0456212261297039E-2</v>
      </c>
      <c r="AA95" s="211">
        <f>SUMIFS('Key Inputs_BY Techs'!U:U,'Key Inputs_BY Techs'!$A:$A,'RSD_BY Techs'!$L95,'Key Inputs_BY Techs'!$C:$C,'RSD_BY Techs'!$B95)/8760</f>
        <v>8.196249702811996E-2</v>
      </c>
      <c r="AB95" s="211">
        <f>SUMIFS('Key Inputs_BY Techs'!V:V,'Key Inputs_BY Techs'!$A:$A,'RSD_BY Techs'!$L95,'Key Inputs_BY Techs'!$C:$C,'RSD_BY Techs'!$B95)/8760</f>
        <v>9.0560920532517131E-2</v>
      </c>
      <c r="AC95" s="211">
        <f>SUMIFS('Key Inputs_BY Techs'!W:W,'Key Inputs_BY Techs'!$A:$A,'RSD_BY Techs'!$L95,'Key Inputs_BY Techs'!$C:$C,'RSD_BY Techs'!$B95)/8760</f>
        <v>7.7640907014416241E-2</v>
      </c>
      <c r="AD95" s="211">
        <f>SUMIFS('Key Inputs_BY Techs'!X:X,'Key Inputs_BY Techs'!$A:$A,'RSD_BY Techs'!$L95,'Key Inputs_BY Techs'!$C:$C,'RSD_BY Techs'!$B95)/8760</f>
        <v>6.6864645901418843E-2</v>
      </c>
      <c r="AE95" s="211">
        <f>SUMIFS('Key Inputs_BY Techs'!Y:Y,'Key Inputs_BY Techs'!$A:$A,'RSD_BY Techs'!$L95,'Key Inputs_BY Techs'!$C:$C,'RSD_BY Techs'!$B95)/8760</f>
        <v>6.6864645901418843E-2</v>
      </c>
      <c r="AF95" s="211">
        <f>SUMIFS('Key Inputs_BY Techs'!Z:Z,'Key Inputs_BY Techs'!$A:$A,'RSD_BY Techs'!$L95,'Key Inputs_BY Techs'!$C:$C,'RSD_BY Techs'!$B95)/8760</f>
        <v>4.1666666666666664E-2</v>
      </c>
      <c r="AG95" s="211">
        <f>SUMIFS('Key Inputs_BY Techs'!AA:AA,'Key Inputs_BY Techs'!$A:$A,'RSD_BY Techs'!$L95,'Key Inputs_BY Techs'!$C:$C,'RSD_BY Techs'!$B95)/8760</f>
        <v>4.1666666666666664E-2</v>
      </c>
      <c r="AH95" s="211">
        <f>SUMIFS('Key Inputs_BY Techs'!AB:AB,'Key Inputs_BY Techs'!$A:$A,'RSD_BY Techs'!$L95,'Key Inputs_BY Techs'!$C:$C,'RSD_BY Techs'!$B95)/8760</f>
        <v>5.1477189103886295E-2</v>
      </c>
      <c r="AI95" s="211">
        <f>SUMIFS('Key Inputs_BY Techs'!AC:AC,'Key Inputs_BY Techs'!$A:$A,'RSD_BY Techs'!$L95,'Key Inputs_BY Techs'!$C:$C,'RSD_BY Techs'!$B95)/8760</f>
        <v>4.1666666666666664E-2</v>
      </c>
      <c r="AJ95" s="211">
        <f>SUMIFS('Key Inputs_BY Techs'!AD:AD,'Key Inputs_BY Techs'!$A:$A,'RSD_BY Techs'!$L95,'Key Inputs_BY Techs'!$C:$C,'RSD_BY Techs'!$B95)/8760</f>
        <v>7.0781511423467725E-2</v>
      </c>
      <c r="AK95" s="211">
        <f>SUMIFS('Key Inputs_BY Techs'!AE:AE,'Key Inputs_BY Techs'!$A:$A,'RSD_BY Techs'!$L95,'Key Inputs_BY Techs'!$C:$C,'RSD_BY Techs'!$B95)/8760</f>
        <v>4.1666666666666664E-2</v>
      </c>
      <c r="AL95" s="211">
        <f>SUMIFS('Key Inputs_BY Techs'!AF:AF,'Key Inputs_BY Techs'!$A:$A,'RSD_BY Techs'!$L95,'Key Inputs_BY Techs'!$C:$C,'RSD_BY Techs'!$B95)/8760</f>
        <v>4.8525528371344114E-2</v>
      </c>
      <c r="AM95" s="211">
        <f>SUMIFS('Key Inputs_BY Techs'!AG:AG,'Key Inputs_BY Techs'!$A:$A,'RSD_BY Techs'!$L95,'Key Inputs_BY Techs'!$C:$C,'RSD_BY Techs'!$B95)/8760</f>
        <v>4.1991055814934002E-2</v>
      </c>
      <c r="AN95" s="211">
        <f>SUMIFS('Key Inputs_BY Techs'!AH:AH,'Key Inputs_BY Techs'!$A:$A,'RSD_BY Techs'!$L95,'Key Inputs_BY Techs'!$C:$C,'RSD_BY Techs'!$B95)/8760</f>
        <v>0.10573317089500424</v>
      </c>
      <c r="AO95" s="211">
        <f>SUMIFS('Key Inputs_BY Techs'!AI:AI,'Key Inputs_BY Techs'!$A:$A,'RSD_BY Techs'!$L95,'Key Inputs_BY Techs'!$C:$C,'RSD_BY Techs'!$B95)/8760</f>
        <v>8.0437275857606058E-2</v>
      </c>
      <c r="AP95" s="211">
        <f>SUMIFS('Key Inputs_BY Techs'!AJ:AJ,'Key Inputs_BY Techs'!$A:$A,'RSD_BY Techs'!$L95,'Key Inputs_BY Techs'!$C:$C,'RSD_BY Techs'!$B95)/8760</f>
        <v>6.6692438947101099E-2</v>
      </c>
    </row>
    <row r="96" spans="1:42" x14ac:dyDescent="0.25">
      <c r="A96" s="254" t="s">
        <v>122</v>
      </c>
      <c r="B96" s="254" t="s">
        <v>468</v>
      </c>
      <c r="C96" s="254" t="str">
        <f>Legend!$A$71&amp;", "&amp;Legend!$A$63&amp;", "&amp;Legend!$A$72</f>
        <v>Natural gas, Biogas, Manufactured gas</v>
      </c>
      <c r="D96" s="254" t="str">
        <f>Legend!$B$71&amp;", "&amp;Legend!$B$63&amp;", "&amp;Legend!$B$72</f>
        <v>RSDGAS, RSDBGS, RSDGAM</v>
      </c>
      <c r="E96" s="254" t="str">
        <f t="shared" si="27"/>
        <v>RSDGAS</v>
      </c>
      <c r="F96" s="254"/>
      <c r="G96" s="254"/>
      <c r="I96" s="211" t="str">
        <f t="shared" si="28"/>
        <v>R-THL-BLR_GAS00</v>
      </c>
      <c r="J96" s="211" t="str">
        <f t="shared" si="28"/>
        <v>RSD Thermal uses technology: Natural gas, Biogas, Manufactured gas - Existing</v>
      </c>
      <c r="K96" s="211"/>
      <c r="L96" s="211" t="s">
        <v>191</v>
      </c>
      <c r="M96" s="211" t="s">
        <v>174</v>
      </c>
      <c r="N96" s="211"/>
      <c r="O96" s="211">
        <f>SUMIFS('Key Inputs_BY Techs'!I:I,'Key Inputs_BY Techs'!$A:$A,'RSD_BY Techs'!$L96,'Key Inputs_BY Techs'!$C:$C,'RSD_BY Techs'!$B96)/8760</f>
        <v>4.5322895632501033E-2</v>
      </c>
      <c r="P96" s="211">
        <f>SUMIFS('Key Inputs_BY Techs'!J:J,'Key Inputs_BY Techs'!$A:$A,'RSD_BY Techs'!$L96,'Key Inputs_BY Techs'!$C:$C,'RSD_BY Techs'!$B96)/8760</f>
        <v>4.5047579105877276E-2</v>
      </c>
      <c r="Q96" s="211">
        <f>SUMIFS('Key Inputs_BY Techs'!K:K,'Key Inputs_BY Techs'!$A:$A,'RSD_BY Techs'!$L96,'Key Inputs_BY Techs'!$C:$C,'RSD_BY Techs'!$B96)/8760</f>
        <v>4.1991055814934002E-2</v>
      </c>
      <c r="R96" s="211">
        <f>SUMIFS('Key Inputs_BY Techs'!L:L,'Key Inputs_BY Techs'!$A:$A,'RSD_BY Techs'!$L96,'Key Inputs_BY Techs'!$C:$C,'RSD_BY Techs'!$B96)/8760</f>
        <v>4.1685785869904429E-2</v>
      </c>
      <c r="S96" s="211">
        <f>SUMIFS('Key Inputs_BY Techs'!M:M,'Key Inputs_BY Techs'!$A:$A,'RSD_BY Techs'!$L96,'Key Inputs_BY Techs'!$C:$C,'RSD_BY Techs'!$B96)/8760</f>
        <v>5.0682342606484215E-2</v>
      </c>
      <c r="T96" s="211">
        <f>SUMIFS('Key Inputs_BY Techs'!N:N,'Key Inputs_BY Techs'!$A:$A,'RSD_BY Techs'!$L96,'Key Inputs_BY Techs'!$C:$C,'RSD_BY Techs'!$B96)/8760</f>
        <v>5.807085407630011E-2</v>
      </c>
      <c r="U96" s="211">
        <f>SUMIFS('Key Inputs_BY Techs'!O:O,'Key Inputs_BY Techs'!$A:$A,'RSD_BY Techs'!$L96,'Key Inputs_BY Techs'!$C:$C,'RSD_BY Techs'!$B96)/8760</f>
        <v>4.1687877260716787E-2</v>
      </c>
      <c r="V96" s="211">
        <f>SUMIFS('Key Inputs_BY Techs'!P:P,'Key Inputs_BY Techs'!$A:$A,'RSD_BY Techs'!$L96,'Key Inputs_BY Techs'!$C:$C,'RSD_BY Techs'!$B96)/8760</f>
        <v>4.2884552320900708E-2</v>
      </c>
      <c r="W96" s="211">
        <f>SUMIFS('Key Inputs_BY Techs'!Q:Q,'Key Inputs_BY Techs'!$A:$A,'RSD_BY Techs'!$L96,'Key Inputs_BY Techs'!$C:$C,'RSD_BY Techs'!$B96)/8760</f>
        <v>4.1666666666666664E-2</v>
      </c>
      <c r="X96" s="211">
        <f>SUMIFS('Key Inputs_BY Techs'!R:R,'Key Inputs_BY Techs'!$A:$A,'RSD_BY Techs'!$L96,'Key Inputs_BY Techs'!$C:$C,'RSD_BY Techs'!$B96)/8760</f>
        <v>0.12925469986413698</v>
      </c>
      <c r="Y96" s="211">
        <f>SUMIFS('Key Inputs_BY Techs'!S:S,'Key Inputs_BY Techs'!$A:$A,'RSD_BY Techs'!$L96,'Key Inputs_BY Techs'!$C:$C,'RSD_BY Techs'!$B96)/8760</f>
        <v>5.6018402502504346E-2</v>
      </c>
      <c r="Z96" s="211">
        <f>SUMIFS('Key Inputs_BY Techs'!T:T,'Key Inputs_BY Techs'!$A:$A,'RSD_BY Techs'!$L96,'Key Inputs_BY Techs'!$C:$C,'RSD_BY Techs'!$B96)/8760</f>
        <v>8.0456212261297039E-2</v>
      </c>
      <c r="AA96" s="211">
        <f>SUMIFS('Key Inputs_BY Techs'!U:U,'Key Inputs_BY Techs'!$A:$A,'RSD_BY Techs'!$L96,'Key Inputs_BY Techs'!$C:$C,'RSD_BY Techs'!$B96)/8760</f>
        <v>8.196249702811996E-2</v>
      </c>
      <c r="AB96" s="211">
        <f>SUMIFS('Key Inputs_BY Techs'!V:V,'Key Inputs_BY Techs'!$A:$A,'RSD_BY Techs'!$L96,'Key Inputs_BY Techs'!$C:$C,'RSD_BY Techs'!$B96)/8760</f>
        <v>9.0560920532517131E-2</v>
      </c>
      <c r="AC96" s="211">
        <f>SUMIFS('Key Inputs_BY Techs'!W:W,'Key Inputs_BY Techs'!$A:$A,'RSD_BY Techs'!$L96,'Key Inputs_BY Techs'!$C:$C,'RSD_BY Techs'!$B96)/8760</f>
        <v>7.7640907014416241E-2</v>
      </c>
      <c r="AD96" s="211">
        <f>SUMIFS('Key Inputs_BY Techs'!X:X,'Key Inputs_BY Techs'!$A:$A,'RSD_BY Techs'!$L96,'Key Inputs_BY Techs'!$C:$C,'RSD_BY Techs'!$B96)/8760</f>
        <v>6.6864645901418843E-2</v>
      </c>
      <c r="AE96" s="211">
        <f>SUMIFS('Key Inputs_BY Techs'!Y:Y,'Key Inputs_BY Techs'!$A:$A,'RSD_BY Techs'!$L96,'Key Inputs_BY Techs'!$C:$C,'RSD_BY Techs'!$B96)/8760</f>
        <v>6.6864645901418843E-2</v>
      </c>
      <c r="AF96" s="211">
        <f>SUMIFS('Key Inputs_BY Techs'!Z:Z,'Key Inputs_BY Techs'!$A:$A,'RSD_BY Techs'!$L96,'Key Inputs_BY Techs'!$C:$C,'RSD_BY Techs'!$B96)/8760</f>
        <v>4.1666666666666664E-2</v>
      </c>
      <c r="AG96" s="211">
        <f>SUMIFS('Key Inputs_BY Techs'!AA:AA,'Key Inputs_BY Techs'!$A:$A,'RSD_BY Techs'!$L96,'Key Inputs_BY Techs'!$C:$C,'RSD_BY Techs'!$B96)/8760</f>
        <v>4.1666666666666664E-2</v>
      </c>
      <c r="AH96" s="211">
        <f>SUMIFS('Key Inputs_BY Techs'!AB:AB,'Key Inputs_BY Techs'!$A:$A,'RSD_BY Techs'!$L96,'Key Inputs_BY Techs'!$C:$C,'RSD_BY Techs'!$B96)/8760</f>
        <v>5.1477189103886295E-2</v>
      </c>
      <c r="AI96" s="211">
        <f>SUMIFS('Key Inputs_BY Techs'!AC:AC,'Key Inputs_BY Techs'!$A:$A,'RSD_BY Techs'!$L96,'Key Inputs_BY Techs'!$C:$C,'RSD_BY Techs'!$B96)/8760</f>
        <v>4.1666666666666664E-2</v>
      </c>
      <c r="AJ96" s="211">
        <f>SUMIFS('Key Inputs_BY Techs'!AD:AD,'Key Inputs_BY Techs'!$A:$A,'RSD_BY Techs'!$L96,'Key Inputs_BY Techs'!$C:$C,'RSD_BY Techs'!$B96)/8760</f>
        <v>7.0781511423467725E-2</v>
      </c>
      <c r="AK96" s="211">
        <f>SUMIFS('Key Inputs_BY Techs'!AE:AE,'Key Inputs_BY Techs'!$A:$A,'RSD_BY Techs'!$L96,'Key Inputs_BY Techs'!$C:$C,'RSD_BY Techs'!$B96)/8760</f>
        <v>4.1666666666666664E-2</v>
      </c>
      <c r="AL96" s="211">
        <f>SUMIFS('Key Inputs_BY Techs'!AF:AF,'Key Inputs_BY Techs'!$A:$A,'RSD_BY Techs'!$L96,'Key Inputs_BY Techs'!$C:$C,'RSD_BY Techs'!$B96)/8760</f>
        <v>4.8525528371344114E-2</v>
      </c>
      <c r="AM96" s="211">
        <f>SUMIFS('Key Inputs_BY Techs'!AG:AG,'Key Inputs_BY Techs'!$A:$A,'RSD_BY Techs'!$L96,'Key Inputs_BY Techs'!$C:$C,'RSD_BY Techs'!$B96)/8760</f>
        <v>4.1991055814934002E-2</v>
      </c>
      <c r="AN96" s="211">
        <f>SUMIFS('Key Inputs_BY Techs'!AH:AH,'Key Inputs_BY Techs'!$A:$A,'RSD_BY Techs'!$L96,'Key Inputs_BY Techs'!$C:$C,'RSD_BY Techs'!$B96)/8760</f>
        <v>0.10573317089500424</v>
      </c>
      <c r="AO96" s="211">
        <f>SUMIFS('Key Inputs_BY Techs'!AI:AI,'Key Inputs_BY Techs'!$A:$A,'RSD_BY Techs'!$L96,'Key Inputs_BY Techs'!$C:$C,'RSD_BY Techs'!$B96)/8760</f>
        <v>8.0437275857606058E-2</v>
      </c>
      <c r="AP96" s="211">
        <f>SUMIFS('Key Inputs_BY Techs'!AJ:AJ,'Key Inputs_BY Techs'!$A:$A,'RSD_BY Techs'!$L96,'Key Inputs_BY Techs'!$C:$C,'RSD_BY Techs'!$B96)/8760</f>
        <v>6.6692438947101099E-2</v>
      </c>
    </row>
    <row r="97" spans="1:42" x14ac:dyDescent="0.25">
      <c r="A97" s="254" t="s">
        <v>122</v>
      </c>
      <c r="B97" s="254" t="s">
        <v>468</v>
      </c>
      <c r="C97" s="254" t="str">
        <f>Legend!$A$67</f>
        <v>Geothermal</v>
      </c>
      <c r="D97" s="254" t="str">
        <f>Legend!$B$67</f>
        <v>RSDGEO</v>
      </c>
      <c r="E97" s="254" t="str">
        <f t="shared" si="27"/>
        <v>RSDGEO</v>
      </c>
      <c r="F97" s="254"/>
      <c r="G97" s="254"/>
      <c r="I97" s="211" t="str">
        <f t="shared" si="28"/>
        <v>R-THL-HEX_GEO00</v>
      </c>
      <c r="J97" s="211" t="str">
        <f t="shared" si="28"/>
        <v>RSD Thermal uses technology: Geothermal - Existing</v>
      </c>
      <c r="K97" s="211"/>
      <c r="L97" s="211" t="s">
        <v>191</v>
      </c>
      <c r="M97" s="211" t="s">
        <v>174</v>
      </c>
      <c r="N97" s="211"/>
      <c r="O97" s="211">
        <f>SUMIFS('Key Inputs_BY Techs'!I:I,'Key Inputs_BY Techs'!$A:$A,'RSD_BY Techs'!$L97,'Key Inputs_BY Techs'!$C:$C,'RSD_BY Techs'!$B97)/8760</f>
        <v>4.5322895632501033E-2</v>
      </c>
      <c r="P97" s="211">
        <f>SUMIFS('Key Inputs_BY Techs'!J:J,'Key Inputs_BY Techs'!$A:$A,'RSD_BY Techs'!$L97,'Key Inputs_BY Techs'!$C:$C,'RSD_BY Techs'!$B97)/8760</f>
        <v>4.5047579105877276E-2</v>
      </c>
      <c r="Q97" s="211">
        <f>SUMIFS('Key Inputs_BY Techs'!K:K,'Key Inputs_BY Techs'!$A:$A,'RSD_BY Techs'!$L97,'Key Inputs_BY Techs'!$C:$C,'RSD_BY Techs'!$B97)/8760</f>
        <v>4.1991055814934002E-2</v>
      </c>
      <c r="R97" s="211">
        <f>SUMIFS('Key Inputs_BY Techs'!L:L,'Key Inputs_BY Techs'!$A:$A,'RSD_BY Techs'!$L97,'Key Inputs_BY Techs'!$C:$C,'RSD_BY Techs'!$B97)/8760</f>
        <v>4.1685785869904429E-2</v>
      </c>
      <c r="S97" s="211">
        <f>SUMIFS('Key Inputs_BY Techs'!M:M,'Key Inputs_BY Techs'!$A:$A,'RSD_BY Techs'!$L97,'Key Inputs_BY Techs'!$C:$C,'RSD_BY Techs'!$B97)/8760</f>
        <v>5.0682342606484215E-2</v>
      </c>
      <c r="T97" s="211">
        <f>SUMIFS('Key Inputs_BY Techs'!N:N,'Key Inputs_BY Techs'!$A:$A,'RSD_BY Techs'!$L97,'Key Inputs_BY Techs'!$C:$C,'RSD_BY Techs'!$B97)/8760</f>
        <v>5.807085407630011E-2</v>
      </c>
      <c r="U97" s="211">
        <f>SUMIFS('Key Inputs_BY Techs'!O:O,'Key Inputs_BY Techs'!$A:$A,'RSD_BY Techs'!$L97,'Key Inputs_BY Techs'!$C:$C,'RSD_BY Techs'!$B97)/8760</f>
        <v>4.1687877260716787E-2</v>
      </c>
      <c r="V97" s="211">
        <f>SUMIFS('Key Inputs_BY Techs'!P:P,'Key Inputs_BY Techs'!$A:$A,'RSD_BY Techs'!$L97,'Key Inputs_BY Techs'!$C:$C,'RSD_BY Techs'!$B97)/8760</f>
        <v>4.2884552320900708E-2</v>
      </c>
      <c r="W97" s="211">
        <f>SUMIFS('Key Inputs_BY Techs'!Q:Q,'Key Inputs_BY Techs'!$A:$A,'RSD_BY Techs'!$L97,'Key Inputs_BY Techs'!$C:$C,'RSD_BY Techs'!$B97)/8760</f>
        <v>4.1666666666666664E-2</v>
      </c>
      <c r="X97" s="211">
        <f>SUMIFS('Key Inputs_BY Techs'!R:R,'Key Inputs_BY Techs'!$A:$A,'RSD_BY Techs'!$L97,'Key Inputs_BY Techs'!$C:$C,'RSD_BY Techs'!$B97)/8760</f>
        <v>0.12925469986413698</v>
      </c>
      <c r="Y97" s="211">
        <f>SUMIFS('Key Inputs_BY Techs'!S:S,'Key Inputs_BY Techs'!$A:$A,'RSD_BY Techs'!$L97,'Key Inputs_BY Techs'!$C:$C,'RSD_BY Techs'!$B97)/8760</f>
        <v>5.6018402502504346E-2</v>
      </c>
      <c r="Z97" s="211">
        <f>SUMIFS('Key Inputs_BY Techs'!T:T,'Key Inputs_BY Techs'!$A:$A,'RSD_BY Techs'!$L97,'Key Inputs_BY Techs'!$C:$C,'RSD_BY Techs'!$B97)/8760</f>
        <v>8.0456212261297039E-2</v>
      </c>
      <c r="AA97" s="211">
        <f>SUMIFS('Key Inputs_BY Techs'!U:U,'Key Inputs_BY Techs'!$A:$A,'RSD_BY Techs'!$L97,'Key Inputs_BY Techs'!$C:$C,'RSD_BY Techs'!$B97)/8760</f>
        <v>8.196249702811996E-2</v>
      </c>
      <c r="AB97" s="211">
        <f>SUMIFS('Key Inputs_BY Techs'!V:V,'Key Inputs_BY Techs'!$A:$A,'RSD_BY Techs'!$L97,'Key Inputs_BY Techs'!$C:$C,'RSD_BY Techs'!$B97)/8760</f>
        <v>9.0560920532517131E-2</v>
      </c>
      <c r="AC97" s="211">
        <f>SUMIFS('Key Inputs_BY Techs'!W:W,'Key Inputs_BY Techs'!$A:$A,'RSD_BY Techs'!$L97,'Key Inputs_BY Techs'!$C:$C,'RSD_BY Techs'!$B97)/8760</f>
        <v>7.7640907014416241E-2</v>
      </c>
      <c r="AD97" s="211">
        <f>SUMIFS('Key Inputs_BY Techs'!X:X,'Key Inputs_BY Techs'!$A:$A,'RSD_BY Techs'!$L97,'Key Inputs_BY Techs'!$C:$C,'RSD_BY Techs'!$B97)/8760</f>
        <v>6.6864645901418843E-2</v>
      </c>
      <c r="AE97" s="211">
        <f>SUMIFS('Key Inputs_BY Techs'!Y:Y,'Key Inputs_BY Techs'!$A:$A,'RSD_BY Techs'!$L97,'Key Inputs_BY Techs'!$C:$C,'RSD_BY Techs'!$B97)/8760</f>
        <v>6.6864645901418843E-2</v>
      </c>
      <c r="AF97" s="211">
        <f>SUMIFS('Key Inputs_BY Techs'!Z:Z,'Key Inputs_BY Techs'!$A:$A,'RSD_BY Techs'!$L97,'Key Inputs_BY Techs'!$C:$C,'RSD_BY Techs'!$B97)/8760</f>
        <v>4.1666666666666664E-2</v>
      </c>
      <c r="AG97" s="211">
        <f>SUMIFS('Key Inputs_BY Techs'!AA:AA,'Key Inputs_BY Techs'!$A:$A,'RSD_BY Techs'!$L97,'Key Inputs_BY Techs'!$C:$C,'RSD_BY Techs'!$B97)/8760</f>
        <v>4.1666666666666664E-2</v>
      </c>
      <c r="AH97" s="211">
        <f>SUMIFS('Key Inputs_BY Techs'!AB:AB,'Key Inputs_BY Techs'!$A:$A,'RSD_BY Techs'!$L97,'Key Inputs_BY Techs'!$C:$C,'RSD_BY Techs'!$B97)/8760</f>
        <v>5.1477189103886295E-2</v>
      </c>
      <c r="AI97" s="211">
        <f>SUMIFS('Key Inputs_BY Techs'!AC:AC,'Key Inputs_BY Techs'!$A:$A,'RSD_BY Techs'!$L97,'Key Inputs_BY Techs'!$C:$C,'RSD_BY Techs'!$B97)/8760</f>
        <v>4.1666666666666664E-2</v>
      </c>
      <c r="AJ97" s="211">
        <f>SUMIFS('Key Inputs_BY Techs'!AD:AD,'Key Inputs_BY Techs'!$A:$A,'RSD_BY Techs'!$L97,'Key Inputs_BY Techs'!$C:$C,'RSD_BY Techs'!$B97)/8760</f>
        <v>7.0781511423467725E-2</v>
      </c>
      <c r="AK97" s="211">
        <f>SUMIFS('Key Inputs_BY Techs'!AE:AE,'Key Inputs_BY Techs'!$A:$A,'RSD_BY Techs'!$L97,'Key Inputs_BY Techs'!$C:$C,'RSD_BY Techs'!$B97)/8760</f>
        <v>4.1666666666666664E-2</v>
      </c>
      <c r="AL97" s="211">
        <f>SUMIFS('Key Inputs_BY Techs'!AF:AF,'Key Inputs_BY Techs'!$A:$A,'RSD_BY Techs'!$L97,'Key Inputs_BY Techs'!$C:$C,'RSD_BY Techs'!$B97)/8760</f>
        <v>4.8525528371344114E-2</v>
      </c>
      <c r="AM97" s="211">
        <f>SUMIFS('Key Inputs_BY Techs'!AG:AG,'Key Inputs_BY Techs'!$A:$A,'RSD_BY Techs'!$L97,'Key Inputs_BY Techs'!$C:$C,'RSD_BY Techs'!$B97)/8760</f>
        <v>4.1991055814934002E-2</v>
      </c>
      <c r="AN97" s="211">
        <f>SUMIFS('Key Inputs_BY Techs'!AH:AH,'Key Inputs_BY Techs'!$A:$A,'RSD_BY Techs'!$L97,'Key Inputs_BY Techs'!$C:$C,'RSD_BY Techs'!$B97)/8760</f>
        <v>0.10573317089500424</v>
      </c>
      <c r="AO97" s="211">
        <f>SUMIFS('Key Inputs_BY Techs'!AI:AI,'Key Inputs_BY Techs'!$A:$A,'RSD_BY Techs'!$L97,'Key Inputs_BY Techs'!$C:$C,'RSD_BY Techs'!$B97)/8760</f>
        <v>8.0437275857606058E-2</v>
      </c>
      <c r="AP97" s="211">
        <f>SUMIFS('Key Inputs_BY Techs'!AJ:AJ,'Key Inputs_BY Techs'!$A:$A,'RSD_BY Techs'!$L97,'Key Inputs_BY Techs'!$C:$C,'RSD_BY Techs'!$B97)/8760</f>
        <v>6.6692438947101099E-2</v>
      </c>
    </row>
    <row r="98" spans="1:42" x14ac:dyDescent="0.25">
      <c r="A98" s="254" t="s">
        <v>122</v>
      </c>
      <c r="B98" s="254" t="s">
        <v>468</v>
      </c>
      <c r="C98" s="254" t="str">
        <f>Legend!$A$68</f>
        <v>Heat</v>
      </c>
      <c r="D98" s="254" t="str">
        <f>Legend!$B$68</f>
        <v>RSDHET</v>
      </c>
      <c r="E98" s="254" t="str">
        <f t="shared" si="27"/>
        <v>RSDHET</v>
      </c>
      <c r="F98" s="254"/>
      <c r="G98" s="254"/>
      <c r="I98" s="211" t="str">
        <f t="shared" si="28"/>
        <v>R-THL-HEX_HET00</v>
      </c>
      <c r="J98" s="211" t="str">
        <f t="shared" si="28"/>
        <v>RSD Thermal uses technology: Heat - Existing</v>
      </c>
      <c r="K98" s="211"/>
      <c r="L98" s="211" t="s">
        <v>191</v>
      </c>
      <c r="M98" s="211" t="s">
        <v>174</v>
      </c>
      <c r="N98" s="211"/>
      <c r="O98" s="211">
        <f>SUMIFS('Key Inputs_BY Techs'!I:I,'Key Inputs_BY Techs'!$A:$A,'RSD_BY Techs'!$L98,'Key Inputs_BY Techs'!$C:$C,'RSD_BY Techs'!$B98)/8760</f>
        <v>4.5322895632501033E-2</v>
      </c>
      <c r="P98" s="211">
        <f>SUMIFS('Key Inputs_BY Techs'!J:J,'Key Inputs_BY Techs'!$A:$A,'RSD_BY Techs'!$L98,'Key Inputs_BY Techs'!$C:$C,'RSD_BY Techs'!$B98)/8760</f>
        <v>4.5047579105877276E-2</v>
      </c>
      <c r="Q98" s="211">
        <f>SUMIFS('Key Inputs_BY Techs'!K:K,'Key Inputs_BY Techs'!$A:$A,'RSD_BY Techs'!$L98,'Key Inputs_BY Techs'!$C:$C,'RSD_BY Techs'!$B98)/8760</f>
        <v>4.1991055814934002E-2</v>
      </c>
      <c r="R98" s="211">
        <f>SUMIFS('Key Inputs_BY Techs'!L:L,'Key Inputs_BY Techs'!$A:$A,'RSD_BY Techs'!$L98,'Key Inputs_BY Techs'!$C:$C,'RSD_BY Techs'!$B98)/8760</f>
        <v>4.1685785869904429E-2</v>
      </c>
      <c r="S98" s="211">
        <f>SUMIFS('Key Inputs_BY Techs'!M:M,'Key Inputs_BY Techs'!$A:$A,'RSD_BY Techs'!$L98,'Key Inputs_BY Techs'!$C:$C,'RSD_BY Techs'!$B98)/8760</f>
        <v>5.0682342606484215E-2</v>
      </c>
      <c r="T98" s="211">
        <f>SUMIFS('Key Inputs_BY Techs'!N:N,'Key Inputs_BY Techs'!$A:$A,'RSD_BY Techs'!$L98,'Key Inputs_BY Techs'!$C:$C,'RSD_BY Techs'!$B98)/8760</f>
        <v>5.807085407630011E-2</v>
      </c>
      <c r="U98" s="211">
        <f>SUMIFS('Key Inputs_BY Techs'!O:O,'Key Inputs_BY Techs'!$A:$A,'RSD_BY Techs'!$L98,'Key Inputs_BY Techs'!$C:$C,'RSD_BY Techs'!$B98)/8760</f>
        <v>4.1687877260716787E-2</v>
      </c>
      <c r="V98" s="211">
        <f>SUMIFS('Key Inputs_BY Techs'!P:P,'Key Inputs_BY Techs'!$A:$A,'RSD_BY Techs'!$L98,'Key Inputs_BY Techs'!$C:$C,'RSD_BY Techs'!$B98)/8760</f>
        <v>4.2884552320900708E-2</v>
      </c>
      <c r="W98" s="211">
        <f>SUMIFS('Key Inputs_BY Techs'!Q:Q,'Key Inputs_BY Techs'!$A:$A,'RSD_BY Techs'!$L98,'Key Inputs_BY Techs'!$C:$C,'RSD_BY Techs'!$B98)/8760</f>
        <v>4.1666666666666664E-2</v>
      </c>
      <c r="X98" s="211">
        <f>SUMIFS('Key Inputs_BY Techs'!R:R,'Key Inputs_BY Techs'!$A:$A,'RSD_BY Techs'!$L98,'Key Inputs_BY Techs'!$C:$C,'RSD_BY Techs'!$B98)/8760</f>
        <v>0.12925469986413698</v>
      </c>
      <c r="Y98" s="211">
        <f>SUMIFS('Key Inputs_BY Techs'!S:S,'Key Inputs_BY Techs'!$A:$A,'RSD_BY Techs'!$L98,'Key Inputs_BY Techs'!$C:$C,'RSD_BY Techs'!$B98)/8760</f>
        <v>5.6018402502504346E-2</v>
      </c>
      <c r="Z98" s="211">
        <f>SUMIFS('Key Inputs_BY Techs'!T:T,'Key Inputs_BY Techs'!$A:$A,'RSD_BY Techs'!$L98,'Key Inputs_BY Techs'!$C:$C,'RSD_BY Techs'!$B98)/8760</f>
        <v>8.0456212261297039E-2</v>
      </c>
      <c r="AA98" s="211">
        <f>SUMIFS('Key Inputs_BY Techs'!U:U,'Key Inputs_BY Techs'!$A:$A,'RSD_BY Techs'!$L98,'Key Inputs_BY Techs'!$C:$C,'RSD_BY Techs'!$B98)/8760</f>
        <v>8.196249702811996E-2</v>
      </c>
      <c r="AB98" s="211">
        <f>SUMIFS('Key Inputs_BY Techs'!V:V,'Key Inputs_BY Techs'!$A:$A,'RSD_BY Techs'!$L98,'Key Inputs_BY Techs'!$C:$C,'RSD_BY Techs'!$B98)/8760</f>
        <v>9.0560920532517131E-2</v>
      </c>
      <c r="AC98" s="211">
        <f>SUMIFS('Key Inputs_BY Techs'!W:W,'Key Inputs_BY Techs'!$A:$A,'RSD_BY Techs'!$L98,'Key Inputs_BY Techs'!$C:$C,'RSD_BY Techs'!$B98)/8760</f>
        <v>7.7640907014416241E-2</v>
      </c>
      <c r="AD98" s="211">
        <f>SUMIFS('Key Inputs_BY Techs'!X:X,'Key Inputs_BY Techs'!$A:$A,'RSD_BY Techs'!$L98,'Key Inputs_BY Techs'!$C:$C,'RSD_BY Techs'!$B98)/8760</f>
        <v>6.6864645901418843E-2</v>
      </c>
      <c r="AE98" s="211">
        <f>SUMIFS('Key Inputs_BY Techs'!Y:Y,'Key Inputs_BY Techs'!$A:$A,'RSD_BY Techs'!$L98,'Key Inputs_BY Techs'!$C:$C,'RSD_BY Techs'!$B98)/8760</f>
        <v>6.6864645901418843E-2</v>
      </c>
      <c r="AF98" s="211">
        <f>SUMIFS('Key Inputs_BY Techs'!Z:Z,'Key Inputs_BY Techs'!$A:$A,'RSD_BY Techs'!$L98,'Key Inputs_BY Techs'!$C:$C,'RSD_BY Techs'!$B98)/8760</f>
        <v>4.1666666666666664E-2</v>
      </c>
      <c r="AG98" s="211">
        <f>SUMIFS('Key Inputs_BY Techs'!AA:AA,'Key Inputs_BY Techs'!$A:$A,'RSD_BY Techs'!$L98,'Key Inputs_BY Techs'!$C:$C,'RSD_BY Techs'!$B98)/8760</f>
        <v>4.1666666666666664E-2</v>
      </c>
      <c r="AH98" s="211">
        <f>SUMIFS('Key Inputs_BY Techs'!AB:AB,'Key Inputs_BY Techs'!$A:$A,'RSD_BY Techs'!$L98,'Key Inputs_BY Techs'!$C:$C,'RSD_BY Techs'!$B98)/8760</f>
        <v>5.1477189103886295E-2</v>
      </c>
      <c r="AI98" s="211">
        <f>SUMIFS('Key Inputs_BY Techs'!AC:AC,'Key Inputs_BY Techs'!$A:$A,'RSD_BY Techs'!$L98,'Key Inputs_BY Techs'!$C:$C,'RSD_BY Techs'!$B98)/8760</f>
        <v>4.1666666666666664E-2</v>
      </c>
      <c r="AJ98" s="211">
        <f>SUMIFS('Key Inputs_BY Techs'!AD:AD,'Key Inputs_BY Techs'!$A:$A,'RSD_BY Techs'!$L98,'Key Inputs_BY Techs'!$C:$C,'RSD_BY Techs'!$B98)/8760</f>
        <v>7.0781511423467725E-2</v>
      </c>
      <c r="AK98" s="211">
        <f>SUMIFS('Key Inputs_BY Techs'!AE:AE,'Key Inputs_BY Techs'!$A:$A,'RSD_BY Techs'!$L98,'Key Inputs_BY Techs'!$C:$C,'RSD_BY Techs'!$B98)/8760</f>
        <v>4.1666666666666664E-2</v>
      </c>
      <c r="AL98" s="211">
        <f>SUMIFS('Key Inputs_BY Techs'!AF:AF,'Key Inputs_BY Techs'!$A:$A,'RSD_BY Techs'!$L98,'Key Inputs_BY Techs'!$C:$C,'RSD_BY Techs'!$B98)/8760</f>
        <v>4.8525528371344114E-2</v>
      </c>
      <c r="AM98" s="211">
        <f>SUMIFS('Key Inputs_BY Techs'!AG:AG,'Key Inputs_BY Techs'!$A:$A,'RSD_BY Techs'!$L98,'Key Inputs_BY Techs'!$C:$C,'RSD_BY Techs'!$B98)/8760</f>
        <v>4.1991055814934002E-2</v>
      </c>
      <c r="AN98" s="211">
        <f>SUMIFS('Key Inputs_BY Techs'!AH:AH,'Key Inputs_BY Techs'!$A:$A,'RSD_BY Techs'!$L98,'Key Inputs_BY Techs'!$C:$C,'RSD_BY Techs'!$B98)/8760</f>
        <v>0.10573317089500424</v>
      </c>
      <c r="AO98" s="211">
        <f>SUMIFS('Key Inputs_BY Techs'!AI:AI,'Key Inputs_BY Techs'!$A:$A,'RSD_BY Techs'!$L98,'Key Inputs_BY Techs'!$C:$C,'RSD_BY Techs'!$B98)/8760</f>
        <v>8.0437275857606058E-2</v>
      </c>
      <c r="AP98" s="211">
        <f>SUMIFS('Key Inputs_BY Techs'!AJ:AJ,'Key Inputs_BY Techs'!$A:$A,'RSD_BY Techs'!$L98,'Key Inputs_BY Techs'!$C:$C,'RSD_BY Techs'!$B98)/8760</f>
        <v>6.6692438947101099E-2</v>
      </c>
    </row>
    <row r="99" spans="1:42" x14ac:dyDescent="0.25">
      <c r="A99" s="254" t="s">
        <v>122</v>
      </c>
      <c r="B99" s="254" t="s">
        <v>468</v>
      </c>
      <c r="C99" s="254" t="str">
        <f>Legend!$A$70</f>
        <v>LPG</v>
      </c>
      <c r="D99" s="254" t="str">
        <f>Legend!$B$70</f>
        <v>RSDLPG</v>
      </c>
      <c r="E99" s="254" t="str">
        <f t="shared" si="27"/>
        <v>RSDLPG</v>
      </c>
      <c r="F99" s="254"/>
      <c r="G99" s="254"/>
      <c r="I99" s="211" t="str">
        <f t="shared" si="28"/>
        <v>R-THL-BLR_LPG00</v>
      </c>
      <c r="J99" s="211" t="str">
        <f t="shared" si="28"/>
        <v>RSD Thermal uses technology: LPG - Existing</v>
      </c>
      <c r="K99" s="211"/>
      <c r="L99" s="211" t="s">
        <v>191</v>
      </c>
      <c r="M99" s="211" t="s">
        <v>174</v>
      </c>
      <c r="N99" s="211"/>
      <c r="O99" s="211">
        <f>SUMIFS('Key Inputs_BY Techs'!I:I,'Key Inputs_BY Techs'!$A:$A,'RSD_BY Techs'!$L99,'Key Inputs_BY Techs'!$C:$C,'RSD_BY Techs'!$B99)/8760</f>
        <v>4.5322895632501033E-2</v>
      </c>
      <c r="P99" s="211">
        <f>SUMIFS('Key Inputs_BY Techs'!J:J,'Key Inputs_BY Techs'!$A:$A,'RSD_BY Techs'!$L99,'Key Inputs_BY Techs'!$C:$C,'RSD_BY Techs'!$B99)/8760</f>
        <v>4.5047579105877276E-2</v>
      </c>
      <c r="Q99" s="211">
        <f>SUMIFS('Key Inputs_BY Techs'!K:K,'Key Inputs_BY Techs'!$A:$A,'RSD_BY Techs'!$L99,'Key Inputs_BY Techs'!$C:$C,'RSD_BY Techs'!$B99)/8760</f>
        <v>4.1991055814934002E-2</v>
      </c>
      <c r="R99" s="211">
        <f>SUMIFS('Key Inputs_BY Techs'!L:L,'Key Inputs_BY Techs'!$A:$A,'RSD_BY Techs'!$L99,'Key Inputs_BY Techs'!$C:$C,'RSD_BY Techs'!$B99)/8760</f>
        <v>4.1685785869904429E-2</v>
      </c>
      <c r="S99" s="211">
        <f>SUMIFS('Key Inputs_BY Techs'!M:M,'Key Inputs_BY Techs'!$A:$A,'RSD_BY Techs'!$L99,'Key Inputs_BY Techs'!$C:$C,'RSD_BY Techs'!$B99)/8760</f>
        <v>5.0682342606484215E-2</v>
      </c>
      <c r="T99" s="211">
        <f>SUMIFS('Key Inputs_BY Techs'!N:N,'Key Inputs_BY Techs'!$A:$A,'RSD_BY Techs'!$L99,'Key Inputs_BY Techs'!$C:$C,'RSD_BY Techs'!$B99)/8760</f>
        <v>5.807085407630011E-2</v>
      </c>
      <c r="U99" s="211">
        <f>SUMIFS('Key Inputs_BY Techs'!O:O,'Key Inputs_BY Techs'!$A:$A,'RSD_BY Techs'!$L99,'Key Inputs_BY Techs'!$C:$C,'RSD_BY Techs'!$B99)/8760</f>
        <v>4.1687877260716787E-2</v>
      </c>
      <c r="V99" s="211">
        <f>SUMIFS('Key Inputs_BY Techs'!P:P,'Key Inputs_BY Techs'!$A:$A,'RSD_BY Techs'!$L99,'Key Inputs_BY Techs'!$C:$C,'RSD_BY Techs'!$B99)/8760</f>
        <v>4.2884552320900708E-2</v>
      </c>
      <c r="W99" s="211">
        <f>SUMIFS('Key Inputs_BY Techs'!Q:Q,'Key Inputs_BY Techs'!$A:$A,'RSD_BY Techs'!$L99,'Key Inputs_BY Techs'!$C:$C,'RSD_BY Techs'!$B99)/8760</f>
        <v>4.1666666666666664E-2</v>
      </c>
      <c r="X99" s="211">
        <f>SUMIFS('Key Inputs_BY Techs'!R:R,'Key Inputs_BY Techs'!$A:$A,'RSD_BY Techs'!$L99,'Key Inputs_BY Techs'!$C:$C,'RSD_BY Techs'!$B99)/8760</f>
        <v>0.12925469986413698</v>
      </c>
      <c r="Y99" s="211">
        <f>SUMIFS('Key Inputs_BY Techs'!S:S,'Key Inputs_BY Techs'!$A:$A,'RSD_BY Techs'!$L99,'Key Inputs_BY Techs'!$C:$C,'RSD_BY Techs'!$B99)/8760</f>
        <v>5.6018402502504346E-2</v>
      </c>
      <c r="Z99" s="211">
        <f>SUMIFS('Key Inputs_BY Techs'!T:T,'Key Inputs_BY Techs'!$A:$A,'RSD_BY Techs'!$L99,'Key Inputs_BY Techs'!$C:$C,'RSD_BY Techs'!$B99)/8760</f>
        <v>8.0456212261297039E-2</v>
      </c>
      <c r="AA99" s="211">
        <f>SUMIFS('Key Inputs_BY Techs'!U:U,'Key Inputs_BY Techs'!$A:$A,'RSD_BY Techs'!$L99,'Key Inputs_BY Techs'!$C:$C,'RSD_BY Techs'!$B99)/8760</f>
        <v>8.196249702811996E-2</v>
      </c>
      <c r="AB99" s="211">
        <f>SUMIFS('Key Inputs_BY Techs'!V:V,'Key Inputs_BY Techs'!$A:$A,'RSD_BY Techs'!$L99,'Key Inputs_BY Techs'!$C:$C,'RSD_BY Techs'!$B99)/8760</f>
        <v>9.0560920532517131E-2</v>
      </c>
      <c r="AC99" s="211">
        <f>SUMIFS('Key Inputs_BY Techs'!W:W,'Key Inputs_BY Techs'!$A:$A,'RSD_BY Techs'!$L99,'Key Inputs_BY Techs'!$C:$C,'RSD_BY Techs'!$B99)/8760</f>
        <v>7.7640907014416241E-2</v>
      </c>
      <c r="AD99" s="211">
        <f>SUMIFS('Key Inputs_BY Techs'!X:X,'Key Inputs_BY Techs'!$A:$A,'RSD_BY Techs'!$L99,'Key Inputs_BY Techs'!$C:$C,'RSD_BY Techs'!$B99)/8760</f>
        <v>6.6864645901418843E-2</v>
      </c>
      <c r="AE99" s="211">
        <f>SUMIFS('Key Inputs_BY Techs'!Y:Y,'Key Inputs_BY Techs'!$A:$A,'RSD_BY Techs'!$L99,'Key Inputs_BY Techs'!$C:$C,'RSD_BY Techs'!$B99)/8760</f>
        <v>6.6864645901418843E-2</v>
      </c>
      <c r="AF99" s="211">
        <f>SUMIFS('Key Inputs_BY Techs'!Z:Z,'Key Inputs_BY Techs'!$A:$A,'RSD_BY Techs'!$L99,'Key Inputs_BY Techs'!$C:$C,'RSD_BY Techs'!$B99)/8760</f>
        <v>4.1666666666666664E-2</v>
      </c>
      <c r="AG99" s="211">
        <f>SUMIFS('Key Inputs_BY Techs'!AA:AA,'Key Inputs_BY Techs'!$A:$A,'RSD_BY Techs'!$L99,'Key Inputs_BY Techs'!$C:$C,'RSD_BY Techs'!$B99)/8760</f>
        <v>4.1666666666666664E-2</v>
      </c>
      <c r="AH99" s="211">
        <f>SUMIFS('Key Inputs_BY Techs'!AB:AB,'Key Inputs_BY Techs'!$A:$A,'RSD_BY Techs'!$L99,'Key Inputs_BY Techs'!$C:$C,'RSD_BY Techs'!$B99)/8760</f>
        <v>5.1477189103886295E-2</v>
      </c>
      <c r="AI99" s="211">
        <f>SUMIFS('Key Inputs_BY Techs'!AC:AC,'Key Inputs_BY Techs'!$A:$A,'RSD_BY Techs'!$L99,'Key Inputs_BY Techs'!$C:$C,'RSD_BY Techs'!$B99)/8760</f>
        <v>4.1666666666666664E-2</v>
      </c>
      <c r="AJ99" s="211">
        <f>SUMIFS('Key Inputs_BY Techs'!AD:AD,'Key Inputs_BY Techs'!$A:$A,'RSD_BY Techs'!$L99,'Key Inputs_BY Techs'!$C:$C,'RSD_BY Techs'!$B99)/8760</f>
        <v>7.0781511423467725E-2</v>
      </c>
      <c r="AK99" s="211">
        <f>SUMIFS('Key Inputs_BY Techs'!AE:AE,'Key Inputs_BY Techs'!$A:$A,'RSD_BY Techs'!$L99,'Key Inputs_BY Techs'!$C:$C,'RSD_BY Techs'!$B99)/8760</f>
        <v>4.1666666666666664E-2</v>
      </c>
      <c r="AL99" s="211">
        <f>SUMIFS('Key Inputs_BY Techs'!AF:AF,'Key Inputs_BY Techs'!$A:$A,'RSD_BY Techs'!$L99,'Key Inputs_BY Techs'!$C:$C,'RSD_BY Techs'!$B99)/8760</f>
        <v>4.8525528371344114E-2</v>
      </c>
      <c r="AM99" s="211">
        <f>SUMIFS('Key Inputs_BY Techs'!AG:AG,'Key Inputs_BY Techs'!$A:$A,'RSD_BY Techs'!$L99,'Key Inputs_BY Techs'!$C:$C,'RSD_BY Techs'!$B99)/8760</f>
        <v>4.1991055814934002E-2</v>
      </c>
      <c r="AN99" s="211">
        <f>SUMIFS('Key Inputs_BY Techs'!AH:AH,'Key Inputs_BY Techs'!$A:$A,'RSD_BY Techs'!$L99,'Key Inputs_BY Techs'!$C:$C,'RSD_BY Techs'!$B99)/8760</f>
        <v>0.10573317089500424</v>
      </c>
      <c r="AO99" s="211">
        <f>SUMIFS('Key Inputs_BY Techs'!AI:AI,'Key Inputs_BY Techs'!$A:$A,'RSD_BY Techs'!$L99,'Key Inputs_BY Techs'!$C:$C,'RSD_BY Techs'!$B99)/8760</f>
        <v>8.0437275857606058E-2</v>
      </c>
      <c r="AP99" s="211">
        <f>SUMIFS('Key Inputs_BY Techs'!AJ:AJ,'Key Inputs_BY Techs'!$A:$A,'RSD_BY Techs'!$L99,'Key Inputs_BY Techs'!$C:$C,'RSD_BY Techs'!$B99)/8760</f>
        <v>6.6692438947101099E-2</v>
      </c>
    </row>
    <row r="100" spans="1:42" x14ac:dyDescent="0.25">
      <c r="A100" s="254" t="s">
        <v>122</v>
      </c>
      <c r="B100" s="254" t="s">
        <v>468</v>
      </c>
      <c r="C100" s="254" t="str">
        <f>Legend!$A$73&amp;", "&amp;Legend!$A$69</f>
        <v>Oil, Liquid biofuels</v>
      </c>
      <c r="D100" s="254" t="str">
        <f>Legend!$B$73&amp;", "&amp;Legend!$B$69</f>
        <v>RSDOIL, RSDBLQ</v>
      </c>
      <c r="E100" s="254" t="str">
        <f t="shared" si="27"/>
        <v>RSDOIL</v>
      </c>
      <c r="F100" s="254"/>
      <c r="G100" s="254"/>
      <c r="I100" s="211" t="str">
        <f t="shared" si="28"/>
        <v>R-THL-BLR_OIL00</v>
      </c>
      <c r="J100" s="211" t="str">
        <f t="shared" si="28"/>
        <v>RSD Thermal uses technology: Oil, Liquid biofuels - Existing</v>
      </c>
      <c r="K100" s="211"/>
      <c r="L100" s="211" t="s">
        <v>191</v>
      </c>
      <c r="M100" s="211" t="s">
        <v>174</v>
      </c>
      <c r="N100" s="211"/>
      <c r="O100" s="211">
        <f>SUMIFS('Key Inputs_BY Techs'!I:I,'Key Inputs_BY Techs'!$A:$A,'RSD_BY Techs'!$L100,'Key Inputs_BY Techs'!$C:$C,'RSD_BY Techs'!$B100)/8760</f>
        <v>4.5322895632501033E-2</v>
      </c>
      <c r="P100" s="211">
        <f>SUMIFS('Key Inputs_BY Techs'!J:J,'Key Inputs_BY Techs'!$A:$A,'RSD_BY Techs'!$L100,'Key Inputs_BY Techs'!$C:$C,'RSD_BY Techs'!$B100)/8760</f>
        <v>4.5047579105877276E-2</v>
      </c>
      <c r="Q100" s="211">
        <f>SUMIFS('Key Inputs_BY Techs'!K:K,'Key Inputs_BY Techs'!$A:$A,'RSD_BY Techs'!$L100,'Key Inputs_BY Techs'!$C:$C,'RSD_BY Techs'!$B100)/8760</f>
        <v>4.1991055814934002E-2</v>
      </c>
      <c r="R100" s="211">
        <f>SUMIFS('Key Inputs_BY Techs'!L:L,'Key Inputs_BY Techs'!$A:$A,'RSD_BY Techs'!$L100,'Key Inputs_BY Techs'!$C:$C,'RSD_BY Techs'!$B100)/8760</f>
        <v>4.1685785869904429E-2</v>
      </c>
      <c r="S100" s="211">
        <f>SUMIFS('Key Inputs_BY Techs'!M:M,'Key Inputs_BY Techs'!$A:$A,'RSD_BY Techs'!$L100,'Key Inputs_BY Techs'!$C:$C,'RSD_BY Techs'!$B100)/8760</f>
        <v>5.0682342606484215E-2</v>
      </c>
      <c r="T100" s="211">
        <f>SUMIFS('Key Inputs_BY Techs'!N:N,'Key Inputs_BY Techs'!$A:$A,'RSD_BY Techs'!$L100,'Key Inputs_BY Techs'!$C:$C,'RSD_BY Techs'!$B100)/8760</f>
        <v>5.807085407630011E-2</v>
      </c>
      <c r="U100" s="211">
        <f>SUMIFS('Key Inputs_BY Techs'!O:O,'Key Inputs_BY Techs'!$A:$A,'RSD_BY Techs'!$L100,'Key Inputs_BY Techs'!$C:$C,'RSD_BY Techs'!$B100)/8760</f>
        <v>4.1687877260716787E-2</v>
      </c>
      <c r="V100" s="211">
        <f>SUMIFS('Key Inputs_BY Techs'!P:P,'Key Inputs_BY Techs'!$A:$A,'RSD_BY Techs'!$L100,'Key Inputs_BY Techs'!$C:$C,'RSD_BY Techs'!$B100)/8760</f>
        <v>4.2884552320900708E-2</v>
      </c>
      <c r="W100" s="211">
        <f>SUMIFS('Key Inputs_BY Techs'!Q:Q,'Key Inputs_BY Techs'!$A:$A,'RSD_BY Techs'!$L100,'Key Inputs_BY Techs'!$C:$C,'RSD_BY Techs'!$B100)/8760</f>
        <v>4.1666666666666664E-2</v>
      </c>
      <c r="X100" s="211">
        <f>SUMIFS('Key Inputs_BY Techs'!R:R,'Key Inputs_BY Techs'!$A:$A,'RSD_BY Techs'!$L100,'Key Inputs_BY Techs'!$C:$C,'RSD_BY Techs'!$B100)/8760</f>
        <v>0.12925469986413698</v>
      </c>
      <c r="Y100" s="211">
        <f>SUMIFS('Key Inputs_BY Techs'!S:S,'Key Inputs_BY Techs'!$A:$A,'RSD_BY Techs'!$L100,'Key Inputs_BY Techs'!$C:$C,'RSD_BY Techs'!$B100)/8760</f>
        <v>5.6018402502504346E-2</v>
      </c>
      <c r="Z100" s="211">
        <f>SUMIFS('Key Inputs_BY Techs'!T:T,'Key Inputs_BY Techs'!$A:$A,'RSD_BY Techs'!$L100,'Key Inputs_BY Techs'!$C:$C,'RSD_BY Techs'!$B100)/8760</f>
        <v>8.0456212261297039E-2</v>
      </c>
      <c r="AA100" s="211">
        <f>SUMIFS('Key Inputs_BY Techs'!U:U,'Key Inputs_BY Techs'!$A:$A,'RSD_BY Techs'!$L100,'Key Inputs_BY Techs'!$C:$C,'RSD_BY Techs'!$B100)/8760</f>
        <v>8.196249702811996E-2</v>
      </c>
      <c r="AB100" s="211">
        <f>SUMIFS('Key Inputs_BY Techs'!V:V,'Key Inputs_BY Techs'!$A:$A,'RSD_BY Techs'!$L100,'Key Inputs_BY Techs'!$C:$C,'RSD_BY Techs'!$B100)/8760</f>
        <v>9.0560920532517131E-2</v>
      </c>
      <c r="AC100" s="211">
        <f>SUMIFS('Key Inputs_BY Techs'!W:W,'Key Inputs_BY Techs'!$A:$A,'RSD_BY Techs'!$L100,'Key Inputs_BY Techs'!$C:$C,'RSD_BY Techs'!$B100)/8760</f>
        <v>7.7640907014416241E-2</v>
      </c>
      <c r="AD100" s="211">
        <f>SUMIFS('Key Inputs_BY Techs'!X:X,'Key Inputs_BY Techs'!$A:$A,'RSD_BY Techs'!$L100,'Key Inputs_BY Techs'!$C:$C,'RSD_BY Techs'!$B100)/8760</f>
        <v>6.6864645901418843E-2</v>
      </c>
      <c r="AE100" s="211">
        <f>SUMIFS('Key Inputs_BY Techs'!Y:Y,'Key Inputs_BY Techs'!$A:$A,'RSD_BY Techs'!$L100,'Key Inputs_BY Techs'!$C:$C,'RSD_BY Techs'!$B100)/8760</f>
        <v>6.6864645901418843E-2</v>
      </c>
      <c r="AF100" s="211">
        <f>SUMIFS('Key Inputs_BY Techs'!Z:Z,'Key Inputs_BY Techs'!$A:$A,'RSD_BY Techs'!$L100,'Key Inputs_BY Techs'!$C:$C,'RSD_BY Techs'!$B100)/8760</f>
        <v>4.1666666666666664E-2</v>
      </c>
      <c r="AG100" s="211">
        <f>SUMIFS('Key Inputs_BY Techs'!AA:AA,'Key Inputs_BY Techs'!$A:$A,'RSD_BY Techs'!$L100,'Key Inputs_BY Techs'!$C:$C,'RSD_BY Techs'!$B100)/8760</f>
        <v>4.1666666666666664E-2</v>
      </c>
      <c r="AH100" s="211">
        <f>SUMIFS('Key Inputs_BY Techs'!AB:AB,'Key Inputs_BY Techs'!$A:$A,'RSD_BY Techs'!$L100,'Key Inputs_BY Techs'!$C:$C,'RSD_BY Techs'!$B100)/8760</f>
        <v>5.1477189103886295E-2</v>
      </c>
      <c r="AI100" s="211">
        <f>SUMIFS('Key Inputs_BY Techs'!AC:AC,'Key Inputs_BY Techs'!$A:$A,'RSD_BY Techs'!$L100,'Key Inputs_BY Techs'!$C:$C,'RSD_BY Techs'!$B100)/8760</f>
        <v>4.1666666666666664E-2</v>
      </c>
      <c r="AJ100" s="211">
        <f>SUMIFS('Key Inputs_BY Techs'!AD:AD,'Key Inputs_BY Techs'!$A:$A,'RSD_BY Techs'!$L100,'Key Inputs_BY Techs'!$C:$C,'RSD_BY Techs'!$B100)/8760</f>
        <v>7.0781511423467725E-2</v>
      </c>
      <c r="AK100" s="211">
        <f>SUMIFS('Key Inputs_BY Techs'!AE:AE,'Key Inputs_BY Techs'!$A:$A,'RSD_BY Techs'!$L100,'Key Inputs_BY Techs'!$C:$C,'RSD_BY Techs'!$B100)/8760</f>
        <v>4.1666666666666664E-2</v>
      </c>
      <c r="AL100" s="211">
        <f>SUMIFS('Key Inputs_BY Techs'!AF:AF,'Key Inputs_BY Techs'!$A:$A,'RSD_BY Techs'!$L100,'Key Inputs_BY Techs'!$C:$C,'RSD_BY Techs'!$B100)/8760</f>
        <v>4.8525528371344114E-2</v>
      </c>
      <c r="AM100" s="211">
        <f>SUMIFS('Key Inputs_BY Techs'!AG:AG,'Key Inputs_BY Techs'!$A:$A,'RSD_BY Techs'!$L100,'Key Inputs_BY Techs'!$C:$C,'RSD_BY Techs'!$B100)/8760</f>
        <v>4.1991055814934002E-2</v>
      </c>
      <c r="AN100" s="211">
        <f>SUMIFS('Key Inputs_BY Techs'!AH:AH,'Key Inputs_BY Techs'!$A:$A,'RSD_BY Techs'!$L100,'Key Inputs_BY Techs'!$C:$C,'RSD_BY Techs'!$B100)/8760</f>
        <v>0.10573317089500424</v>
      </c>
      <c r="AO100" s="211">
        <f>SUMIFS('Key Inputs_BY Techs'!AI:AI,'Key Inputs_BY Techs'!$A:$A,'RSD_BY Techs'!$L100,'Key Inputs_BY Techs'!$C:$C,'RSD_BY Techs'!$B100)/8760</f>
        <v>8.0437275857606058E-2</v>
      </c>
      <c r="AP100" s="211">
        <f>SUMIFS('Key Inputs_BY Techs'!AJ:AJ,'Key Inputs_BY Techs'!$A:$A,'RSD_BY Techs'!$L100,'Key Inputs_BY Techs'!$C:$C,'RSD_BY Techs'!$B100)/8760</f>
        <v>6.6692438947101099E-2</v>
      </c>
    </row>
    <row r="101" spans="1:42" x14ac:dyDescent="0.25">
      <c r="A101" s="281" t="s">
        <v>122</v>
      </c>
      <c r="B101" s="281" t="s">
        <v>468</v>
      </c>
      <c r="C101" s="281" t="str">
        <f>Legend!$A$74</f>
        <v>Solar</v>
      </c>
      <c r="D101" s="281" t="str">
        <f>Legend!$B$74</f>
        <v>RSDSOL</v>
      </c>
      <c r="E101" s="281" t="str">
        <f t="shared" si="27"/>
        <v>RSDSOL</v>
      </c>
      <c r="F101" s="281"/>
      <c r="G101" s="254"/>
      <c r="I101" s="215" t="str">
        <f t="shared" si="28"/>
        <v>R-THL-HEX_SOL00</v>
      </c>
      <c r="J101" s="215" t="str">
        <f t="shared" si="28"/>
        <v>RSD Thermal uses technology: Solar - Existing</v>
      </c>
      <c r="K101" s="215"/>
      <c r="L101" s="215" t="s">
        <v>191</v>
      </c>
      <c r="M101" s="215" t="s">
        <v>174</v>
      </c>
      <c r="N101" s="215"/>
      <c r="O101" s="215">
        <f>SUMIFS('Key Inputs_BY Techs'!I:I,'Key Inputs_BY Techs'!$A:$A,'RSD_BY Techs'!$L101,'Key Inputs_BY Techs'!$C:$C,'RSD_BY Techs'!$B101)/8760</f>
        <v>4.5322895632501033E-2</v>
      </c>
      <c r="P101" s="215">
        <f>SUMIFS('Key Inputs_BY Techs'!J:J,'Key Inputs_BY Techs'!$A:$A,'RSD_BY Techs'!$L101,'Key Inputs_BY Techs'!$C:$C,'RSD_BY Techs'!$B101)/8760</f>
        <v>4.5047579105877276E-2</v>
      </c>
      <c r="Q101" s="215">
        <f>SUMIFS('Key Inputs_BY Techs'!K:K,'Key Inputs_BY Techs'!$A:$A,'RSD_BY Techs'!$L101,'Key Inputs_BY Techs'!$C:$C,'RSD_BY Techs'!$B101)/8760</f>
        <v>4.1991055814934002E-2</v>
      </c>
      <c r="R101" s="215">
        <f>SUMIFS('Key Inputs_BY Techs'!L:L,'Key Inputs_BY Techs'!$A:$A,'RSD_BY Techs'!$L101,'Key Inputs_BY Techs'!$C:$C,'RSD_BY Techs'!$B101)/8760</f>
        <v>4.1685785869904429E-2</v>
      </c>
      <c r="S101" s="215">
        <f>SUMIFS('Key Inputs_BY Techs'!M:M,'Key Inputs_BY Techs'!$A:$A,'RSD_BY Techs'!$L101,'Key Inputs_BY Techs'!$C:$C,'RSD_BY Techs'!$B101)/8760</f>
        <v>5.0682342606484215E-2</v>
      </c>
      <c r="T101" s="215">
        <f>SUMIFS('Key Inputs_BY Techs'!N:N,'Key Inputs_BY Techs'!$A:$A,'RSD_BY Techs'!$L101,'Key Inputs_BY Techs'!$C:$C,'RSD_BY Techs'!$B101)/8760</f>
        <v>5.807085407630011E-2</v>
      </c>
      <c r="U101" s="215">
        <f>SUMIFS('Key Inputs_BY Techs'!O:O,'Key Inputs_BY Techs'!$A:$A,'RSD_BY Techs'!$L101,'Key Inputs_BY Techs'!$C:$C,'RSD_BY Techs'!$B101)/8760</f>
        <v>4.1687877260716787E-2</v>
      </c>
      <c r="V101" s="215">
        <f>SUMIFS('Key Inputs_BY Techs'!P:P,'Key Inputs_BY Techs'!$A:$A,'RSD_BY Techs'!$L101,'Key Inputs_BY Techs'!$C:$C,'RSD_BY Techs'!$B101)/8760</f>
        <v>4.2884552320900708E-2</v>
      </c>
      <c r="W101" s="215">
        <f>SUMIFS('Key Inputs_BY Techs'!Q:Q,'Key Inputs_BY Techs'!$A:$A,'RSD_BY Techs'!$L101,'Key Inputs_BY Techs'!$C:$C,'RSD_BY Techs'!$B101)/8760</f>
        <v>4.1666666666666664E-2</v>
      </c>
      <c r="X101" s="215">
        <f>SUMIFS('Key Inputs_BY Techs'!R:R,'Key Inputs_BY Techs'!$A:$A,'RSD_BY Techs'!$L101,'Key Inputs_BY Techs'!$C:$C,'RSD_BY Techs'!$B101)/8760</f>
        <v>0.12925469986413698</v>
      </c>
      <c r="Y101" s="215">
        <f>SUMIFS('Key Inputs_BY Techs'!S:S,'Key Inputs_BY Techs'!$A:$A,'RSD_BY Techs'!$L101,'Key Inputs_BY Techs'!$C:$C,'RSD_BY Techs'!$B101)/8760</f>
        <v>5.6018402502504346E-2</v>
      </c>
      <c r="Z101" s="215">
        <f>SUMIFS('Key Inputs_BY Techs'!T:T,'Key Inputs_BY Techs'!$A:$A,'RSD_BY Techs'!$L101,'Key Inputs_BY Techs'!$C:$C,'RSD_BY Techs'!$B101)/8760</f>
        <v>8.0456212261297039E-2</v>
      </c>
      <c r="AA101" s="215">
        <f>SUMIFS('Key Inputs_BY Techs'!U:U,'Key Inputs_BY Techs'!$A:$A,'RSD_BY Techs'!$L101,'Key Inputs_BY Techs'!$C:$C,'RSD_BY Techs'!$B101)/8760</f>
        <v>8.196249702811996E-2</v>
      </c>
      <c r="AB101" s="215">
        <f>SUMIFS('Key Inputs_BY Techs'!V:V,'Key Inputs_BY Techs'!$A:$A,'RSD_BY Techs'!$L101,'Key Inputs_BY Techs'!$C:$C,'RSD_BY Techs'!$B101)/8760</f>
        <v>9.0560920532517131E-2</v>
      </c>
      <c r="AC101" s="215">
        <f>SUMIFS('Key Inputs_BY Techs'!W:W,'Key Inputs_BY Techs'!$A:$A,'RSD_BY Techs'!$L101,'Key Inputs_BY Techs'!$C:$C,'RSD_BY Techs'!$B101)/8760</f>
        <v>7.7640907014416241E-2</v>
      </c>
      <c r="AD101" s="215">
        <f>SUMIFS('Key Inputs_BY Techs'!X:X,'Key Inputs_BY Techs'!$A:$A,'RSD_BY Techs'!$L101,'Key Inputs_BY Techs'!$C:$C,'RSD_BY Techs'!$B101)/8760</f>
        <v>6.6864645901418843E-2</v>
      </c>
      <c r="AE101" s="215">
        <f>SUMIFS('Key Inputs_BY Techs'!Y:Y,'Key Inputs_BY Techs'!$A:$A,'RSD_BY Techs'!$L101,'Key Inputs_BY Techs'!$C:$C,'RSD_BY Techs'!$B101)/8760</f>
        <v>6.6864645901418843E-2</v>
      </c>
      <c r="AF101" s="215">
        <f>SUMIFS('Key Inputs_BY Techs'!Z:Z,'Key Inputs_BY Techs'!$A:$A,'RSD_BY Techs'!$L101,'Key Inputs_BY Techs'!$C:$C,'RSD_BY Techs'!$B101)/8760</f>
        <v>4.1666666666666664E-2</v>
      </c>
      <c r="AG101" s="215">
        <f>SUMIFS('Key Inputs_BY Techs'!AA:AA,'Key Inputs_BY Techs'!$A:$A,'RSD_BY Techs'!$L101,'Key Inputs_BY Techs'!$C:$C,'RSD_BY Techs'!$B101)/8760</f>
        <v>4.1666666666666664E-2</v>
      </c>
      <c r="AH101" s="215">
        <f>SUMIFS('Key Inputs_BY Techs'!AB:AB,'Key Inputs_BY Techs'!$A:$A,'RSD_BY Techs'!$L101,'Key Inputs_BY Techs'!$C:$C,'RSD_BY Techs'!$B101)/8760</f>
        <v>5.1477189103886295E-2</v>
      </c>
      <c r="AI101" s="215">
        <f>SUMIFS('Key Inputs_BY Techs'!AC:AC,'Key Inputs_BY Techs'!$A:$A,'RSD_BY Techs'!$L101,'Key Inputs_BY Techs'!$C:$C,'RSD_BY Techs'!$B101)/8760</f>
        <v>4.1666666666666664E-2</v>
      </c>
      <c r="AJ101" s="215">
        <f>SUMIFS('Key Inputs_BY Techs'!AD:AD,'Key Inputs_BY Techs'!$A:$A,'RSD_BY Techs'!$L101,'Key Inputs_BY Techs'!$C:$C,'RSD_BY Techs'!$B101)/8760</f>
        <v>7.0781511423467725E-2</v>
      </c>
      <c r="AK101" s="215">
        <f>SUMIFS('Key Inputs_BY Techs'!AE:AE,'Key Inputs_BY Techs'!$A:$A,'RSD_BY Techs'!$L101,'Key Inputs_BY Techs'!$C:$C,'RSD_BY Techs'!$B101)/8760</f>
        <v>4.1666666666666664E-2</v>
      </c>
      <c r="AL101" s="215">
        <f>SUMIFS('Key Inputs_BY Techs'!AF:AF,'Key Inputs_BY Techs'!$A:$A,'RSD_BY Techs'!$L101,'Key Inputs_BY Techs'!$C:$C,'RSD_BY Techs'!$B101)/8760</f>
        <v>4.8525528371344114E-2</v>
      </c>
      <c r="AM101" s="215">
        <f>SUMIFS('Key Inputs_BY Techs'!AG:AG,'Key Inputs_BY Techs'!$A:$A,'RSD_BY Techs'!$L101,'Key Inputs_BY Techs'!$C:$C,'RSD_BY Techs'!$B101)/8760</f>
        <v>4.1991055814934002E-2</v>
      </c>
      <c r="AN101" s="215">
        <f>SUMIFS('Key Inputs_BY Techs'!AH:AH,'Key Inputs_BY Techs'!$A:$A,'RSD_BY Techs'!$L101,'Key Inputs_BY Techs'!$C:$C,'RSD_BY Techs'!$B101)/8760</f>
        <v>0.10573317089500424</v>
      </c>
      <c r="AO101" s="215">
        <f>SUMIFS('Key Inputs_BY Techs'!AI:AI,'Key Inputs_BY Techs'!$A:$A,'RSD_BY Techs'!$L101,'Key Inputs_BY Techs'!$C:$C,'RSD_BY Techs'!$B101)/8760</f>
        <v>8.0437275857606058E-2</v>
      </c>
      <c r="AP101" s="215">
        <f>SUMIFS('Key Inputs_BY Techs'!AJ:AJ,'Key Inputs_BY Techs'!$A:$A,'RSD_BY Techs'!$L101,'Key Inputs_BY Techs'!$C:$C,'RSD_BY Techs'!$B101)/8760</f>
        <v>6.6692438947101099E-2</v>
      </c>
    </row>
    <row r="102" spans="1:42" x14ac:dyDescent="0.25">
      <c r="A102" s="254" t="s">
        <v>122</v>
      </c>
      <c r="B102" s="254" t="s">
        <v>469</v>
      </c>
      <c r="C102" s="254" t="str">
        <f>Legend!A$64</f>
        <v>Biomass</v>
      </c>
      <c r="D102" s="254" t="str">
        <f>Legend!B$64</f>
        <v>RSDBIO</v>
      </c>
      <c r="E102" s="254" t="str">
        <f t="shared" ref="E102:E111" si="29">LEFT(D102,6)</f>
        <v>RSDBIO</v>
      </c>
      <c r="F102" s="254"/>
      <c r="G102" s="254"/>
      <c r="I102" s="213" t="str">
        <f t="shared" si="28"/>
        <v>R-THH-STV_BIO00</v>
      </c>
      <c r="J102" s="213" t="str">
        <f t="shared" si="28"/>
        <v>RSD Thermal uses technology: Biomass - Existing</v>
      </c>
      <c r="K102" s="213"/>
      <c r="L102" s="214" t="s">
        <v>191</v>
      </c>
      <c r="M102" s="214" t="s">
        <v>174</v>
      </c>
      <c r="N102" s="214"/>
      <c r="O102" s="213">
        <f>SUMIFS('Key Inputs_BY Techs'!I:I,'Key Inputs_BY Techs'!$A:$A,'RSD_BY Techs'!$L102,'Key Inputs_BY Techs'!$C:$C,'RSD_BY Techs'!$B102)/8760</f>
        <v>4.5322895632501033E-2</v>
      </c>
      <c r="P102" s="213">
        <f>SUMIFS('Key Inputs_BY Techs'!J:J,'Key Inputs_BY Techs'!$A:$A,'RSD_BY Techs'!$L102,'Key Inputs_BY Techs'!$C:$C,'RSD_BY Techs'!$B102)/8760</f>
        <v>4.5047579105877276E-2</v>
      </c>
      <c r="Q102" s="213">
        <f>SUMIFS('Key Inputs_BY Techs'!K:K,'Key Inputs_BY Techs'!$A:$A,'RSD_BY Techs'!$L102,'Key Inputs_BY Techs'!$C:$C,'RSD_BY Techs'!$B102)/8760</f>
        <v>4.1991055814934002E-2</v>
      </c>
      <c r="R102" s="213">
        <f>SUMIFS('Key Inputs_BY Techs'!L:L,'Key Inputs_BY Techs'!$A:$A,'RSD_BY Techs'!$L102,'Key Inputs_BY Techs'!$C:$C,'RSD_BY Techs'!$B102)/8760</f>
        <v>4.1685785869904429E-2</v>
      </c>
      <c r="S102" s="213">
        <f>SUMIFS('Key Inputs_BY Techs'!M:M,'Key Inputs_BY Techs'!$A:$A,'RSD_BY Techs'!$L102,'Key Inputs_BY Techs'!$C:$C,'RSD_BY Techs'!$B102)/8760</f>
        <v>5.0682342606484215E-2</v>
      </c>
      <c r="T102" s="213">
        <f>SUMIFS('Key Inputs_BY Techs'!N:N,'Key Inputs_BY Techs'!$A:$A,'RSD_BY Techs'!$L102,'Key Inputs_BY Techs'!$C:$C,'RSD_BY Techs'!$B102)/8760</f>
        <v>5.807085407630011E-2</v>
      </c>
      <c r="U102" s="213">
        <f>SUMIFS('Key Inputs_BY Techs'!O:O,'Key Inputs_BY Techs'!$A:$A,'RSD_BY Techs'!$L102,'Key Inputs_BY Techs'!$C:$C,'RSD_BY Techs'!$B102)/8760</f>
        <v>4.1687877260716787E-2</v>
      </c>
      <c r="V102" s="213">
        <f>SUMIFS('Key Inputs_BY Techs'!P:P,'Key Inputs_BY Techs'!$A:$A,'RSD_BY Techs'!$L102,'Key Inputs_BY Techs'!$C:$C,'RSD_BY Techs'!$B102)/8760</f>
        <v>4.2884552320900708E-2</v>
      </c>
      <c r="W102" s="213">
        <f>SUMIFS('Key Inputs_BY Techs'!Q:Q,'Key Inputs_BY Techs'!$A:$A,'RSD_BY Techs'!$L102,'Key Inputs_BY Techs'!$C:$C,'RSD_BY Techs'!$B102)/8760</f>
        <v>4.1666666666666664E-2</v>
      </c>
      <c r="X102" s="213">
        <f>SUMIFS('Key Inputs_BY Techs'!R:R,'Key Inputs_BY Techs'!$A:$A,'RSD_BY Techs'!$L102,'Key Inputs_BY Techs'!$C:$C,'RSD_BY Techs'!$B102)/8760</f>
        <v>0.12925469986413698</v>
      </c>
      <c r="Y102" s="213">
        <f>SUMIFS('Key Inputs_BY Techs'!S:S,'Key Inputs_BY Techs'!$A:$A,'RSD_BY Techs'!$L102,'Key Inputs_BY Techs'!$C:$C,'RSD_BY Techs'!$B102)/8760</f>
        <v>5.6018402502504346E-2</v>
      </c>
      <c r="Z102" s="213">
        <f>SUMIFS('Key Inputs_BY Techs'!T:T,'Key Inputs_BY Techs'!$A:$A,'RSD_BY Techs'!$L102,'Key Inputs_BY Techs'!$C:$C,'RSD_BY Techs'!$B102)/8760</f>
        <v>8.0456212261297039E-2</v>
      </c>
      <c r="AA102" s="213">
        <f>SUMIFS('Key Inputs_BY Techs'!U:U,'Key Inputs_BY Techs'!$A:$A,'RSD_BY Techs'!$L102,'Key Inputs_BY Techs'!$C:$C,'RSD_BY Techs'!$B102)/8760</f>
        <v>8.196249702811996E-2</v>
      </c>
      <c r="AB102" s="213">
        <f>SUMIFS('Key Inputs_BY Techs'!V:V,'Key Inputs_BY Techs'!$A:$A,'RSD_BY Techs'!$L102,'Key Inputs_BY Techs'!$C:$C,'RSD_BY Techs'!$B102)/8760</f>
        <v>9.0560920532517131E-2</v>
      </c>
      <c r="AC102" s="213">
        <f>SUMIFS('Key Inputs_BY Techs'!W:W,'Key Inputs_BY Techs'!$A:$A,'RSD_BY Techs'!$L102,'Key Inputs_BY Techs'!$C:$C,'RSD_BY Techs'!$B102)/8760</f>
        <v>7.7640907014416241E-2</v>
      </c>
      <c r="AD102" s="213">
        <f>SUMIFS('Key Inputs_BY Techs'!X:X,'Key Inputs_BY Techs'!$A:$A,'RSD_BY Techs'!$L102,'Key Inputs_BY Techs'!$C:$C,'RSD_BY Techs'!$B102)/8760</f>
        <v>6.6864645901418843E-2</v>
      </c>
      <c r="AE102" s="213">
        <f>SUMIFS('Key Inputs_BY Techs'!Y:Y,'Key Inputs_BY Techs'!$A:$A,'RSD_BY Techs'!$L102,'Key Inputs_BY Techs'!$C:$C,'RSD_BY Techs'!$B102)/8760</f>
        <v>6.6864645901418843E-2</v>
      </c>
      <c r="AF102" s="213">
        <f>SUMIFS('Key Inputs_BY Techs'!Z:Z,'Key Inputs_BY Techs'!$A:$A,'RSD_BY Techs'!$L102,'Key Inputs_BY Techs'!$C:$C,'RSD_BY Techs'!$B102)/8760</f>
        <v>4.1666666666666664E-2</v>
      </c>
      <c r="AG102" s="213">
        <f>SUMIFS('Key Inputs_BY Techs'!AA:AA,'Key Inputs_BY Techs'!$A:$A,'RSD_BY Techs'!$L102,'Key Inputs_BY Techs'!$C:$C,'RSD_BY Techs'!$B102)/8760</f>
        <v>4.1666666666666664E-2</v>
      </c>
      <c r="AH102" s="213">
        <f>SUMIFS('Key Inputs_BY Techs'!AB:AB,'Key Inputs_BY Techs'!$A:$A,'RSD_BY Techs'!$L102,'Key Inputs_BY Techs'!$C:$C,'RSD_BY Techs'!$B102)/8760</f>
        <v>5.1477189103886295E-2</v>
      </c>
      <c r="AI102" s="213">
        <f>SUMIFS('Key Inputs_BY Techs'!AC:AC,'Key Inputs_BY Techs'!$A:$A,'RSD_BY Techs'!$L102,'Key Inputs_BY Techs'!$C:$C,'RSD_BY Techs'!$B102)/8760</f>
        <v>4.1666666666666664E-2</v>
      </c>
      <c r="AJ102" s="213">
        <f>SUMIFS('Key Inputs_BY Techs'!AD:AD,'Key Inputs_BY Techs'!$A:$A,'RSD_BY Techs'!$L102,'Key Inputs_BY Techs'!$C:$C,'RSD_BY Techs'!$B102)/8760</f>
        <v>7.0781511423467725E-2</v>
      </c>
      <c r="AK102" s="213">
        <f>SUMIFS('Key Inputs_BY Techs'!AE:AE,'Key Inputs_BY Techs'!$A:$A,'RSD_BY Techs'!$L102,'Key Inputs_BY Techs'!$C:$C,'RSD_BY Techs'!$B102)/8760</f>
        <v>4.1666666666666664E-2</v>
      </c>
      <c r="AL102" s="213">
        <f>SUMIFS('Key Inputs_BY Techs'!AF:AF,'Key Inputs_BY Techs'!$A:$A,'RSD_BY Techs'!$L102,'Key Inputs_BY Techs'!$C:$C,'RSD_BY Techs'!$B102)/8760</f>
        <v>4.8525528371344114E-2</v>
      </c>
      <c r="AM102" s="213">
        <f>SUMIFS('Key Inputs_BY Techs'!AG:AG,'Key Inputs_BY Techs'!$A:$A,'RSD_BY Techs'!$L102,'Key Inputs_BY Techs'!$C:$C,'RSD_BY Techs'!$B102)/8760</f>
        <v>4.1991055814934002E-2</v>
      </c>
      <c r="AN102" s="213">
        <f>SUMIFS('Key Inputs_BY Techs'!AH:AH,'Key Inputs_BY Techs'!$A:$A,'RSD_BY Techs'!$L102,'Key Inputs_BY Techs'!$C:$C,'RSD_BY Techs'!$B102)/8760</f>
        <v>0.10573317089500424</v>
      </c>
      <c r="AO102" s="213">
        <f>SUMIFS('Key Inputs_BY Techs'!AI:AI,'Key Inputs_BY Techs'!$A:$A,'RSD_BY Techs'!$L102,'Key Inputs_BY Techs'!$C:$C,'RSD_BY Techs'!$B102)/8760</f>
        <v>8.0437275857606058E-2</v>
      </c>
      <c r="AP102" s="213">
        <f>SUMIFS('Key Inputs_BY Techs'!AJ:AJ,'Key Inputs_BY Techs'!$A:$A,'RSD_BY Techs'!$L102,'Key Inputs_BY Techs'!$C:$C,'RSD_BY Techs'!$B102)/8760</f>
        <v>6.6692438947101099E-2</v>
      </c>
    </row>
    <row r="103" spans="1:42" x14ac:dyDescent="0.25">
      <c r="A103" s="254" t="s">
        <v>122</v>
      </c>
      <c r="B103" s="254" t="s">
        <v>469</v>
      </c>
      <c r="C103" s="254" t="str">
        <f>Legend!A$65</f>
        <v>Coal</v>
      </c>
      <c r="D103" s="254" t="str">
        <f>Legend!B$65</f>
        <v>RSDCOA</v>
      </c>
      <c r="E103" s="254" t="str">
        <f t="shared" si="29"/>
        <v>RSDCOA</v>
      </c>
      <c r="F103" s="254"/>
      <c r="G103" s="254"/>
      <c r="I103" s="211" t="str">
        <f t="shared" si="28"/>
        <v>R-THH-STV_COA00</v>
      </c>
      <c r="J103" s="211" t="str">
        <f t="shared" si="28"/>
        <v>RSD Thermal uses technology: Coal - Existing</v>
      </c>
      <c r="K103" s="211"/>
      <c r="L103" s="211" t="s">
        <v>191</v>
      </c>
      <c r="M103" s="211" t="s">
        <v>174</v>
      </c>
      <c r="N103" s="211"/>
      <c r="O103" s="211">
        <f>SUMIFS('Key Inputs_BY Techs'!I:I,'Key Inputs_BY Techs'!$A:$A,'RSD_BY Techs'!$L103,'Key Inputs_BY Techs'!$C:$C,'RSD_BY Techs'!$B103)/8760</f>
        <v>4.5322895632501033E-2</v>
      </c>
      <c r="P103" s="211">
        <f>SUMIFS('Key Inputs_BY Techs'!J:J,'Key Inputs_BY Techs'!$A:$A,'RSD_BY Techs'!$L103,'Key Inputs_BY Techs'!$C:$C,'RSD_BY Techs'!$B103)/8760</f>
        <v>4.5047579105877276E-2</v>
      </c>
      <c r="Q103" s="211">
        <f>SUMIFS('Key Inputs_BY Techs'!K:K,'Key Inputs_BY Techs'!$A:$A,'RSD_BY Techs'!$L103,'Key Inputs_BY Techs'!$C:$C,'RSD_BY Techs'!$B103)/8760</f>
        <v>4.1991055814934002E-2</v>
      </c>
      <c r="R103" s="211">
        <f>SUMIFS('Key Inputs_BY Techs'!L:L,'Key Inputs_BY Techs'!$A:$A,'RSD_BY Techs'!$L103,'Key Inputs_BY Techs'!$C:$C,'RSD_BY Techs'!$B103)/8760</f>
        <v>4.1685785869904429E-2</v>
      </c>
      <c r="S103" s="211">
        <f>SUMIFS('Key Inputs_BY Techs'!M:M,'Key Inputs_BY Techs'!$A:$A,'RSD_BY Techs'!$L103,'Key Inputs_BY Techs'!$C:$C,'RSD_BY Techs'!$B103)/8760</f>
        <v>5.0682342606484215E-2</v>
      </c>
      <c r="T103" s="211">
        <f>SUMIFS('Key Inputs_BY Techs'!N:N,'Key Inputs_BY Techs'!$A:$A,'RSD_BY Techs'!$L103,'Key Inputs_BY Techs'!$C:$C,'RSD_BY Techs'!$B103)/8760</f>
        <v>5.807085407630011E-2</v>
      </c>
      <c r="U103" s="211">
        <f>SUMIFS('Key Inputs_BY Techs'!O:O,'Key Inputs_BY Techs'!$A:$A,'RSD_BY Techs'!$L103,'Key Inputs_BY Techs'!$C:$C,'RSD_BY Techs'!$B103)/8760</f>
        <v>4.1687877260716787E-2</v>
      </c>
      <c r="V103" s="211">
        <f>SUMIFS('Key Inputs_BY Techs'!P:P,'Key Inputs_BY Techs'!$A:$A,'RSD_BY Techs'!$L103,'Key Inputs_BY Techs'!$C:$C,'RSD_BY Techs'!$B103)/8760</f>
        <v>4.2884552320900708E-2</v>
      </c>
      <c r="W103" s="211">
        <f>SUMIFS('Key Inputs_BY Techs'!Q:Q,'Key Inputs_BY Techs'!$A:$A,'RSD_BY Techs'!$L103,'Key Inputs_BY Techs'!$C:$C,'RSD_BY Techs'!$B103)/8760</f>
        <v>4.1666666666666664E-2</v>
      </c>
      <c r="X103" s="211">
        <f>SUMIFS('Key Inputs_BY Techs'!R:R,'Key Inputs_BY Techs'!$A:$A,'RSD_BY Techs'!$L103,'Key Inputs_BY Techs'!$C:$C,'RSD_BY Techs'!$B103)/8760</f>
        <v>0.12925469986413698</v>
      </c>
      <c r="Y103" s="211">
        <f>SUMIFS('Key Inputs_BY Techs'!S:S,'Key Inputs_BY Techs'!$A:$A,'RSD_BY Techs'!$L103,'Key Inputs_BY Techs'!$C:$C,'RSD_BY Techs'!$B103)/8760</f>
        <v>5.6018402502504346E-2</v>
      </c>
      <c r="Z103" s="211">
        <f>SUMIFS('Key Inputs_BY Techs'!T:T,'Key Inputs_BY Techs'!$A:$A,'RSD_BY Techs'!$L103,'Key Inputs_BY Techs'!$C:$C,'RSD_BY Techs'!$B103)/8760</f>
        <v>8.0456212261297039E-2</v>
      </c>
      <c r="AA103" s="211">
        <f>SUMIFS('Key Inputs_BY Techs'!U:U,'Key Inputs_BY Techs'!$A:$A,'RSD_BY Techs'!$L103,'Key Inputs_BY Techs'!$C:$C,'RSD_BY Techs'!$B103)/8760</f>
        <v>8.196249702811996E-2</v>
      </c>
      <c r="AB103" s="211">
        <f>SUMIFS('Key Inputs_BY Techs'!V:V,'Key Inputs_BY Techs'!$A:$A,'RSD_BY Techs'!$L103,'Key Inputs_BY Techs'!$C:$C,'RSD_BY Techs'!$B103)/8760</f>
        <v>9.0560920532517131E-2</v>
      </c>
      <c r="AC103" s="211">
        <f>SUMIFS('Key Inputs_BY Techs'!W:W,'Key Inputs_BY Techs'!$A:$A,'RSD_BY Techs'!$L103,'Key Inputs_BY Techs'!$C:$C,'RSD_BY Techs'!$B103)/8760</f>
        <v>7.7640907014416241E-2</v>
      </c>
      <c r="AD103" s="211">
        <f>SUMIFS('Key Inputs_BY Techs'!X:X,'Key Inputs_BY Techs'!$A:$A,'RSD_BY Techs'!$L103,'Key Inputs_BY Techs'!$C:$C,'RSD_BY Techs'!$B103)/8760</f>
        <v>6.6864645901418843E-2</v>
      </c>
      <c r="AE103" s="211">
        <f>SUMIFS('Key Inputs_BY Techs'!Y:Y,'Key Inputs_BY Techs'!$A:$A,'RSD_BY Techs'!$L103,'Key Inputs_BY Techs'!$C:$C,'RSD_BY Techs'!$B103)/8760</f>
        <v>6.6864645901418843E-2</v>
      </c>
      <c r="AF103" s="211">
        <f>SUMIFS('Key Inputs_BY Techs'!Z:Z,'Key Inputs_BY Techs'!$A:$A,'RSD_BY Techs'!$L103,'Key Inputs_BY Techs'!$C:$C,'RSD_BY Techs'!$B103)/8760</f>
        <v>4.1666666666666664E-2</v>
      </c>
      <c r="AG103" s="211">
        <f>SUMIFS('Key Inputs_BY Techs'!AA:AA,'Key Inputs_BY Techs'!$A:$A,'RSD_BY Techs'!$L103,'Key Inputs_BY Techs'!$C:$C,'RSD_BY Techs'!$B103)/8760</f>
        <v>4.1666666666666664E-2</v>
      </c>
      <c r="AH103" s="211">
        <f>SUMIFS('Key Inputs_BY Techs'!AB:AB,'Key Inputs_BY Techs'!$A:$A,'RSD_BY Techs'!$L103,'Key Inputs_BY Techs'!$C:$C,'RSD_BY Techs'!$B103)/8760</f>
        <v>5.1477189103886295E-2</v>
      </c>
      <c r="AI103" s="211">
        <f>SUMIFS('Key Inputs_BY Techs'!AC:AC,'Key Inputs_BY Techs'!$A:$A,'RSD_BY Techs'!$L103,'Key Inputs_BY Techs'!$C:$C,'RSD_BY Techs'!$B103)/8760</f>
        <v>4.1666666666666664E-2</v>
      </c>
      <c r="AJ103" s="211">
        <f>SUMIFS('Key Inputs_BY Techs'!AD:AD,'Key Inputs_BY Techs'!$A:$A,'RSD_BY Techs'!$L103,'Key Inputs_BY Techs'!$C:$C,'RSD_BY Techs'!$B103)/8760</f>
        <v>7.0781511423467725E-2</v>
      </c>
      <c r="AK103" s="211">
        <f>SUMIFS('Key Inputs_BY Techs'!AE:AE,'Key Inputs_BY Techs'!$A:$A,'RSD_BY Techs'!$L103,'Key Inputs_BY Techs'!$C:$C,'RSD_BY Techs'!$B103)/8760</f>
        <v>4.1666666666666664E-2</v>
      </c>
      <c r="AL103" s="211">
        <f>SUMIFS('Key Inputs_BY Techs'!AF:AF,'Key Inputs_BY Techs'!$A:$A,'RSD_BY Techs'!$L103,'Key Inputs_BY Techs'!$C:$C,'RSD_BY Techs'!$B103)/8760</f>
        <v>4.8525528371344114E-2</v>
      </c>
      <c r="AM103" s="211">
        <f>SUMIFS('Key Inputs_BY Techs'!AG:AG,'Key Inputs_BY Techs'!$A:$A,'RSD_BY Techs'!$L103,'Key Inputs_BY Techs'!$C:$C,'RSD_BY Techs'!$B103)/8760</f>
        <v>4.1991055814934002E-2</v>
      </c>
      <c r="AN103" s="211">
        <f>SUMIFS('Key Inputs_BY Techs'!AH:AH,'Key Inputs_BY Techs'!$A:$A,'RSD_BY Techs'!$L103,'Key Inputs_BY Techs'!$C:$C,'RSD_BY Techs'!$B103)/8760</f>
        <v>0.10573317089500424</v>
      </c>
      <c r="AO103" s="211">
        <f>SUMIFS('Key Inputs_BY Techs'!AI:AI,'Key Inputs_BY Techs'!$A:$A,'RSD_BY Techs'!$L103,'Key Inputs_BY Techs'!$C:$C,'RSD_BY Techs'!$B103)/8760</f>
        <v>8.0437275857606058E-2</v>
      </c>
      <c r="AP103" s="211">
        <f>SUMIFS('Key Inputs_BY Techs'!AJ:AJ,'Key Inputs_BY Techs'!$A:$A,'RSD_BY Techs'!$L103,'Key Inputs_BY Techs'!$C:$C,'RSD_BY Techs'!$B103)/8760</f>
        <v>6.6692438947101099E-2</v>
      </c>
    </row>
    <row r="104" spans="1:42" x14ac:dyDescent="0.25">
      <c r="A104" s="254" t="s">
        <v>122</v>
      </c>
      <c r="B104" s="254" t="s">
        <v>469</v>
      </c>
      <c r="C104" s="254" t="str">
        <f>Legend!A$66</f>
        <v>Electricity</v>
      </c>
      <c r="D104" s="254" t="str">
        <f>Legend!B$66</f>
        <v>RSDELC</v>
      </c>
      <c r="E104" s="254" t="str">
        <f t="shared" si="29"/>
        <v>RSDELC</v>
      </c>
      <c r="F104" s="254"/>
      <c r="G104" s="254"/>
      <c r="I104" s="211" t="str">
        <f t="shared" si="28"/>
        <v>R-THH-RST_ELC00</v>
      </c>
      <c r="J104" s="211" t="str">
        <f t="shared" si="28"/>
        <v>RSD Thermal uses technology: Electricity - Existing</v>
      </c>
      <c r="K104" s="211"/>
      <c r="L104" s="211" t="s">
        <v>191</v>
      </c>
      <c r="M104" s="211" t="s">
        <v>174</v>
      </c>
      <c r="N104" s="211"/>
      <c r="O104" s="211">
        <f>SUMIFS('Key Inputs_BY Techs'!I:I,'Key Inputs_BY Techs'!$A:$A,'RSD_BY Techs'!$L104,'Key Inputs_BY Techs'!$C:$C,'RSD_BY Techs'!$B104)/8760</f>
        <v>4.5322895632501033E-2</v>
      </c>
      <c r="P104" s="211">
        <f>SUMIFS('Key Inputs_BY Techs'!J:J,'Key Inputs_BY Techs'!$A:$A,'RSD_BY Techs'!$L104,'Key Inputs_BY Techs'!$C:$C,'RSD_BY Techs'!$B104)/8760</f>
        <v>4.5047579105877276E-2</v>
      </c>
      <c r="Q104" s="211">
        <f>SUMIFS('Key Inputs_BY Techs'!K:K,'Key Inputs_BY Techs'!$A:$A,'RSD_BY Techs'!$L104,'Key Inputs_BY Techs'!$C:$C,'RSD_BY Techs'!$B104)/8760</f>
        <v>4.1991055814934002E-2</v>
      </c>
      <c r="R104" s="211">
        <f>SUMIFS('Key Inputs_BY Techs'!L:L,'Key Inputs_BY Techs'!$A:$A,'RSD_BY Techs'!$L104,'Key Inputs_BY Techs'!$C:$C,'RSD_BY Techs'!$B104)/8760</f>
        <v>4.1685785869904429E-2</v>
      </c>
      <c r="S104" s="211">
        <f>SUMIFS('Key Inputs_BY Techs'!M:M,'Key Inputs_BY Techs'!$A:$A,'RSD_BY Techs'!$L104,'Key Inputs_BY Techs'!$C:$C,'RSD_BY Techs'!$B104)/8760</f>
        <v>5.0682342606484215E-2</v>
      </c>
      <c r="T104" s="211">
        <f>SUMIFS('Key Inputs_BY Techs'!N:N,'Key Inputs_BY Techs'!$A:$A,'RSD_BY Techs'!$L104,'Key Inputs_BY Techs'!$C:$C,'RSD_BY Techs'!$B104)/8760</f>
        <v>5.807085407630011E-2</v>
      </c>
      <c r="U104" s="211">
        <f>SUMIFS('Key Inputs_BY Techs'!O:O,'Key Inputs_BY Techs'!$A:$A,'RSD_BY Techs'!$L104,'Key Inputs_BY Techs'!$C:$C,'RSD_BY Techs'!$B104)/8760</f>
        <v>4.1687877260716787E-2</v>
      </c>
      <c r="V104" s="211">
        <f>SUMIFS('Key Inputs_BY Techs'!P:P,'Key Inputs_BY Techs'!$A:$A,'RSD_BY Techs'!$L104,'Key Inputs_BY Techs'!$C:$C,'RSD_BY Techs'!$B104)/8760</f>
        <v>4.2884552320900708E-2</v>
      </c>
      <c r="W104" s="211">
        <f>SUMIFS('Key Inputs_BY Techs'!Q:Q,'Key Inputs_BY Techs'!$A:$A,'RSD_BY Techs'!$L104,'Key Inputs_BY Techs'!$C:$C,'RSD_BY Techs'!$B104)/8760</f>
        <v>4.1666666666666664E-2</v>
      </c>
      <c r="X104" s="211">
        <f>SUMIFS('Key Inputs_BY Techs'!R:R,'Key Inputs_BY Techs'!$A:$A,'RSD_BY Techs'!$L104,'Key Inputs_BY Techs'!$C:$C,'RSD_BY Techs'!$B104)/8760</f>
        <v>0.12925469986413698</v>
      </c>
      <c r="Y104" s="211">
        <f>SUMIFS('Key Inputs_BY Techs'!S:S,'Key Inputs_BY Techs'!$A:$A,'RSD_BY Techs'!$L104,'Key Inputs_BY Techs'!$C:$C,'RSD_BY Techs'!$B104)/8760</f>
        <v>5.6018402502504346E-2</v>
      </c>
      <c r="Z104" s="211">
        <f>SUMIFS('Key Inputs_BY Techs'!T:T,'Key Inputs_BY Techs'!$A:$A,'RSD_BY Techs'!$L104,'Key Inputs_BY Techs'!$C:$C,'RSD_BY Techs'!$B104)/8760</f>
        <v>8.0456212261297039E-2</v>
      </c>
      <c r="AA104" s="211">
        <f>SUMIFS('Key Inputs_BY Techs'!U:U,'Key Inputs_BY Techs'!$A:$A,'RSD_BY Techs'!$L104,'Key Inputs_BY Techs'!$C:$C,'RSD_BY Techs'!$B104)/8760</f>
        <v>8.196249702811996E-2</v>
      </c>
      <c r="AB104" s="211">
        <f>SUMIFS('Key Inputs_BY Techs'!V:V,'Key Inputs_BY Techs'!$A:$A,'RSD_BY Techs'!$L104,'Key Inputs_BY Techs'!$C:$C,'RSD_BY Techs'!$B104)/8760</f>
        <v>9.0560920532517131E-2</v>
      </c>
      <c r="AC104" s="211">
        <f>SUMIFS('Key Inputs_BY Techs'!W:W,'Key Inputs_BY Techs'!$A:$A,'RSD_BY Techs'!$L104,'Key Inputs_BY Techs'!$C:$C,'RSD_BY Techs'!$B104)/8760</f>
        <v>7.7640907014416241E-2</v>
      </c>
      <c r="AD104" s="211">
        <f>SUMIFS('Key Inputs_BY Techs'!X:X,'Key Inputs_BY Techs'!$A:$A,'RSD_BY Techs'!$L104,'Key Inputs_BY Techs'!$C:$C,'RSD_BY Techs'!$B104)/8760</f>
        <v>6.6864645901418843E-2</v>
      </c>
      <c r="AE104" s="211">
        <f>SUMIFS('Key Inputs_BY Techs'!Y:Y,'Key Inputs_BY Techs'!$A:$A,'RSD_BY Techs'!$L104,'Key Inputs_BY Techs'!$C:$C,'RSD_BY Techs'!$B104)/8760</f>
        <v>6.6864645901418843E-2</v>
      </c>
      <c r="AF104" s="211">
        <f>SUMIFS('Key Inputs_BY Techs'!Z:Z,'Key Inputs_BY Techs'!$A:$A,'RSD_BY Techs'!$L104,'Key Inputs_BY Techs'!$C:$C,'RSD_BY Techs'!$B104)/8760</f>
        <v>4.1666666666666664E-2</v>
      </c>
      <c r="AG104" s="211">
        <f>SUMIFS('Key Inputs_BY Techs'!AA:AA,'Key Inputs_BY Techs'!$A:$A,'RSD_BY Techs'!$L104,'Key Inputs_BY Techs'!$C:$C,'RSD_BY Techs'!$B104)/8760</f>
        <v>4.1666666666666664E-2</v>
      </c>
      <c r="AH104" s="211">
        <f>SUMIFS('Key Inputs_BY Techs'!AB:AB,'Key Inputs_BY Techs'!$A:$A,'RSD_BY Techs'!$L104,'Key Inputs_BY Techs'!$C:$C,'RSD_BY Techs'!$B104)/8760</f>
        <v>5.1477189103886295E-2</v>
      </c>
      <c r="AI104" s="211">
        <f>SUMIFS('Key Inputs_BY Techs'!AC:AC,'Key Inputs_BY Techs'!$A:$A,'RSD_BY Techs'!$L104,'Key Inputs_BY Techs'!$C:$C,'RSD_BY Techs'!$B104)/8760</f>
        <v>4.1666666666666664E-2</v>
      </c>
      <c r="AJ104" s="211">
        <f>SUMIFS('Key Inputs_BY Techs'!AD:AD,'Key Inputs_BY Techs'!$A:$A,'RSD_BY Techs'!$L104,'Key Inputs_BY Techs'!$C:$C,'RSD_BY Techs'!$B104)/8760</f>
        <v>7.0781511423467725E-2</v>
      </c>
      <c r="AK104" s="211">
        <f>SUMIFS('Key Inputs_BY Techs'!AE:AE,'Key Inputs_BY Techs'!$A:$A,'RSD_BY Techs'!$L104,'Key Inputs_BY Techs'!$C:$C,'RSD_BY Techs'!$B104)/8760</f>
        <v>4.1666666666666664E-2</v>
      </c>
      <c r="AL104" s="211">
        <f>SUMIFS('Key Inputs_BY Techs'!AF:AF,'Key Inputs_BY Techs'!$A:$A,'RSD_BY Techs'!$L104,'Key Inputs_BY Techs'!$C:$C,'RSD_BY Techs'!$B104)/8760</f>
        <v>4.8525528371344114E-2</v>
      </c>
      <c r="AM104" s="211">
        <f>SUMIFS('Key Inputs_BY Techs'!AG:AG,'Key Inputs_BY Techs'!$A:$A,'RSD_BY Techs'!$L104,'Key Inputs_BY Techs'!$C:$C,'RSD_BY Techs'!$B104)/8760</f>
        <v>4.1991055814934002E-2</v>
      </c>
      <c r="AN104" s="211">
        <f>SUMIFS('Key Inputs_BY Techs'!AH:AH,'Key Inputs_BY Techs'!$A:$A,'RSD_BY Techs'!$L104,'Key Inputs_BY Techs'!$C:$C,'RSD_BY Techs'!$B104)/8760</f>
        <v>0.10573317089500424</v>
      </c>
      <c r="AO104" s="211">
        <f>SUMIFS('Key Inputs_BY Techs'!AI:AI,'Key Inputs_BY Techs'!$A:$A,'RSD_BY Techs'!$L104,'Key Inputs_BY Techs'!$C:$C,'RSD_BY Techs'!$B104)/8760</f>
        <v>8.0437275857606058E-2</v>
      </c>
      <c r="AP104" s="211">
        <f>SUMIFS('Key Inputs_BY Techs'!AJ:AJ,'Key Inputs_BY Techs'!$A:$A,'RSD_BY Techs'!$L104,'Key Inputs_BY Techs'!$C:$C,'RSD_BY Techs'!$B104)/8760</f>
        <v>6.6692438947101099E-2</v>
      </c>
    </row>
    <row r="105" spans="1:42" x14ac:dyDescent="0.25">
      <c r="A105" s="254" t="s">
        <v>122</v>
      </c>
      <c r="B105" s="254" t="s">
        <v>469</v>
      </c>
      <c r="C105" s="254" t="str">
        <f>Legend!A$66&amp;" (Heat Pump)"</f>
        <v>Electricity (Heat Pump)</v>
      </c>
      <c r="D105" s="254" t="str">
        <f>Legend!B$66</f>
        <v>RSDELC</v>
      </c>
      <c r="E105" s="254" t="str">
        <f t="shared" si="29"/>
        <v>RSDELC</v>
      </c>
      <c r="F105" s="254"/>
      <c r="G105" s="254"/>
      <c r="I105" s="211" t="str">
        <f t="shared" si="28"/>
        <v>R-THH-HPA_ELC00</v>
      </c>
      <c r="J105" s="211" t="str">
        <f t="shared" si="28"/>
        <v>RSD Thermal uses technology: Electricity (Heat Pump) - Existing</v>
      </c>
      <c r="K105" s="211"/>
      <c r="L105" s="211" t="s">
        <v>191</v>
      </c>
      <c r="M105" s="211" t="s">
        <v>174</v>
      </c>
      <c r="N105" s="211"/>
      <c r="O105" s="211">
        <f>SUMIFS('Key Inputs_BY Techs'!I:I,'Key Inputs_BY Techs'!$A:$A,'RSD_BY Techs'!$L105,'Key Inputs_BY Techs'!$C:$C,'RSD_BY Techs'!$B105)/8760</f>
        <v>4.5322895632501033E-2</v>
      </c>
      <c r="P105" s="211">
        <f>SUMIFS('Key Inputs_BY Techs'!J:J,'Key Inputs_BY Techs'!$A:$A,'RSD_BY Techs'!$L105,'Key Inputs_BY Techs'!$C:$C,'RSD_BY Techs'!$B105)/8760</f>
        <v>4.5047579105877276E-2</v>
      </c>
      <c r="Q105" s="211">
        <f>SUMIFS('Key Inputs_BY Techs'!K:K,'Key Inputs_BY Techs'!$A:$A,'RSD_BY Techs'!$L105,'Key Inputs_BY Techs'!$C:$C,'RSD_BY Techs'!$B105)/8760</f>
        <v>4.1991055814934002E-2</v>
      </c>
      <c r="R105" s="211">
        <f>SUMIFS('Key Inputs_BY Techs'!L:L,'Key Inputs_BY Techs'!$A:$A,'RSD_BY Techs'!$L105,'Key Inputs_BY Techs'!$C:$C,'RSD_BY Techs'!$B105)/8760</f>
        <v>4.1685785869904429E-2</v>
      </c>
      <c r="S105" s="211">
        <f>SUMIFS('Key Inputs_BY Techs'!M:M,'Key Inputs_BY Techs'!$A:$A,'RSD_BY Techs'!$L105,'Key Inputs_BY Techs'!$C:$C,'RSD_BY Techs'!$B105)/8760</f>
        <v>5.0682342606484215E-2</v>
      </c>
      <c r="T105" s="211">
        <f>SUMIFS('Key Inputs_BY Techs'!N:N,'Key Inputs_BY Techs'!$A:$A,'RSD_BY Techs'!$L105,'Key Inputs_BY Techs'!$C:$C,'RSD_BY Techs'!$B105)/8760</f>
        <v>5.807085407630011E-2</v>
      </c>
      <c r="U105" s="211">
        <f>SUMIFS('Key Inputs_BY Techs'!O:O,'Key Inputs_BY Techs'!$A:$A,'RSD_BY Techs'!$L105,'Key Inputs_BY Techs'!$C:$C,'RSD_BY Techs'!$B105)/8760</f>
        <v>4.1687877260716787E-2</v>
      </c>
      <c r="V105" s="211">
        <f>SUMIFS('Key Inputs_BY Techs'!P:P,'Key Inputs_BY Techs'!$A:$A,'RSD_BY Techs'!$L105,'Key Inputs_BY Techs'!$C:$C,'RSD_BY Techs'!$B105)/8760</f>
        <v>4.2884552320900708E-2</v>
      </c>
      <c r="W105" s="211">
        <f>SUMIFS('Key Inputs_BY Techs'!Q:Q,'Key Inputs_BY Techs'!$A:$A,'RSD_BY Techs'!$L105,'Key Inputs_BY Techs'!$C:$C,'RSD_BY Techs'!$B105)/8760</f>
        <v>4.1666666666666664E-2</v>
      </c>
      <c r="X105" s="211">
        <f>SUMIFS('Key Inputs_BY Techs'!R:R,'Key Inputs_BY Techs'!$A:$A,'RSD_BY Techs'!$L105,'Key Inputs_BY Techs'!$C:$C,'RSD_BY Techs'!$B105)/8760</f>
        <v>0.12925469986413698</v>
      </c>
      <c r="Y105" s="211">
        <f>SUMIFS('Key Inputs_BY Techs'!S:S,'Key Inputs_BY Techs'!$A:$A,'RSD_BY Techs'!$L105,'Key Inputs_BY Techs'!$C:$C,'RSD_BY Techs'!$B105)/8760</f>
        <v>5.6018402502504346E-2</v>
      </c>
      <c r="Z105" s="211">
        <f>SUMIFS('Key Inputs_BY Techs'!T:T,'Key Inputs_BY Techs'!$A:$A,'RSD_BY Techs'!$L105,'Key Inputs_BY Techs'!$C:$C,'RSD_BY Techs'!$B105)/8760</f>
        <v>8.0456212261297039E-2</v>
      </c>
      <c r="AA105" s="211">
        <f>SUMIFS('Key Inputs_BY Techs'!U:U,'Key Inputs_BY Techs'!$A:$A,'RSD_BY Techs'!$L105,'Key Inputs_BY Techs'!$C:$C,'RSD_BY Techs'!$B105)/8760</f>
        <v>8.196249702811996E-2</v>
      </c>
      <c r="AB105" s="211">
        <f>SUMIFS('Key Inputs_BY Techs'!V:V,'Key Inputs_BY Techs'!$A:$A,'RSD_BY Techs'!$L105,'Key Inputs_BY Techs'!$C:$C,'RSD_BY Techs'!$B105)/8760</f>
        <v>9.0560920532517131E-2</v>
      </c>
      <c r="AC105" s="211">
        <f>SUMIFS('Key Inputs_BY Techs'!W:W,'Key Inputs_BY Techs'!$A:$A,'RSD_BY Techs'!$L105,'Key Inputs_BY Techs'!$C:$C,'RSD_BY Techs'!$B105)/8760</f>
        <v>7.7640907014416241E-2</v>
      </c>
      <c r="AD105" s="211">
        <f>SUMIFS('Key Inputs_BY Techs'!X:X,'Key Inputs_BY Techs'!$A:$A,'RSD_BY Techs'!$L105,'Key Inputs_BY Techs'!$C:$C,'RSD_BY Techs'!$B105)/8760</f>
        <v>6.6864645901418843E-2</v>
      </c>
      <c r="AE105" s="211">
        <f>SUMIFS('Key Inputs_BY Techs'!Y:Y,'Key Inputs_BY Techs'!$A:$A,'RSD_BY Techs'!$L105,'Key Inputs_BY Techs'!$C:$C,'RSD_BY Techs'!$B105)/8760</f>
        <v>6.6864645901418843E-2</v>
      </c>
      <c r="AF105" s="211">
        <f>SUMIFS('Key Inputs_BY Techs'!Z:Z,'Key Inputs_BY Techs'!$A:$A,'RSD_BY Techs'!$L105,'Key Inputs_BY Techs'!$C:$C,'RSD_BY Techs'!$B105)/8760</f>
        <v>4.1666666666666664E-2</v>
      </c>
      <c r="AG105" s="211">
        <f>SUMIFS('Key Inputs_BY Techs'!AA:AA,'Key Inputs_BY Techs'!$A:$A,'RSD_BY Techs'!$L105,'Key Inputs_BY Techs'!$C:$C,'RSD_BY Techs'!$B105)/8760</f>
        <v>4.1666666666666664E-2</v>
      </c>
      <c r="AH105" s="211">
        <f>SUMIFS('Key Inputs_BY Techs'!AB:AB,'Key Inputs_BY Techs'!$A:$A,'RSD_BY Techs'!$L105,'Key Inputs_BY Techs'!$C:$C,'RSD_BY Techs'!$B105)/8760</f>
        <v>5.1477189103886295E-2</v>
      </c>
      <c r="AI105" s="211">
        <f>SUMIFS('Key Inputs_BY Techs'!AC:AC,'Key Inputs_BY Techs'!$A:$A,'RSD_BY Techs'!$L105,'Key Inputs_BY Techs'!$C:$C,'RSD_BY Techs'!$B105)/8760</f>
        <v>4.1666666666666664E-2</v>
      </c>
      <c r="AJ105" s="211">
        <f>SUMIFS('Key Inputs_BY Techs'!AD:AD,'Key Inputs_BY Techs'!$A:$A,'RSD_BY Techs'!$L105,'Key Inputs_BY Techs'!$C:$C,'RSD_BY Techs'!$B105)/8760</f>
        <v>7.0781511423467725E-2</v>
      </c>
      <c r="AK105" s="211">
        <f>SUMIFS('Key Inputs_BY Techs'!AE:AE,'Key Inputs_BY Techs'!$A:$A,'RSD_BY Techs'!$L105,'Key Inputs_BY Techs'!$C:$C,'RSD_BY Techs'!$B105)/8760</f>
        <v>4.1666666666666664E-2</v>
      </c>
      <c r="AL105" s="211">
        <f>SUMIFS('Key Inputs_BY Techs'!AF:AF,'Key Inputs_BY Techs'!$A:$A,'RSD_BY Techs'!$L105,'Key Inputs_BY Techs'!$C:$C,'RSD_BY Techs'!$B105)/8760</f>
        <v>4.8525528371344114E-2</v>
      </c>
      <c r="AM105" s="211">
        <f>SUMIFS('Key Inputs_BY Techs'!AG:AG,'Key Inputs_BY Techs'!$A:$A,'RSD_BY Techs'!$L105,'Key Inputs_BY Techs'!$C:$C,'RSD_BY Techs'!$B105)/8760</f>
        <v>4.1991055814934002E-2</v>
      </c>
      <c r="AN105" s="211">
        <f>SUMIFS('Key Inputs_BY Techs'!AH:AH,'Key Inputs_BY Techs'!$A:$A,'RSD_BY Techs'!$L105,'Key Inputs_BY Techs'!$C:$C,'RSD_BY Techs'!$B105)/8760</f>
        <v>0.10573317089500424</v>
      </c>
      <c r="AO105" s="211">
        <f>SUMIFS('Key Inputs_BY Techs'!AI:AI,'Key Inputs_BY Techs'!$A:$A,'RSD_BY Techs'!$L105,'Key Inputs_BY Techs'!$C:$C,'RSD_BY Techs'!$B105)/8760</f>
        <v>8.0437275857606058E-2</v>
      </c>
      <c r="AP105" s="211">
        <f>SUMIFS('Key Inputs_BY Techs'!AJ:AJ,'Key Inputs_BY Techs'!$A:$A,'RSD_BY Techs'!$L105,'Key Inputs_BY Techs'!$C:$C,'RSD_BY Techs'!$B105)/8760</f>
        <v>6.6692438947101099E-2</v>
      </c>
    </row>
    <row r="106" spans="1:42" x14ac:dyDescent="0.25">
      <c r="A106" s="254" t="s">
        <v>122</v>
      </c>
      <c r="B106" s="254" t="s">
        <v>469</v>
      </c>
      <c r="C106" s="254" t="str">
        <f>Legend!$A$71&amp;", "&amp;Legend!$A$63&amp;", "&amp;Legend!$A$72</f>
        <v>Natural gas, Biogas, Manufactured gas</v>
      </c>
      <c r="D106" s="254" t="str">
        <f>Legend!$B$71&amp;", "&amp;Legend!$B$63&amp;", "&amp;Legend!$B$72</f>
        <v>RSDGAS, RSDBGS, RSDGAM</v>
      </c>
      <c r="E106" s="254" t="str">
        <f t="shared" si="29"/>
        <v>RSDGAS</v>
      </c>
      <c r="F106" s="254"/>
      <c r="G106" s="254"/>
      <c r="I106" s="211" t="str">
        <f t="shared" si="28"/>
        <v>R-THH-BLR_GAS00</v>
      </c>
      <c r="J106" s="211" t="str">
        <f t="shared" si="28"/>
        <v>RSD Thermal uses technology: Natural gas, Biogas, Manufactured gas - Existing</v>
      </c>
      <c r="K106" s="211"/>
      <c r="L106" s="211" t="s">
        <v>191</v>
      </c>
      <c r="M106" s="211" t="s">
        <v>174</v>
      </c>
      <c r="N106" s="211"/>
      <c r="O106" s="211">
        <f>SUMIFS('Key Inputs_BY Techs'!I:I,'Key Inputs_BY Techs'!$A:$A,'RSD_BY Techs'!$L106,'Key Inputs_BY Techs'!$C:$C,'RSD_BY Techs'!$B106)/8760</f>
        <v>4.5322895632501033E-2</v>
      </c>
      <c r="P106" s="211">
        <f>SUMIFS('Key Inputs_BY Techs'!J:J,'Key Inputs_BY Techs'!$A:$A,'RSD_BY Techs'!$L106,'Key Inputs_BY Techs'!$C:$C,'RSD_BY Techs'!$B106)/8760</f>
        <v>4.5047579105877276E-2</v>
      </c>
      <c r="Q106" s="211">
        <f>SUMIFS('Key Inputs_BY Techs'!K:K,'Key Inputs_BY Techs'!$A:$A,'RSD_BY Techs'!$L106,'Key Inputs_BY Techs'!$C:$C,'RSD_BY Techs'!$B106)/8760</f>
        <v>4.1991055814934002E-2</v>
      </c>
      <c r="R106" s="211">
        <f>SUMIFS('Key Inputs_BY Techs'!L:L,'Key Inputs_BY Techs'!$A:$A,'RSD_BY Techs'!$L106,'Key Inputs_BY Techs'!$C:$C,'RSD_BY Techs'!$B106)/8760</f>
        <v>4.1685785869904429E-2</v>
      </c>
      <c r="S106" s="211">
        <f>SUMIFS('Key Inputs_BY Techs'!M:M,'Key Inputs_BY Techs'!$A:$A,'RSD_BY Techs'!$L106,'Key Inputs_BY Techs'!$C:$C,'RSD_BY Techs'!$B106)/8760</f>
        <v>5.0682342606484215E-2</v>
      </c>
      <c r="T106" s="211">
        <f>SUMIFS('Key Inputs_BY Techs'!N:N,'Key Inputs_BY Techs'!$A:$A,'RSD_BY Techs'!$L106,'Key Inputs_BY Techs'!$C:$C,'RSD_BY Techs'!$B106)/8760</f>
        <v>5.807085407630011E-2</v>
      </c>
      <c r="U106" s="211">
        <f>SUMIFS('Key Inputs_BY Techs'!O:O,'Key Inputs_BY Techs'!$A:$A,'RSD_BY Techs'!$L106,'Key Inputs_BY Techs'!$C:$C,'RSD_BY Techs'!$B106)/8760</f>
        <v>4.1687877260716787E-2</v>
      </c>
      <c r="V106" s="211">
        <f>SUMIFS('Key Inputs_BY Techs'!P:P,'Key Inputs_BY Techs'!$A:$A,'RSD_BY Techs'!$L106,'Key Inputs_BY Techs'!$C:$C,'RSD_BY Techs'!$B106)/8760</f>
        <v>4.2884552320900708E-2</v>
      </c>
      <c r="W106" s="211">
        <f>SUMIFS('Key Inputs_BY Techs'!Q:Q,'Key Inputs_BY Techs'!$A:$A,'RSD_BY Techs'!$L106,'Key Inputs_BY Techs'!$C:$C,'RSD_BY Techs'!$B106)/8760</f>
        <v>4.1666666666666664E-2</v>
      </c>
      <c r="X106" s="211">
        <f>SUMIFS('Key Inputs_BY Techs'!R:R,'Key Inputs_BY Techs'!$A:$A,'RSD_BY Techs'!$L106,'Key Inputs_BY Techs'!$C:$C,'RSD_BY Techs'!$B106)/8760</f>
        <v>0.12925469986413698</v>
      </c>
      <c r="Y106" s="211">
        <f>SUMIFS('Key Inputs_BY Techs'!S:S,'Key Inputs_BY Techs'!$A:$A,'RSD_BY Techs'!$L106,'Key Inputs_BY Techs'!$C:$C,'RSD_BY Techs'!$B106)/8760</f>
        <v>5.6018402502504346E-2</v>
      </c>
      <c r="Z106" s="211">
        <f>SUMIFS('Key Inputs_BY Techs'!T:T,'Key Inputs_BY Techs'!$A:$A,'RSD_BY Techs'!$L106,'Key Inputs_BY Techs'!$C:$C,'RSD_BY Techs'!$B106)/8760</f>
        <v>8.0456212261297039E-2</v>
      </c>
      <c r="AA106" s="211">
        <f>SUMIFS('Key Inputs_BY Techs'!U:U,'Key Inputs_BY Techs'!$A:$A,'RSD_BY Techs'!$L106,'Key Inputs_BY Techs'!$C:$C,'RSD_BY Techs'!$B106)/8760</f>
        <v>8.196249702811996E-2</v>
      </c>
      <c r="AB106" s="211">
        <f>SUMIFS('Key Inputs_BY Techs'!V:V,'Key Inputs_BY Techs'!$A:$A,'RSD_BY Techs'!$L106,'Key Inputs_BY Techs'!$C:$C,'RSD_BY Techs'!$B106)/8760</f>
        <v>9.0560920532517131E-2</v>
      </c>
      <c r="AC106" s="211">
        <f>SUMIFS('Key Inputs_BY Techs'!W:W,'Key Inputs_BY Techs'!$A:$A,'RSD_BY Techs'!$L106,'Key Inputs_BY Techs'!$C:$C,'RSD_BY Techs'!$B106)/8760</f>
        <v>7.7640907014416241E-2</v>
      </c>
      <c r="AD106" s="211">
        <f>SUMIFS('Key Inputs_BY Techs'!X:X,'Key Inputs_BY Techs'!$A:$A,'RSD_BY Techs'!$L106,'Key Inputs_BY Techs'!$C:$C,'RSD_BY Techs'!$B106)/8760</f>
        <v>6.6864645901418843E-2</v>
      </c>
      <c r="AE106" s="211">
        <f>SUMIFS('Key Inputs_BY Techs'!Y:Y,'Key Inputs_BY Techs'!$A:$A,'RSD_BY Techs'!$L106,'Key Inputs_BY Techs'!$C:$C,'RSD_BY Techs'!$B106)/8760</f>
        <v>6.6864645901418843E-2</v>
      </c>
      <c r="AF106" s="211">
        <f>SUMIFS('Key Inputs_BY Techs'!Z:Z,'Key Inputs_BY Techs'!$A:$A,'RSD_BY Techs'!$L106,'Key Inputs_BY Techs'!$C:$C,'RSD_BY Techs'!$B106)/8760</f>
        <v>4.1666666666666664E-2</v>
      </c>
      <c r="AG106" s="211">
        <f>SUMIFS('Key Inputs_BY Techs'!AA:AA,'Key Inputs_BY Techs'!$A:$A,'RSD_BY Techs'!$L106,'Key Inputs_BY Techs'!$C:$C,'RSD_BY Techs'!$B106)/8760</f>
        <v>4.1666666666666664E-2</v>
      </c>
      <c r="AH106" s="211">
        <f>SUMIFS('Key Inputs_BY Techs'!AB:AB,'Key Inputs_BY Techs'!$A:$A,'RSD_BY Techs'!$L106,'Key Inputs_BY Techs'!$C:$C,'RSD_BY Techs'!$B106)/8760</f>
        <v>5.1477189103886295E-2</v>
      </c>
      <c r="AI106" s="211">
        <f>SUMIFS('Key Inputs_BY Techs'!AC:AC,'Key Inputs_BY Techs'!$A:$A,'RSD_BY Techs'!$L106,'Key Inputs_BY Techs'!$C:$C,'RSD_BY Techs'!$B106)/8760</f>
        <v>4.1666666666666664E-2</v>
      </c>
      <c r="AJ106" s="211">
        <f>SUMIFS('Key Inputs_BY Techs'!AD:AD,'Key Inputs_BY Techs'!$A:$A,'RSD_BY Techs'!$L106,'Key Inputs_BY Techs'!$C:$C,'RSD_BY Techs'!$B106)/8760</f>
        <v>7.0781511423467725E-2</v>
      </c>
      <c r="AK106" s="211">
        <f>SUMIFS('Key Inputs_BY Techs'!AE:AE,'Key Inputs_BY Techs'!$A:$A,'RSD_BY Techs'!$L106,'Key Inputs_BY Techs'!$C:$C,'RSD_BY Techs'!$B106)/8760</f>
        <v>4.1666666666666664E-2</v>
      </c>
      <c r="AL106" s="211">
        <f>SUMIFS('Key Inputs_BY Techs'!AF:AF,'Key Inputs_BY Techs'!$A:$A,'RSD_BY Techs'!$L106,'Key Inputs_BY Techs'!$C:$C,'RSD_BY Techs'!$B106)/8760</f>
        <v>4.8525528371344114E-2</v>
      </c>
      <c r="AM106" s="211">
        <f>SUMIFS('Key Inputs_BY Techs'!AG:AG,'Key Inputs_BY Techs'!$A:$A,'RSD_BY Techs'!$L106,'Key Inputs_BY Techs'!$C:$C,'RSD_BY Techs'!$B106)/8760</f>
        <v>4.1991055814934002E-2</v>
      </c>
      <c r="AN106" s="211">
        <f>SUMIFS('Key Inputs_BY Techs'!AH:AH,'Key Inputs_BY Techs'!$A:$A,'RSD_BY Techs'!$L106,'Key Inputs_BY Techs'!$C:$C,'RSD_BY Techs'!$B106)/8760</f>
        <v>0.10573317089500424</v>
      </c>
      <c r="AO106" s="211">
        <f>SUMIFS('Key Inputs_BY Techs'!AI:AI,'Key Inputs_BY Techs'!$A:$A,'RSD_BY Techs'!$L106,'Key Inputs_BY Techs'!$C:$C,'RSD_BY Techs'!$B106)/8760</f>
        <v>8.0437275857606058E-2</v>
      </c>
      <c r="AP106" s="211">
        <f>SUMIFS('Key Inputs_BY Techs'!AJ:AJ,'Key Inputs_BY Techs'!$A:$A,'RSD_BY Techs'!$L106,'Key Inputs_BY Techs'!$C:$C,'RSD_BY Techs'!$B106)/8760</f>
        <v>6.6692438947101099E-2</v>
      </c>
    </row>
    <row r="107" spans="1:42" x14ac:dyDescent="0.25">
      <c r="A107" s="254" t="s">
        <v>122</v>
      </c>
      <c r="B107" s="254" t="s">
        <v>469</v>
      </c>
      <c r="C107" s="254" t="str">
        <f>Legend!$A$67</f>
        <v>Geothermal</v>
      </c>
      <c r="D107" s="254" t="str">
        <f>Legend!$B$67</f>
        <v>RSDGEO</v>
      </c>
      <c r="E107" s="254" t="str">
        <f t="shared" si="29"/>
        <v>RSDGEO</v>
      </c>
      <c r="F107" s="254"/>
      <c r="G107" s="254"/>
      <c r="I107" s="211" t="str">
        <f t="shared" si="28"/>
        <v>R-THH-HEX_GEO00</v>
      </c>
      <c r="J107" s="211" t="str">
        <f t="shared" si="28"/>
        <v>RSD Thermal uses technology: Geothermal - Existing</v>
      </c>
      <c r="K107" s="211"/>
      <c r="L107" s="211" t="s">
        <v>191</v>
      </c>
      <c r="M107" s="211" t="s">
        <v>174</v>
      </c>
      <c r="N107" s="211"/>
      <c r="O107" s="211">
        <f>SUMIFS('Key Inputs_BY Techs'!I:I,'Key Inputs_BY Techs'!$A:$A,'RSD_BY Techs'!$L107,'Key Inputs_BY Techs'!$C:$C,'RSD_BY Techs'!$B107)/8760</f>
        <v>4.5322895632501033E-2</v>
      </c>
      <c r="P107" s="211">
        <f>SUMIFS('Key Inputs_BY Techs'!J:J,'Key Inputs_BY Techs'!$A:$A,'RSD_BY Techs'!$L107,'Key Inputs_BY Techs'!$C:$C,'RSD_BY Techs'!$B107)/8760</f>
        <v>4.5047579105877276E-2</v>
      </c>
      <c r="Q107" s="211">
        <f>SUMIFS('Key Inputs_BY Techs'!K:K,'Key Inputs_BY Techs'!$A:$A,'RSD_BY Techs'!$L107,'Key Inputs_BY Techs'!$C:$C,'RSD_BY Techs'!$B107)/8760</f>
        <v>4.1991055814934002E-2</v>
      </c>
      <c r="R107" s="211">
        <f>SUMIFS('Key Inputs_BY Techs'!L:L,'Key Inputs_BY Techs'!$A:$A,'RSD_BY Techs'!$L107,'Key Inputs_BY Techs'!$C:$C,'RSD_BY Techs'!$B107)/8760</f>
        <v>4.1685785869904429E-2</v>
      </c>
      <c r="S107" s="211">
        <f>SUMIFS('Key Inputs_BY Techs'!M:M,'Key Inputs_BY Techs'!$A:$A,'RSD_BY Techs'!$L107,'Key Inputs_BY Techs'!$C:$C,'RSD_BY Techs'!$B107)/8760</f>
        <v>5.0682342606484215E-2</v>
      </c>
      <c r="T107" s="211">
        <f>SUMIFS('Key Inputs_BY Techs'!N:N,'Key Inputs_BY Techs'!$A:$A,'RSD_BY Techs'!$L107,'Key Inputs_BY Techs'!$C:$C,'RSD_BY Techs'!$B107)/8760</f>
        <v>5.807085407630011E-2</v>
      </c>
      <c r="U107" s="211">
        <f>SUMIFS('Key Inputs_BY Techs'!O:O,'Key Inputs_BY Techs'!$A:$A,'RSD_BY Techs'!$L107,'Key Inputs_BY Techs'!$C:$C,'RSD_BY Techs'!$B107)/8760</f>
        <v>4.1687877260716787E-2</v>
      </c>
      <c r="V107" s="211">
        <f>SUMIFS('Key Inputs_BY Techs'!P:P,'Key Inputs_BY Techs'!$A:$A,'RSD_BY Techs'!$L107,'Key Inputs_BY Techs'!$C:$C,'RSD_BY Techs'!$B107)/8760</f>
        <v>4.2884552320900708E-2</v>
      </c>
      <c r="W107" s="211">
        <f>SUMIFS('Key Inputs_BY Techs'!Q:Q,'Key Inputs_BY Techs'!$A:$A,'RSD_BY Techs'!$L107,'Key Inputs_BY Techs'!$C:$C,'RSD_BY Techs'!$B107)/8760</f>
        <v>4.1666666666666664E-2</v>
      </c>
      <c r="X107" s="211">
        <f>SUMIFS('Key Inputs_BY Techs'!R:R,'Key Inputs_BY Techs'!$A:$A,'RSD_BY Techs'!$L107,'Key Inputs_BY Techs'!$C:$C,'RSD_BY Techs'!$B107)/8760</f>
        <v>0.12925469986413698</v>
      </c>
      <c r="Y107" s="211">
        <f>SUMIFS('Key Inputs_BY Techs'!S:S,'Key Inputs_BY Techs'!$A:$A,'RSD_BY Techs'!$L107,'Key Inputs_BY Techs'!$C:$C,'RSD_BY Techs'!$B107)/8760</f>
        <v>5.6018402502504346E-2</v>
      </c>
      <c r="Z107" s="211">
        <f>SUMIFS('Key Inputs_BY Techs'!T:T,'Key Inputs_BY Techs'!$A:$A,'RSD_BY Techs'!$L107,'Key Inputs_BY Techs'!$C:$C,'RSD_BY Techs'!$B107)/8760</f>
        <v>8.0456212261297039E-2</v>
      </c>
      <c r="AA107" s="211">
        <f>SUMIFS('Key Inputs_BY Techs'!U:U,'Key Inputs_BY Techs'!$A:$A,'RSD_BY Techs'!$L107,'Key Inputs_BY Techs'!$C:$C,'RSD_BY Techs'!$B107)/8760</f>
        <v>8.196249702811996E-2</v>
      </c>
      <c r="AB107" s="211">
        <f>SUMIFS('Key Inputs_BY Techs'!V:V,'Key Inputs_BY Techs'!$A:$A,'RSD_BY Techs'!$L107,'Key Inputs_BY Techs'!$C:$C,'RSD_BY Techs'!$B107)/8760</f>
        <v>9.0560920532517131E-2</v>
      </c>
      <c r="AC107" s="211">
        <f>SUMIFS('Key Inputs_BY Techs'!W:W,'Key Inputs_BY Techs'!$A:$A,'RSD_BY Techs'!$L107,'Key Inputs_BY Techs'!$C:$C,'RSD_BY Techs'!$B107)/8760</f>
        <v>7.7640907014416241E-2</v>
      </c>
      <c r="AD107" s="211">
        <f>SUMIFS('Key Inputs_BY Techs'!X:X,'Key Inputs_BY Techs'!$A:$A,'RSD_BY Techs'!$L107,'Key Inputs_BY Techs'!$C:$C,'RSD_BY Techs'!$B107)/8760</f>
        <v>6.6864645901418843E-2</v>
      </c>
      <c r="AE107" s="211">
        <f>SUMIFS('Key Inputs_BY Techs'!Y:Y,'Key Inputs_BY Techs'!$A:$A,'RSD_BY Techs'!$L107,'Key Inputs_BY Techs'!$C:$C,'RSD_BY Techs'!$B107)/8760</f>
        <v>6.6864645901418843E-2</v>
      </c>
      <c r="AF107" s="211">
        <f>SUMIFS('Key Inputs_BY Techs'!Z:Z,'Key Inputs_BY Techs'!$A:$A,'RSD_BY Techs'!$L107,'Key Inputs_BY Techs'!$C:$C,'RSD_BY Techs'!$B107)/8760</f>
        <v>4.1666666666666664E-2</v>
      </c>
      <c r="AG107" s="211">
        <f>SUMIFS('Key Inputs_BY Techs'!AA:AA,'Key Inputs_BY Techs'!$A:$A,'RSD_BY Techs'!$L107,'Key Inputs_BY Techs'!$C:$C,'RSD_BY Techs'!$B107)/8760</f>
        <v>4.1666666666666664E-2</v>
      </c>
      <c r="AH107" s="211">
        <f>SUMIFS('Key Inputs_BY Techs'!AB:AB,'Key Inputs_BY Techs'!$A:$A,'RSD_BY Techs'!$L107,'Key Inputs_BY Techs'!$C:$C,'RSD_BY Techs'!$B107)/8760</f>
        <v>5.1477189103886295E-2</v>
      </c>
      <c r="AI107" s="211">
        <f>SUMIFS('Key Inputs_BY Techs'!AC:AC,'Key Inputs_BY Techs'!$A:$A,'RSD_BY Techs'!$L107,'Key Inputs_BY Techs'!$C:$C,'RSD_BY Techs'!$B107)/8760</f>
        <v>4.1666666666666664E-2</v>
      </c>
      <c r="AJ107" s="211">
        <f>SUMIFS('Key Inputs_BY Techs'!AD:AD,'Key Inputs_BY Techs'!$A:$A,'RSD_BY Techs'!$L107,'Key Inputs_BY Techs'!$C:$C,'RSD_BY Techs'!$B107)/8760</f>
        <v>7.0781511423467725E-2</v>
      </c>
      <c r="AK107" s="211">
        <f>SUMIFS('Key Inputs_BY Techs'!AE:AE,'Key Inputs_BY Techs'!$A:$A,'RSD_BY Techs'!$L107,'Key Inputs_BY Techs'!$C:$C,'RSD_BY Techs'!$B107)/8760</f>
        <v>4.1666666666666664E-2</v>
      </c>
      <c r="AL107" s="211">
        <f>SUMIFS('Key Inputs_BY Techs'!AF:AF,'Key Inputs_BY Techs'!$A:$A,'RSD_BY Techs'!$L107,'Key Inputs_BY Techs'!$C:$C,'RSD_BY Techs'!$B107)/8760</f>
        <v>4.8525528371344114E-2</v>
      </c>
      <c r="AM107" s="211">
        <f>SUMIFS('Key Inputs_BY Techs'!AG:AG,'Key Inputs_BY Techs'!$A:$A,'RSD_BY Techs'!$L107,'Key Inputs_BY Techs'!$C:$C,'RSD_BY Techs'!$B107)/8760</f>
        <v>4.1991055814934002E-2</v>
      </c>
      <c r="AN107" s="211">
        <f>SUMIFS('Key Inputs_BY Techs'!AH:AH,'Key Inputs_BY Techs'!$A:$A,'RSD_BY Techs'!$L107,'Key Inputs_BY Techs'!$C:$C,'RSD_BY Techs'!$B107)/8760</f>
        <v>0.10573317089500424</v>
      </c>
      <c r="AO107" s="211">
        <f>SUMIFS('Key Inputs_BY Techs'!AI:AI,'Key Inputs_BY Techs'!$A:$A,'RSD_BY Techs'!$L107,'Key Inputs_BY Techs'!$C:$C,'RSD_BY Techs'!$B107)/8760</f>
        <v>8.0437275857606058E-2</v>
      </c>
      <c r="AP107" s="211">
        <f>SUMIFS('Key Inputs_BY Techs'!AJ:AJ,'Key Inputs_BY Techs'!$A:$A,'RSD_BY Techs'!$L107,'Key Inputs_BY Techs'!$C:$C,'RSD_BY Techs'!$B107)/8760</f>
        <v>6.6692438947101099E-2</v>
      </c>
    </row>
    <row r="108" spans="1:42" x14ac:dyDescent="0.25">
      <c r="A108" s="254" t="s">
        <v>122</v>
      </c>
      <c r="B108" s="254" t="s">
        <v>469</v>
      </c>
      <c r="C108" s="254" t="str">
        <f>Legend!$A$68</f>
        <v>Heat</v>
      </c>
      <c r="D108" s="254" t="str">
        <f>Legend!$B$68</f>
        <v>RSDHET</v>
      </c>
      <c r="E108" s="254" t="str">
        <f t="shared" si="29"/>
        <v>RSDHET</v>
      </c>
      <c r="F108" s="254"/>
      <c r="G108" s="254"/>
      <c r="I108" s="211" t="str">
        <f t="shared" si="28"/>
        <v>R-THH-HEX_HET00</v>
      </c>
      <c r="J108" s="211" t="str">
        <f t="shared" si="28"/>
        <v>RSD Thermal uses technology: Heat - Existing</v>
      </c>
      <c r="K108" s="211"/>
      <c r="L108" s="211" t="s">
        <v>191</v>
      </c>
      <c r="M108" s="211" t="s">
        <v>174</v>
      </c>
      <c r="N108" s="211"/>
      <c r="O108" s="211">
        <f>SUMIFS('Key Inputs_BY Techs'!I:I,'Key Inputs_BY Techs'!$A:$A,'RSD_BY Techs'!$L108,'Key Inputs_BY Techs'!$C:$C,'RSD_BY Techs'!$B108)/8760</f>
        <v>4.5322895632501033E-2</v>
      </c>
      <c r="P108" s="211">
        <f>SUMIFS('Key Inputs_BY Techs'!J:J,'Key Inputs_BY Techs'!$A:$A,'RSD_BY Techs'!$L108,'Key Inputs_BY Techs'!$C:$C,'RSD_BY Techs'!$B108)/8760</f>
        <v>4.5047579105877276E-2</v>
      </c>
      <c r="Q108" s="211">
        <f>SUMIFS('Key Inputs_BY Techs'!K:K,'Key Inputs_BY Techs'!$A:$A,'RSD_BY Techs'!$L108,'Key Inputs_BY Techs'!$C:$C,'RSD_BY Techs'!$B108)/8760</f>
        <v>4.1991055814934002E-2</v>
      </c>
      <c r="R108" s="211">
        <f>SUMIFS('Key Inputs_BY Techs'!L:L,'Key Inputs_BY Techs'!$A:$A,'RSD_BY Techs'!$L108,'Key Inputs_BY Techs'!$C:$C,'RSD_BY Techs'!$B108)/8760</f>
        <v>4.1685785869904429E-2</v>
      </c>
      <c r="S108" s="211">
        <f>SUMIFS('Key Inputs_BY Techs'!M:M,'Key Inputs_BY Techs'!$A:$A,'RSD_BY Techs'!$L108,'Key Inputs_BY Techs'!$C:$C,'RSD_BY Techs'!$B108)/8760</f>
        <v>5.0682342606484215E-2</v>
      </c>
      <c r="T108" s="211">
        <f>SUMIFS('Key Inputs_BY Techs'!N:N,'Key Inputs_BY Techs'!$A:$A,'RSD_BY Techs'!$L108,'Key Inputs_BY Techs'!$C:$C,'RSD_BY Techs'!$B108)/8760</f>
        <v>5.807085407630011E-2</v>
      </c>
      <c r="U108" s="211">
        <f>SUMIFS('Key Inputs_BY Techs'!O:O,'Key Inputs_BY Techs'!$A:$A,'RSD_BY Techs'!$L108,'Key Inputs_BY Techs'!$C:$C,'RSD_BY Techs'!$B108)/8760</f>
        <v>4.1687877260716787E-2</v>
      </c>
      <c r="V108" s="211">
        <f>SUMIFS('Key Inputs_BY Techs'!P:P,'Key Inputs_BY Techs'!$A:$A,'RSD_BY Techs'!$L108,'Key Inputs_BY Techs'!$C:$C,'RSD_BY Techs'!$B108)/8760</f>
        <v>4.2884552320900708E-2</v>
      </c>
      <c r="W108" s="211">
        <f>SUMIFS('Key Inputs_BY Techs'!Q:Q,'Key Inputs_BY Techs'!$A:$A,'RSD_BY Techs'!$L108,'Key Inputs_BY Techs'!$C:$C,'RSD_BY Techs'!$B108)/8760</f>
        <v>4.1666666666666664E-2</v>
      </c>
      <c r="X108" s="211">
        <f>SUMIFS('Key Inputs_BY Techs'!R:R,'Key Inputs_BY Techs'!$A:$A,'RSD_BY Techs'!$L108,'Key Inputs_BY Techs'!$C:$C,'RSD_BY Techs'!$B108)/8760</f>
        <v>0.12925469986413698</v>
      </c>
      <c r="Y108" s="211">
        <f>SUMIFS('Key Inputs_BY Techs'!S:S,'Key Inputs_BY Techs'!$A:$A,'RSD_BY Techs'!$L108,'Key Inputs_BY Techs'!$C:$C,'RSD_BY Techs'!$B108)/8760</f>
        <v>5.6018402502504346E-2</v>
      </c>
      <c r="Z108" s="211">
        <f>SUMIFS('Key Inputs_BY Techs'!T:T,'Key Inputs_BY Techs'!$A:$A,'RSD_BY Techs'!$L108,'Key Inputs_BY Techs'!$C:$C,'RSD_BY Techs'!$B108)/8760</f>
        <v>8.0456212261297039E-2</v>
      </c>
      <c r="AA108" s="211">
        <f>SUMIFS('Key Inputs_BY Techs'!U:U,'Key Inputs_BY Techs'!$A:$A,'RSD_BY Techs'!$L108,'Key Inputs_BY Techs'!$C:$C,'RSD_BY Techs'!$B108)/8760</f>
        <v>8.196249702811996E-2</v>
      </c>
      <c r="AB108" s="211">
        <f>SUMIFS('Key Inputs_BY Techs'!V:V,'Key Inputs_BY Techs'!$A:$A,'RSD_BY Techs'!$L108,'Key Inputs_BY Techs'!$C:$C,'RSD_BY Techs'!$B108)/8760</f>
        <v>9.0560920532517131E-2</v>
      </c>
      <c r="AC108" s="211">
        <f>SUMIFS('Key Inputs_BY Techs'!W:W,'Key Inputs_BY Techs'!$A:$A,'RSD_BY Techs'!$L108,'Key Inputs_BY Techs'!$C:$C,'RSD_BY Techs'!$B108)/8760</f>
        <v>7.7640907014416241E-2</v>
      </c>
      <c r="AD108" s="211">
        <f>SUMIFS('Key Inputs_BY Techs'!X:X,'Key Inputs_BY Techs'!$A:$A,'RSD_BY Techs'!$L108,'Key Inputs_BY Techs'!$C:$C,'RSD_BY Techs'!$B108)/8760</f>
        <v>6.6864645901418843E-2</v>
      </c>
      <c r="AE108" s="211">
        <f>SUMIFS('Key Inputs_BY Techs'!Y:Y,'Key Inputs_BY Techs'!$A:$A,'RSD_BY Techs'!$L108,'Key Inputs_BY Techs'!$C:$C,'RSD_BY Techs'!$B108)/8760</f>
        <v>6.6864645901418843E-2</v>
      </c>
      <c r="AF108" s="211">
        <f>SUMIFS('Key Inputs_BY Techs'!Z:Z,'Key Inputs_BY Techs'!$A:$A,'RSD_BY Techs'!$L108,'Key Inputs_BY Techs'!$C:$C,'RSD_BY Techs'!$B108)/8760</f>
        <v>4.1666666666666664E-2</v>
      </c>
      <c r="AG108" s="211">
        <f>SUMIFS('Key Inputs_BY Techs'!AA:AA,'Key Inputs_BY Techs'!$A:$A,'RSD_BY Techs'!$L108,'Key Inputs_BY Techs'!$C:$C,'RSD_BY Techs'!$B108)/8760</f>
        <v>4.1666666666666664E-2</v>
      </c>
      <c r="AH108" s="211">
        <f>SUMIFS('Key Inputs_BY Techs'!AB:AB,'Key Inputs_BY Techs'!$A:$A,'RSD_BY Techs'!$L108,'Key Inputs_BY Techs'!$C:$C,'RSD_BY Techs'!$B108)/8760</f>
        <v>5.1477189103886295E-2</v>
      </c>
      <c r="AI108" s="211">
        <f>SUMIFS('Key Inputs_BY Techs'!AC:AC,'Key Inputs_BY Techs'!$A:$A,'RSD_BY Techs'!$L108,'Key Inputs_BY Techs'!$C:$C,'RSD_BY Techs'!$B108)/8760</f>
        <v>4.1666666666666664E-2</v>
      </c>
      <c r="AJ108" s="211">
        <f>SUMIFS('Key Inputs_BY Techs'!AD:AD,'Key Inputs_BY Techs'!$A:$A,'RSD_BY Techs'!$L108,'Key Inputs_BY Techs'!$C:$C,'RSD_BY Techs'!$B108)/8760</f>
        <v>7.0781511423467725E-2</v>
      </c>
      <c r="AK108" s="211">
        <f>SUMIFS('Key Inputs_BY Techs'!AE:AE,'Key Inputs_BY Techs'!$A:$A,'RSD_BY Techs'!$L108,'Key Inputs_BY Techs'!$C:$C,'RSD_BY Techs'!$B108)/8760</f>
        <v>4.1666666666666664E-2</v>
      </c>
      <c r="AL108" s="211">
        <f>SUMIFS('Key Inputs_BY Techs'!AF:AF,'Key Inputs_BY Techs'!$A:$A,'RSD_BY Techs'!$L108,'Key Inputs_BY Techs'!$C:$C,'RSD_BY Techs'!$B108)/8760</f>
        <v>4.8525528371344114E-2</v>
      </c>
      <c r="AM108" s="211">
        <f>SUMIFS('Key Inputs_BY Techs'!AG:AG,'Key Inputs_BY Techs'!$A:$A,'RSD_BY Techs'!$L108,'Key Inputs_BY Techs'!$C:$C,'RSD_BY Techs'!$B108)/8760</f>
        <v>4.1991055814934002E-2</v>
      </c>
      <c r="AN108" s="211">
        <f>SUMIFS('Key Inputs_BY Techs'!AH:AH,'Key Inputs_BY Techs'!$A:$A,'RSD_BY Techs'!$L108,'Key Inputs_BY Techs'!$C:$C,'RSD_BY Techs'!$B108)/8760</f>
        <v>0.10573317089500424</v>
      </c>
      <c r="AO108" s="211">
        <f>SUMIFS('Key Inputs_BY Techs'!AI:AI,'Key Inputs_BY Techs'!$A:$A,'RSD_BY Techs'!$L108,'Key Inputs_BY Techs'!$C:$C,'RSD_BY Techs'!$B108)/8760</f>
        <v>8.0437275857606058E-2</v>
      </c>
      <c r="AP108" s="211">
        <f>SUMIFS('Key Inputs_BY Techs'!AJ:AJ,'Key Inputs_BY Techs'!$A:$A,'RSD_BY Techs'!$L108,'Key Inputs_BY Techs'!$C:$C,'RSD_BY Techs'!$B108)/8760</f>
        <v>6.6692438947101099E-2</v>
      </c>
    </row>
    <row r="109" spans="1:42" x14ac:dyDescent="0.25">
      <c r="A109" s="254" t="s">
        <v>122</v>
      </c>
      <c r="B109" s="254" t="s">
        <v>469</v>
      </c>
      <c r="C109" s="254" t="str">
        <f>Legend!$A$70</f>
        <v>LPG</v>
      </c>
      <c r="D109" s="254" t="str">
        <f>Legend!$B$70</f>
        <v>RSDLPG</v>
      </c>
      <c r="E109" s="254" t="str">
        <f t="shared" si="29"/>
        <v>RSDLPG</v>
      </c>
      <c r="F109" s="254"/>
      <c r="G109" s="254"/>
      <c r="I109" s="211" t="str">
        <f t="shared" si="28"/>
        <v>R-THH-BLR_LPG00</v>
      </c>
      <c r="J109" s="211" t="str">
        <f t="shared" si="28"/>
        <v>RSD Thermal uses technology: LPG - Existing</v>
      </c>
      <c r="K109" s="211"/>
      <c r="L109" s="211" t="s">
        <v>191</v>
      </c>
      <c r="M109" s="211" t="s">
        <v>174</v>
      </c>
      <c r="N109" s="211"/>
      <c r="O109" s="211">
        <f>SUMIFS('Key Inputs_BY Techs'!I:I,'Key Inputs_BY Techs'!$A:$A,'RSD_BY Techs'!$L109,'Key Inputs_BY Techs'!$C:$C,'RSD_BY Techs'!$B109)/8760</f>
        <v>4.5322895632501033E-2</v>
      </c>
      <c r="P109" s="211">
        <f>SUMIFS('Key Inputs_BY Techs'!J:J,'Key Inputs_BY Techs'!$A:$A,'RSD_BY Techs'!$L109,'Key Inputs_BY Techs'!$C:$C,'RSD_BY Techs'!$B109)/8760</f>
        <v>4.5047579105877276E-2</v>
      </c>
      <c r="Q109" s="211">
        <f>SUMIFS('Key Inputs_BY Techs'!K:K,'Key Inputs_BY Techs'!$A:$A,'RSD_BY Techs'!$L109,'Key Inputs_BY Techs'!$C:$C,'RSD_BY Techs'!$B109)/8760</f>
        <v>4.1991055814934002E-2</v>
      </c>
      <c r="R109" s="211">
        <f>SUMIFS('Key Inputs_BY Techs'!L:L,'Key Inputs_BY Techs'!$A:$A,'RSD_BY Techs'!$L109,'Key Inputs_BY Techs'!$C:$C,'RSD_BY Techs'!$B109)/8760</f>
        <v>4.1685785869904429E-2</v>
      </c>
      <c r="S109" s="211">
        <f>SUMIFS('Key Inputs_BY Techs'!M:M,'Key Inputs_BY Techs'!$A:$A,'RSD_BY Techs'!$L109,'Key Inputs_BY Techs'!$C:$C,'RSD_BY Techs'!$B109)/8760</f>
        <v>5.0682342606484215E-2</v>
      </c>
      <c r="T109" s="211">
        <f>SUMIFS('Key Inputs_BY Techs'!N:N,'Key Inputs_BY Techs'!$A:$A,'RSD_BY Techs'!$L109,'Key Inputs_BY Techs'!$C:$C,'RSD_BY Techs'!$B109)/8760</f>
        <v>5.807085407630011E-2</v>
      </c>
      <c r="U109" s="211">
        <f>SUMIFS('Key Inputs_BY Techs'!O:O,'Key Inputs_BY Techs'!$A:$A,'RSD_BY Techs'!$L109,'Key Inputs_BY Techs'!$C:$C,'RSD_BY Techs'!$B109)/8760</f>
        <v>4.1687877260716787E-2</v>
      </c>
      <c r="V109" s="211">
        <f>SUMIFS('Key Inputs_BY Techs'!P:P,'Key Inputs_BY Techs'!$A:$A,'RSD_BY Techs'!$L109,'Key Inputs_BY Techs'!$C:$C,'RSD_BY Techs'!$B109)/8760</f>
        <v>4.2884552320900708E-2</v>
      </c>
      <c r="W109" s="211">
        <f>SUMIFS('Key Inputs_BY Techs'!Q:Q,'Key Inputs_BY Techs'!$A:$A,'RSD_BY Techs'!$L109,'Key Inputs_BY Techs'!$C:$C,'RSD_BY Techs'!$B109)/8760</f>
        <v>4.1666666666666664E-2</v>
      </c>
      <c r="X109" s="211">
        <f>SUMIFS('Key Inputs_BY Techs'!R:R,'Key Inputs_BY Techs'!$A:$A,'RSD_BY Techs'!$L109,'Key Inputs_BY Techs'!$C:$C,'RSD_BY Techs'!$B109)/8760</f>
        <v>0.12925469986413698</v>
      </c>
      <c r="Y109" s="211">
        <f>SUMIFS('Key Inputs_BY Techs'!S:S,'Key Inputs_BY Techs'!$A:$A,'RSD_BY Techs'!$L109,'Key Inputs_BY Techs'!$C:$C,'RSD_BY Techs'!$B109)/8760</f>
        <v>5.6018402502504346E-2</v>
      </c>
      <c r="Z109" s="211">
        <f>SUMIFS('Key Inputs_BY Techs'!T:T,'Key Inputs_BY Techs'!$A:$A,'RSD_BY Techs'!$L109,'Key Inputs_BY Techs'!$C:$C,'RSD_BY Techs'!$B109)/8760</f>
        <v>8.0456212261297039E-2</v>
      </c>
      <c r="AA109" s="211">
        <f>SUMIFS('Key Inputs_BY Techs'!U:U,'Key Inputs_BY Techs'!$A:$A,'RSD_BY Techs'!$L109,'Key Inputs_BY Techs'!$C:$C,'RSD_BY Techs'!$B109)/8760</f>
        <v>8.196249702811996E-2</v>
      </c>
      <c r="AB109" s="211">
        <f>SUMIFS('Key Inputs_BY Techs'!V:V,'Key Inputs_BY Techs'!$A:$A,'RSD_BY Techs'!$L109,'Key Inputs_BY Techs'!$C:$C,'RSD_BY Techs'!$B109)/8760</f>
        <v>9.0560920532517131E-2</v>
      </c>
      <c r="AC109" s="211">
        <f>SUMIFS('Key Inputs_BY Techs'!W:W,'Key Inputs_BY Techs'!$A:$A,'RSD_BY Techs'!$L109,'Key Inputs_BY Techs'!$C:$C,'RSD_BY Techs'!$B109)/8760</f>
        <v>7.7640907014416241E-2</v>
      </c>
      <c r="AD109" s="211">
        <f>SUMIFS('Key Inputs_BY Techs'!X:X,'Key Inputs_BY Techs'!$A:$A,'RSD_BY Techs'!$L109,'Key Inputs_BY Techs'!$C:$C,'RSD_BY Techs'!$B109)/8760</f>
        <v>6.6864645901418843E-2</v>
      </c>
      <c r="AE109" s="211">
        <f>SUMIFS('Key Inputs_BY Techs'!Y:Y,'Key Inputs_BY Techs'!$A:$A,'RSD_BY Techs'!$L109,'Key Inputs_BY Techs'!$C:$C,'RSD_BY Techs'!$B109)/8760</f>
        <v>6.6864645901418843E-2</v>
      </c>
      <c r="AF109" s="211">
        <f>SUMIFS('Key Inputs_BY Techs'!Z:Z,'Key Inputs_BY Techs'!$A:$A,'RSD_BY Techs'!$L109,'Key Inputs_BY Techs'!$C:$C,'RSD_BY Techs'!$B109)/8760</f>
        <v>4.1666666666666664E-2</v>
      </c>
      <c r="AG109" s="211">
        <f>SUMIFS('Key Inputs_BY Techs'!AA:AA,'Key Inputs_BY Techs'!$A:$A,'RSD_BY Techs'!$L109,'Key Inputs_BY Techs'!$C:$C,'RSD_BY Techs'!$B109)/8760</f>
        <v>4.1666666666666664E-2</v>
      </c>
      <c r="AH109" s="211">
        <f>SUMIFS('Key Inputs_BY Techs'!AB:AB,'Key Inputs_BY Techs'!$A:$A,'RSD_BY Techs'!$L109,'Key Inputs_BY Techs'!$C:$C,'RSD_BY Techs'!$B109)/8760</f>
        <v>5.1477189103886295E-2</v>
      </c>
      <c r="AI109" s="211">
        <f>SUMIFS('Key Inputs_BY Techs'!AC:AC,'Key Inputs_BY Techs'!$A:$A,'RSD_BY Techs'!$L109,'Key Inputs_BY Techs'!$C:$C,'RSD_BY Techs'!$B109)/8760</f>
        <v>4.1666666666666664E-2</v>
      </c>
      <c r="AJ109" s="211">
        <f>SUMIFS('Key Inputs_BY Techs'!AD:AD,'Key Inputs_BY Techs'!$A:$A,'RSD_BY Techs'!$L109,'Key Inputs_BY Techs'!$C:$C,'RSD_BY Techs'!$B109)/8760</f>
        <v>7.0781511423467725E-2</v>
      </c>
      <c r="AK109" s="211">
        <f>SUMIFS('Key Inputs_BY Techs'!AE:AE,'Key Inputs_BY Techs'!$A:$A,'RSD_BY Techs'!$L109,'Key Inputs_BY Techs'!$C:$C,'RSD_BY Techs'!$B109)/8760</f>
        <v>4.1666666666666664E-2</v>
      </c>
      <c r="AL109" s="211">
        <f>SUMIFS('Key Inputs_BY Techs'!AF:AF,'Key Inputs_BY Techs'!$A:$A,'RSD_BY Techs'!$L109,'Key Inputs_BY Techs'!$C:$C,'RSD_BY Techs'!$B109)/8760</f>
        <v>4.8525528371344114E-2</v>
      </c>
      <c r="AM109" s="211">
        <f>SUMIFS('Key Inputs_BY Techs'!AG:AG,'Key Inputs_BY Techs'!$A:$A,'RSD_BY Techs'!$L109,'Key Inputs_BY Techs'!$C:$C,'RSD_BY Techs'!$B109)/8760</f>
        <v>4.1991055814934002E-2</v>
      </c>
      <c r="AN109" s="211">
        <f>SUMIFS('Key Inputs_BY Techs'!AH:AH,'Key Inputs_BY Techs'!$A:$A,'RSD_BY Techs'!$L109,'Key Inputs_BY Techs'!$C:$C,'RSD_BY Techs'!$B109)/8760</f>
        <v>0.10573317089500424</v>
      </c>
      <c r="AO109" s="211">
        <f>SUMIFS('Key Inputs_BY Techs'!AI:AI,'Key Inputs_BY Techs'!$A:$A,'RSD_BY Techs'!$L109,'Key Inputs_BY Techs'!$C:$C,'RSD_BY Techs'!$B109)/8760</f>
        <v>8.0437275857606058E-2</v>
      </c>
      <c r="AP109" s="211">
        <f>SUMIFS('Key Inputs_BY Techs'!AJ:AJ,'Key Inputs_BY Techs'!$A:$A,'RSD_BY Techs'!$L109,'Key Inputs_BY Techs'!$C:$C,'RSD_BY Techs'!$B109)/8760</f>
        <v>6.6692438947101099E-2</v>
      </c>
    </row>
    <row r="110" spans="1:42" x14ac:dyDescent="0.25">
      <c r="A110" s="254" t="s">
        <v>122</v>
      </c>
      <c r="B110" s="254" t="s">
        <v>469</v>
      </c>
      <c r="C110" s="254" t="str">
        <f>Legend!$A$73&amp;", "&amp;Legend!$A$69</f>
        <v>Oil, Liquid biofuels</v>
      </c>
      <c r="D110" s="254" t="str">
        <f>Legend!$B$73&amp;", "&amp;Legend!$B$69</f>
        <v>RSDOIL, RSDBLQ</v>
      </c>
      <c r="E110" s="254" t="str">
        <f t="shared" si="29"/>
        <v>RSDOIL</v>
      </c>
      <c r="F110" s="254"/>
      <c r="G110" s="254"/>
      <c r="I110" s="211" t="str">
        <f t="shared" si="28"/>
        <v>R-THH-BLR_OIL00</v>
      </c>
      <c r="J110" s="211" t="str">
        <f t="shared" si="28"/>
        <v>RSD Thermal uses technology: Oil, Liquid biofuels - Existing</v>
      </c>
      <c r="K110" s="211"/>
      <c r="L110" s="211" t="s">
        <v>191</v>
      </c>
      <c r="M110" s="211" t="s">
        <v>174</v>
      </c>
      <c r="N110" s="211"/>
      <c r="O110" s="211">
        <f>SUMIFS('Key Inputs_BY Techs'!I:I,'Key Inputs_BY Techs'!$A:$A,'RSD_BY Techs'!$L110,'Key Inputs_BY Techs'!$C:$C,'RSD_BY Techs'!$B110)/8760</f>
        <v>4.5322895632501033E-2</v>
      </c>
      <c r="P110" s="211">
        <f>SUMIFS('Key Inputs_BY Techs'!J:J,'Key Inputs_BY Techs'!$A:$A,'RSD_BY Techs'!$L110,'Key Inputs_BY Techs'!$C:$C,'RSD_BY Techs'!$B110)/8760</f>
        <v>4.5047579105877276E-2</v>
      </c>
      <c r="Q110" s="211">
        <f>SUMIFS('Key Inputs_BY Techs'!K:K,'Key Inputs_BY Techs'!$A:$A,'RSD_BY Techs'!$L110,'Key Inputs_BY Techs'!$C:$C,'RSD_BY Techs'!$B110)/8760</f>
        <v>4.1991055814934002E-2</v>
      </c>
      <c r="R110" s="211">
        <f>SUMIFS('Key Inputs_BY Techs'!L:L,'Key Inputs_BY Techs'!$A:$A,'RSD_BY Techs'!$L110,'Key Inputs_BY Techs'!$C:$C,'RSD_BY Techs'!$B110)/8760</f>
        <v>4.1685785869904429E-2</v>
      </c>
      <c r="S110" s="211">
        <f>SUMIFS('Key Inputs_BY Techs'!M:M,'Key Inputs_BY Techs'!$A:$A,'RSD_BY Techs'!$L110,'Key Inputs_BY Techs'!$C:$C,'RSD_BY Techs'!$B110)/8760</f>
        <v>5.0682342606484215E-2</v>
      </c>
      <c r="T110" s="211">
        <f>SUMIFS('Key Inputs_BY Techs'!N:N,'Key Inputs_BY Techs'!$A:$A,'RSD_BY Techs'!$L110,'Key Inputs_BY Techs'!$C:$C,'RSD_BY Techs'!$B110)/8760</f>
        <v>5.807085407630011E-2</v>
      </c>
      <c r="U110" s="211">
        <f>SUMIFS('Key Inputs_BY Techs'!O:O,'Key Inputs_BY Techs'!$A:$A,'RSD_BY Techs'!$L110,'Key Inputs_BY Techs'!$C:$C,'RSD_BY Techs'!$B110)/8760</f>
        <v>4.1687877260716787E-2</v>
      </c>
      <c r="V110" s="211">
        <f>SUMIFS('Key Inputs_BY Techs'!P:P,'Key Inputs_BY Techs'!$A:$A,'RSD_BY Techs'!$L110,'Key Inputs_BY Techs'!$C:$C,'RSD_BY Techs'!$B110)/8760</f>
        <v>4.2884552320900708E-2</v>
      </c>
      <c r="W110" s="211">
        <f>SUMIFS('Key Inputs_BY Techs'!Q:Q,'Key Inputs_BY Techs'!$A:$A,'RSD_BY Techs'!$L110,'Key Inputs_BY Techs'!$C:$C,'RSD_BY Techs'!$B110)/8760</f>
        <v>4.1666666666666664E-2</v>
      </c>
      <c r="X110" s="211">
        <f>SUMIFS('Key Inputs_BY Techs'!R:R,'Key Inputs_BY Techs'!$A:$A,'RSD_BY Techs'!$L110,'Key Inputs_BY Techs'!$C:$C,'RSD_BY Techs'!$B110)/8760</f>
        <v>0.12925469986413698</v>
      </c>
      <c r="Y110" s="211">
        <f>SUMIFS('Key Inputs_BY Techs'!S:S,'Key Inputs_BY Techs'!$A:$A,'RSD_BY Techs'!$L110,'Key Inputs_BY Techs'!$C:$C,'RSD_BY Techs'!$B110)/8760</f>
        <v>5.6018402502504346E-2</v>
      </c>
      <c r="Z110" s="211">
        <f>SUMIFS('Key Inputs_BY Techs'!T:T,'Key Inputs_BY Techs'!$A:$A,'RSD_BY Techs'!$L110,'Key Inputs_BY Techs'!$C:$C,'RSD_BY Techs'!$B110)/8760</f>
        <v>8.0456212261297039E-2</v>
      </c>
      <c r="AA110" s="211">
        <f>SUMIFS('Key Inputs_BY Techs'!U:U,'Key Inputs_BY Techs'!$A:$A,'RSD_BY Techs'!$L110,'Key Inputs_BY Techs'!$C:$C,'RSD_BY Techs'!$B110)/8760</f>
        <v>8.196249702811996E-2</v>
      </c>
      <c r="AB110" s="211">
        <f>SUMIFS('Key Inputs_BY Techs'!V:V,'Key Inputs_BY Techs'!$A:$A,'RSD_BY Techs'!$L110,'Key Inputs_BY Techs'!$C:$C,'RSD_BY Techs'!$B110)/8760</f>
        <v>9.0560920532517131E-2</v>
      </c>
      <c r="AC110" s="211">
        <f>SUMIFS('Key Inputs_BY Techs'!W:W,'Key Inputs_BY Techs'!$A:$A,'RSD_BY Techs'!$L110,'Key Inputs_BY Techs'!$C:$C,'RSD_BY Techs'!$B110)/8760</f>
        <v>7.7640907014416241E-2</v>
      </c>
      <c r="AD110" s="211">
        <f>SUMIFS('Key Inputs_BY Techs'!X:X,'Key Inputs_BY Techs'!$A:$A,'RSD_BY Techs'!$L110,'Key Inputs_BY Techs'!$C:$C,'RSD_BY Techs'!$B110)/8760</f>
        <v>6.6864645901418843E-2</v>
      </c>
      <c r="AE110" s="211">
        <f>SUMIFS('Key Inputs_BY Techs'!Y:Y,'Key Inputs_BY Techs'!$A:$A,'RSD_BY Techs'!$L110,'Key Inputs_BY Techs'!$C:$C,'RSD_BY Techs'!$B110)/8760</f>
        <v>6.6864645901418843E-2</v>
      </c>
      <c r="AF110" s="211">
        <f>SUMIFS('Key Inputs_BY Techs'!Z:Z,'Key Inputs_BY Techs'!$A:$A,'RSD_BY Techs'!$L110,'Key Inputs_BY Techs'!$C:$C,'RSD_BY Techs'!$B110)/8760</f>
        <v>4.1666666666666664E-2</v>
      </c>
      <c r="AG110" s="211">
        <f>SUMIFS('Key Inputs_BY Techs'!AA:AA,'Key Inputs_BY Techs'!$A:$A,'RSD_BY Techs'!$L110,'Key Inputs_BY Techs'!$C:$C,'RSD_BY Techs'!$B110)/8760</f>
        <v>4.1666666666666664E-2</v>
      </c>
      <c r="AH110" s="211">
        <f>SUMIFS('Key Inputs_BY Techs'!AB:AB,'Key Inputs_BY Techs'!$A:$A,'RSD_BY Techs'!$L110,'Key Inputs_BY Techs'!$C:$C,'RSD_BY Techs'!$B110)/8760</f>
        <v>5.1477189103886295E-2</v>
      </c>
      <c r="AI110" s="211">
        <f>SUMIFS('Key Inputs_BY Techs'!AC:AC,'Key Inputs_BY Techs'!$A:$A,'RSD_BY Techs'!$L110,'Key Inputs_BY Techs'!$C:$C,'RSD_BY Techs'!$B110)/8760</f>
        <v>4.1666666666666664E-2</v>
      </c>
      <c r="AJ110" s="211">
        <f>SUMIFS('Key Inputs_BY Techs'!AD:AD,'Key Inputs_BY Techs'!$A:$A,'RSD_BY Techs'!$L110,'Key Inputs_BY Techs'!$C:$C,'RSD_BY Techs'!$B110)/8760</f>
        <v>7.0781511423467725E-2</v>
      </c>
      <c r="AK110" s="211">
        <f>SUMIFS('Key Inputs_BY Techs'!AE:AE,'Key Inputs_BY Techs'!$A:$A,'RSD_BY Techs'!$L110,'Key Inputs_BY Techs'!$C:$C,'RSD_BY Techs'!$B110)/8760</f>
        <v>4.1666666666666664E-2</v>
      </c>
      <c r="AL110" s="211">
        <f>SUMIFS('Key Inputs_BY Techs'!AF:AF,'Key Inputs_BY Techs'!$A:$A,'RSD_BY Techs'!$L110,'Key Inputs_BY Techs'!$C:$C,'RSD_BY Techs'!$B110)/8760</f>
        <v>4.8525528371344114E-2</v>
      </c>
      <c r="AM110" s="211">
        <f>SUMIFS('Key Inputs_BY Techs'!AG:AG,'Key Inputs_BY Techs'!$A:$A,'RSD_BY Techs'!$L110,'Key Inputs_BY Techs'!$C:$C,'RSD_BY Techs'!$B110)/8760</f>
        <v>4.1991055814934002E-2</v>
      </c>
      <c r="AN110" s="211">
        <f>SUMIFS('Key Inputs_BY Techs'!AH:AH,'Key Inputs_BY Techs'!$A:$A,'RSD_BY Techs'!$L110,'Key Inputs_BY Techs'!$C:$C,'RSD_BY Techs'!$B110)/8760</f>
        <v>0.10573317089500424</v>
      </c>
      <c r="AO110" s="211">
        <f>SUMIFS('Key Inputs_BY Techs'!AI:AI,'Key Inputs_BY Techs'!$A:$A,'RSD_BY Techs'!$L110,'Key Inputs_BY Techs'!$C:$C,'RSD_BY Techs'!$B110)/8760</f>
        <v>8.0437275857606058E-2</v>
      </c>
      <c r="AP110" s="211">
        <f>SUMIFS('Key Inputs_BY Techs'!AJ:AJ,'Key Inputs_BY Techs'!$A:$A,'RSD_BY Techs'!$L110,'Key Inputs_BY Techs'!$C:$C,'RSD_BY Techs'!$B110)/8760</f>
        <v>6.6692438947101099E-2</v>
      </c>
    </row>
    <row r="111" spans="1:42" x14ac:dyDescent="0.25">
      <c r="A111" s="254" t="s">
        <v>122</v>
      </c>
      <c r="B111" s="254" t="s">
        <v>469</v>
      </c>
      <c r="C111" s="254" t="str">
        <f>Legend!$A$74</f>
        <v>Solar</v>
      </c>
      <c r="D111" s="254" t="str">
        <f>Legend!$B$74</f>
        <v>RSDSOL</v>
      </c>
      <c r="E111" s="254" t="str">
        <f t="shared" si="29"/>
        <v>RSDSOL</v>
      </c>
      <c r="F111" s="254"/>
      <c r="G111" s="254"/>
      <c r="I111" s="215" t="str">
        <f t="shared" si="28"/>
        <v>R-THH-HEX_SOL00</v>
      </c>
      <c r="J111" s="215" t="str">
        <f t="shared" si="28"/>
        <v>RSD Thermal uses technology: Solar - Existing</v>
      </c>
      <c r="K111" s="215"/>
      <c r="L111" s="215" t="s">
        <v>191</v>
      </c>
      <c r="M111" s="215" t="s">
        <v>174</v>
      </c>
      <c r="N111" s="215"/>
      <c r="O111" s="215">
        <f>SUMIFS('Key Inputs_BY Techs'!I:I,'Key Inputs_BY Techs'!$A:$A,'RSD_BY Techs'!$L111,'Key Inputs_BY Techs'!$C:$C,'RSD_BY Techs'!$B111)/8760</f>
        <v>4.5322895632501033E-2</v>
      </c>
      <c r="P111" s="215">
        <f>SUMIFS('Key Inputs_BY Techs'!J:J,'Key Inputs_BY Techs'!$A:$A,'RSD_BY Techs'!$L111,'Key Inputs_BY Techs'!$C:$C,'RSD_BY Techs'!$B111)/8760</f>
        <v>4.5047579105877276E-2</v>
      </c>
      <c r="Q111" s="215">
        <f>SUMIFS('Key Inputs_BY Techs'!K:K,'Key Inputs_BY Techs'!$A:$A,'RSD_BY Techs'!$L111,'Key Inputs_BY Techs'!$C:$C,'RSD_BY Techs'!$B111)/8760</f>
        <v>4.1991055814934002E-2</v>
      </c>
      <c r="R111" s="215">
        <f>SUMIFS('Key Inputs_BY Techs'!L:L,'Key Inputs_BY Techs'!$A:$A,'RSD_BY Techs'!$L111,'Key Inputs_BY Techs'!$C:$C,'RSD_BY Techs'!$B111)/8760</f>
        <v>4.1685785869904429E-2</v>
      </c>
      <c r="S111" s="215">
        <f>SUMIFS('Key Inputs_BY Techs'!M:M,'Key Inputs_BY Techs'!$A:$A,'RSD_BY Techs'!$L111,'Key Inputs_BY Techs'!$C:$C,'RSD_BY Techs'!$B111)/8760</f>
        <v>5.0682342606484215E-2</v>
      </c>
      <c r="T111" s="215">
        <f>SUMIFS('Key Inputs_BY Techs'!N:N,'Key Inputs_BY Techs'!$A:$A,'RSD_BY Techs'!$L111,'Key Inputs_BY Techs'!$C:$C,'RSD_BY Techs'!$B111)/8760</f>
        <v>5.807085407630011E-2</v>
      </c>
      <c r="U111" s="215">
        <f>SUMIFS('Key Inputs_BY Techs'!O:O,'Key Inputs_BY Techs'!$A:$A,'RSD_BY Techs'!$L111,'Key Inputs_BY Techs'!$C:$C,'RSD_BY Techs'!$B111)/8760</f>
        <v>4.1687877260716787E-2</v>
      </c>
      <c r="V111" s="215">
        <f>SUMIFS('Key Inputs_BY Techs'!P:P,'Key Inputs_BY Techs'!$A:$A,'RSD_BY Techs'!$L111,'Key Inputs_BY Techs'!$C:$C,'RSD_BY Techs'!$B111)/8760</f>
        <v>4.2884552320900708E-2</v>
      </c>
      <c r="W111" s="215">
        <f>SUMIFS('Key Inputs_BY Techs'!Q:Q,'Key Inputs_BY Techs'!$A:$A,'RSD_BY Techs'!$L111,'Key Inputs_BY Techs'!$C:$C,'RSD_BY Techs'!$B111)/8760</f>
        <v>4.1666666666666664E-2</v>
      </c>
      <c r="X111" s="215">
        <f>SUMIFS('Key Inputs_BY Techs'!R:R,'Key Inputs_BY Techs'!$A:$A,'RSD_BY Techs'!$L111,'Key Inputs_BY Techs'!$C:$C,'RSD_BY Techs'!$B111)/8760</f>
        <v>0.12925469986413698</v>
      </c>
      <c r="Y111" s="215">
        <f>SUMIFS('Key Inputs_BY Techs'!S:S,'Key Inputs_BY Techs'!$A:$A,'RSD_BY Techs'!$L111,'Key Inputs_BY Techs'!$C:$C,'RSD_BY Techs'!$B111)/8760</f>
        <v>5.6018402502504346E-2</v>
      </c>
      <c r="Z111" s="215">
        <f>SUMIFS('Key Inputs_BY Techs'!T:T,'Key Inputs_BY Techs'!$A:$A,'RSD_BY Techs'!$L111,'Key Inputs_BY Techs'!$C:$C,'RSD_BY Techs'!$B111)/8760</f>
        <v>8.0456212261297039E-2</v>
      </c>
      <c r="AA111" s="215">
        <f>SUMIFS('Key Inputs_BY Techs'!U:U,'Key Inputs_BY Techs'!$A:$A,'RSD_BY Techs'!$L111,'Key Inputs_BY Techs'!$C:$C,'RSD_BY Techs'!$B111)/8760</f>
        <v>8.196249702811996E-2</v>
      </c>
      <c r="AB111" s="215">
        <f>SUMIFS('Key Inputs_BY Techs'!V:V,'Key Inputs_BY Techs'!$A:$A,'RSD_BY Techs'!$L111,'Key Inputs_BY Techs'!$C:$C,'RSD_BY Techs'!$B111)/8760</f>
        <v>9.0560920532517131E-2</v>
      </c>
      <c r="AC111" s="215">
        <f>SUMIFS('Key Inputs_BY Techs'!W:W,'Key Inputs_BY Techs'!$A:$A,'RSD_BY Techs'!$L111,'Key Inputs_BY Techs'!$C:$C,'RSD_BY Techs'!$B111)/8760</f>
        <v>7.7640907014416241E-2</v>
      </c>
      <c r="AD111" s="215">
        <f>SUMIFS('Key Inputs_BY Techs'!X:X,'Key Inputs_BY Techs'!$A:$A,'RSD_BY Techs'!$L111,'Key Inputs_BY Techs'!$C:$C,'RSD_BY Techs'!$B111)/8760</f>
        <v>6.6864645901418843E-2</v>
      </c>
      <c r="AE111" s="215">
        <f>SUMIFS('Key Inputs_BY Techs'!Y:Y,'Key Inputs_BY Techs'!$A:$A,'RSD_BY Techs'!$L111,'Key Inputs_BY Techs'!$C:$C,'RSD_BY Techs'!$B111)/8760</f>
        <v>6.6864645901418843E-2</v>
      </c>
      <c r="AF111" s="215">
        <f>SUMIFS('Key Inputs_BY Techs'!Z:Z,'Key Inputs_BY Techs'!$A:$A,'RSD_BY Techs'!$L111,'Key Inputs_BY Techs'!$C:$C,'RSD_BY Techs'!$B111)/8760</f>
        <v>4.1666666666666664E-2</v>
      </c>
      <c r="AG111" s="215">
        <f>SUMIFS('Key Inputs_BY Techs'!AA:AA,'Key Inputs_BY Techs'!$A:$A,'RSD_BY Techs'!$L111,'Key Inputs_BY Techs'!$C:$C,'RSD_BY Techs'!$B111)/8760</f>
        <v>4.1666666666666664E-2</v>
      </c>
      <c r="AH111" s="215">
        <f>SUMIFS('Key Inputs_BY Techs'!AB:AB,'Key Inputs_BY Techs'!$A:$A,'RSD_BY Techs'!$L111,'Key Inputs_BY Techs'!$C:$C,'RSD_BY Techs'!$B111)/8760</f>
        <v>5.1477189103886295E-2</v>
      </c>
      <c r="AI111" s="215">
        <f>SUMIFS('Key Inputs_BY Techs'!AC:AC,'Key Inputs_BY Techs'!$A:$A,'RSD_BY Techs'!$L111,'Key Inputs_BY Techs'!$C:$C,'RSD_BY Techs'!$B111)/8760</f>
        <v>4.1666666666666664E-2</v>
      </c>
      <c r="AJ111" s="215">
        <f>SUMIFS('Key Inputs_BY Techs'!AD:AD,'Key Inputs_BY Techs'!$A:$A,'RSD_BY Techs'!$L111,'Key Inputs_BY Techs'!$C:$C,'RSD_BY Techs'!$B111)/8760</f>
        <v>7.0781511423467725E-2</v>
      </c>
      <c r="AK111" s="215">
        <f>SUMIFS('Key Inputs_BY Techs'!AE:AE,'Key Inputs_BY Techs'!$A:$A,'RSD_BY Techs'!$L111,'Key Inputs_BY Techs'!$C:$C,'RSD_BY Techs'!$B111)/8760</f>
        <v>4.1666666666666664E-2</v>
      </c>
      <c r="AL111" s="215">
        <f>SUMIFS('Key Inputs_BY Techs'!AF:AF,'Key Inputs_BY Techs'!$A:$A,'RSD_BY Techs'!$L111,'Key Inputs_BY Techs'!$C:$C,'RSD_BY Techs'!$B111)/8760</f>
        <v>4.8525528371344114E-2</v>
      </c>
      <c r="AM111" s="215">
        <f>SUMIFS('Key Inputs_BY Techs'!AG:AG,'Key Inputs_BY Techs'!$A:$A,'RSD_BY Techs'!$L111,'Key Inputs_BY Techs'!$C:$C,'RSD_BY Techs'!$B111)/8760</f>
        <v>4.1991055814934002E-2</v>
      </c>
      <c r="AN111" s="215">
        <f>SUMIFS('Key Inputs_BY Techs'!AH:AH,'Key Inputs_BY Techs'!$A:$A,'RSD_BY Techs'!$L111,'Key Inputs_BY Techs'!$C:$C,'RSD_BY Techs'!$B111)/8760</f>
        <v>0.10573317089500424</v>
      </c>
      <c r="AO111" s="215">
        <f>SUMIFS('Key Inputs_BY Techs'!AI:AI,'Key Inputs_BY Techs'!$A:$A,'RSD_BY Techs'!$L111,'Key Inputs_BY Techs'!$C:$C,'RSD_BY Techs'!$B111)/8760</f>
        <v>8.0437275857606058E-2</v>
      </c>
      <c r="AP111" s="215">
        <f>SUMIFS('Key Inputs_BY Techs'!AJ:AJ,'Key Inputs_BY Techs'!$A:$A,'RSD_BY Techs'!$L111,'Key Inputs_BY Techs'!$C:$C,'RSD_BY Techs'!$B111)/8760</f>
        <v>6.6692438947101099E-2</v>
      </c>
    </row>
    <row r="112" spans="1:42" x14ac:dyDescent="0.25">
      <c r="A112" s="280" t="s">
        <v>124</v>
      </c>
      <c r="B112" s="280" t="s">
        <v>471</v>
      </c>
      <c r="C112" s="280" t="str">
        <f>Legend!$A$71&amp;", "&amp;Legend!$A$63&amp;", "&amp;Legend!$A$72</f>
        <v>Natural gas, Biogas, Manufactured gas</v>
      </c>
      <c r="D112" s="280" t="str">
        <f>Legend!$B$71&amp;", "&amp;Legend!$B$63&amp;", "&amp;Legend!$B$72</f>
        <v>RSDGAS, RSDBGS, RSDGAM</v>
      </c>
      <c r="E112" s="280" t="str">
        <f t="shared" si="27"/>
        <v>RSDGAS</v>
      </c>
      <c r="F112" s="254"/>
      <c r="G112" s="254"/>
      <c r="I112" s="211" t="str">
        <f t="shared" si="28"/>
        <v>R-ACL_GAS00</v>
      </c>
      <c r="J112" s="211" t="str">
        <f t="shared" si="28"/>
        <v>RSD Air conditioning technology: Natural gas, Biogas, Manufactured gas - Existing</v>
      </c>
      <c r="K112" s="211"/>
      <c r="L112" s="211" t="s">
        <v>191</v>
      </c>
      <c r="M112" s="211" t="s">
        <v>174</v>
      </c>
      <c r="N112" s="211"/>
      <c r="O112" s="211">
        <f>SUMIFS('Key Inputs_BY Techs'!I:I,'Key Inputs_BY Techs'!$A:$A,'RSD_BY Techs'!$L112,'Key Inputs_BY Techs'!$C:$C,'RSD_BY Techs'!$B112)/8760</f>
        <v>9.5687866927592971E-2</v>
      </c>
      <c r="P112" s="211">
        <f>SUMIFS('Key Inputs_BY Techs'!J:J,'Key Inputs_BY Techs'!$A:$A,'RSD_BY Techs'!$L112,'Key Inputs_BY Techs'!$C:$C,'RSD_BY Techs'!$B112)/8760</f>
        <v>0.33259295499021529</v>
      </c>
      <c r="Q112" s="211">
        <f>SUMIFS('Key Inputs_BY Techs'!K:K,'Key Inputs_BY Techs'!$A:$A,'RSD_BY Techs'!$L112,'Key Inputs_BY Techs'!$C:$C,'RSD_BY Techs'!$B112)/8760</f>
        <v>0.62478767123287671</v>
      </c>
      <c r="R112" s="211">
        <f>SUMIFS('Key Inputs_BY Techs'!L:L,'Key Inputs_BY Techs'!$A:$A,'RSD_BY Techs'!$L112,'Key Inputs_BY Techs'!$C:$C,'RSD_BY Techs'!$B112)/8760</f>
        <v>0.38780821917808223</v>
      </c>
      <c r="S112" s="211">
        <f>SUMIFS('Key Inputs_BY Techs'!M:M,'Key Inputs_BY Techs'!$A:$A,'RSD_BY Techs'!$L112,'Key Inputs_BY Techs'!$C:$C,'RSD_BY Techs'!$B112)/8760</f>
        <v>0.10410958904109591</v>
      </c>
      <c r="T112" s="211">
        <f>SUMIFS('Key Inputs_BY Techs'!N:N,'Key Inputs_BY Techs'!$A:$A,'RSD_BY Techs'!$L112,'Key Inputs_BY Techs'!$C:$C,'RSD_BY Techs'!$B112)/8760</f>
        <v>0.1875831702544031</v>
      </c>
      <c r="U112" s="211">
        <f>SUMIFS('Key Inputs_BY Techs'!O:O,'Key Inputs_BY Techs'!$A:$A,'RSD_BY Techs'!$L112,'Key Inputs_BY Techs'!$C:$C,'RSD_BY Techs'!$B112)/8760</f>
        <v>0.22032191780821925</v>
      </c>
      <c r="V112" s="211">
        <f>SUMIFS('Key Inputs_BY Techs'!P:P,'Key Inputs_BY Techs'!$A:$A,'RSD_BY Techs'!$L112,'Key Inputs_BY Techs'!$C:$C,'RSD_BY Techs'!$B112)/8760</f>
        <v>0.46923679060665369</v>
      </c>
      <c r="W112" s="211">
        <f>SUMIFS('Key Inputs_BY Techs'!Q:Q,'Key Inputs_BY Techs'!$A:$A,'RSD_BY Techs'!$L112,'Key Inputs_BY Techs'!$C:$C,'RSD_BY Techs'!$B112)/8760</f>
        <v>8.5704500978473597E-2</v>
      </c>
      <c r="X112" s="211">
        <f>SUMIFS('Key Inputs_BY Techs'!R:R,'Key Inputs_BY Techs'!$A:$A,'RSD_BY Techs'!$L112,'Key Inputs_BY Techs'!$C:$C,'RSD_BY Techs'!$B112)/8760</f>
        <v>2.0784735812133075E-2</v>
      </c>
      <c r="Y112" s="211">
        <f>SUMIFS('Key Inputs_BY Techs'!S:S,'Key Inputs_BY Techs'!$A:$A,'RSD_BY Techs'!$L112,'Key Inputs_BY Techs'!$C:$C,'RSD_BY Techs'!$B112)/8760</f>
        <v>8.5704500978473597E-2</v>
      </c>
      <c r="Z112" s="211">
        <f>SUMIFS('Key Inputs_BY Techs'!T:T,'Key Inputs_BY Techs'!$A:$A,'RSD_BY Techs'!$L112,'Key Inputs_BY Techs'!$C:$C,'RSD_BY Techs'!$B112)/8760</f>
        <v>4.9452054794520556E-3</v>
      </c>
      <c r="AA112" s="211">
        <f>SUMIFS('Key Inputs_BY Techs'!U:U,'Key Inputs_BY Techs'!$A:$A,'RSD_BY Techs'!$L112,'Key Inputs_BY Techs'!$C:$C,'RSD_BY Techs'!$B112)/8760</f>
        <v>4.0639921722113503E-2</v>
      </c>
      <c r="AB112" s="211">
        <f>SUMIFS('Key Inputs_BY Techs'!V:V,'Key Inputs_BY Techs'!$A:$A,'RSD_BY Techs'!$L112,'Key Inputs_BY Techs'!$C:$C,'RSD_BY Techs'!$B112)/8760</f>
        <v>1.2084148727984345E-3</v>
      </c>
      <c r="AC112" s="211">
        <f>SUMIFS('Key Inputs_BY Techs'!W:W,'Key Inputs_BY Techs'!$A:$A,'RSD_BY Techs'!$L112,'Key Inputs_BY Techs'!$C:$C,'RSD_BY Techs'!$B112)/8760</f>
        <v>6.0420743639921729E-3</v>
      </c>
      <c r="AD112" s="211">
        <f>SUMIFS('Key Inputs_BY Techs'!X:X,'Key Inputs_BY Techs'!$A:$A,'RSD_BY Techs'!$L112,'Key Inputs_BY Techs'!$C:$C,'RSD_BY Techs'!$B112)/8760</f>
        <v>3.4246575342465752E-2</v>
      </c>
      <c r="AE112" s="211">
        <f>SUMIFS('Key Inputs_BY Techs'!Y:Y,'Key Inputs_BY Techs'!$A:$A,'RSD_BY Techs'!$L112,'Key Inputs_BY Techs'!$C:$C,'RSD_BY Techs'!$B112)/8760</f>
        <v>3.4246575342465752E-2</v>
      </c>
      <c r="AF112" s="211">
        <f>SUMIFS('Key Inputs_BY Techs'!Z:Z,'Key Inputs_BY Techs'!$A:$A,'RSD_BY Techs'!$L112,'Key Inputs_BY Techs'!$C:$C,'RSD_BY Techs'!$B112)/8760</f>
        <v>0.12015362035225051</v>
      </c>
      <c r="AG112" s="211">
        <f>SUMIFS('Key Inputs_BY Techs'!AA:AA,'Key Inputs_BY Techs'!$A:$A,'RSD_BY Techs'!$L112,'Key Inputs_BY Techs'!$C:$C,'RSD_BY Techs'!$B112)/8760</f>
        <v>0.19741780821917809</v>
      </c>
      <c r="AH112" s="211">
        <f>SUMIFS('Key Inputs_BY Techs'!AB:AB,'Key Inputs_BY Techs'!$A:$A,'RSD_BY Techs'!$L112,'Key Inputs_BY Techs'!$C:$C,'RSD_BY Techs'!$B112)/8760</f>
        <v>0.16674266144814093</v>
      </c>
      <c r="AI112" s="211">
        <f>SUMIFS('Key Inputs_BY Techs'!AC:AC,'Key Inputs_BY Techs'!$A:$A,'RSD_BY Techs'!$L112,'Key Inputs_BY Techs'!$C:$C,'RSD_BY Techs'!$B112)/8760</f>
        <v>8.5704500978473597E-2</v>
      </c>
      <c r="AJ112" s="211">
        <f>SUMIFS('Key Inputs_BY Techs'!AD:AD,'Key Inputs_BY Techs'!$A:$A,'RSD_BY Techs'!$L112,'Key Inputs_BY Techs'!$C:$C,'RSD_BY Techs'!$B112)/8760</f>
        <v>7.7134050880626234E-2</v>
      </c>
      <c r="AK112" s="211">
        <f>SUMIFS('Key Inputs_BY Techs'!AE:AE,'Key Inputs_BY Techs'!$A:$A,'RSD_BY Techs'!$L112,'Key Inputs_BY Techs'!$C:$C,'RSD_BY Techs'!$B112)/8760</f>
        <v>0.2704990215264188</v>
      </c>
      <c r="AL112" s="211">
        <f>SUMIFS('Key Inputs_BY Techs'!AF:AF,'Key Inputs_BY Techs'!$A:$A,'RSD_BY Techs'!$L112,'Key Inputs_BY Techs'!$C:$C,'RSD_BY Techs'!$B112)/8760</f>
        <v>6.5793542074363998E-2</v>
      </c>
      <c r="AM112" s="211">
        <f>SUMIFS('Key Inputs_BY Techs'!AG:AG,'Key Inputs_BY Techs'!$A:$A,'RSD_BY Techs'!$L112,'Key Inputs_BY Techs'!$C:$C,'RSD_BY Techs'!$B112)/8760</f>
        <v>0.62478767123287671</v>
      </c>
      <c r="AN112" s="211">
        <f>SUMIFS('Key Inputs_BY Techs'!AH:AH,'Key Inputs_BY Techs'!$A:$A,'RSD_BY Techs'!$L112,'Key Inputs_BY Techs'!$C:$C,'RSD_BY Techs'!$B112)/8760</f>
        <v>2.9187866927592957E-3</v>
      </c>
      <c r="AO112" s="211">
        <f>SUMIFS('Key Inputs_BY Techs'!AI:AI,'Key Inputs_BY Techs'!$A:$A,'RSD_BY Techs'!$L112,'Key Inputs_BY Techs'!$C:$C,'RSD_BY Techs'!$B112)/8760</f>
        <v>0.11199217221135031</v>
      </c>
      <c r="AP112" s="211">
        <f>SUMIFS('Key Inputs_BY Techs'!AJ:AJ,'Key Inputs_BY Techs'!$A:$A,'RSD_BY Techs'!$L112,'Key Inputs_BY Techs'!$C:$C,'RSD_BY Techs'!$B112)/8760</f>
        <v>0.15449119373776909</v>
      </c>
    </row>
    <row r="113" spans="1:42" x14ac:dyDescent="0.25">
      <c r="A113" s="281" t="s">
        <v>124</v>
      </c>
      <c r="B113" s="281" t="s">
        <v>471</v>
      </c>
      <c r="C113" s="281" t="str">
        <f>Legend!A$66</f>
        <v>Electricity</v>
      </c>
      <c r="D113" s="281" t="str">
        <f>Legend!B$66</f>
        <v>RSDELC</v>
      </c>
      <c r="E113" s="281" t="str">
        <f t="shared" si="27"/>
        <v>RSDELC</v>
      </c>
      <c r="F113" s="254"/>
      <c r="G113" s="254"/>
      <c r="I113" s="215" t="str">
        <f t="shared" si="28"/>
        <v>R-ACL_ELC00</v>
      </c>
      <c r="J113" s="215" t="str">
        <f t="shared" si="28"/>
        <v>RSD Air conditioning technology: Electricity - Existing</v>
      </c>
      <c r="K113" s="215"/>
      <c r="L113" s="215" t="s">
        <v>191</v>
      </c>
      <c r="M113" s="215" t="s">
        <v>174</v>
      </c>
      <c r="N113" s="215"/>
      <c r="O113" s="215">
        <f>SUMIFS('Key Inputs_BY Techs'!I:I,'Key Inputs_BY Techs'!$A:$A,'RSD_BY Techs'!$L113,'Key Inputs_BY Techs'!$C:$C,'RSD_BY Techs'!$B113)/8760</f>
        <v>9.5687866927592971E-2</v>
      </c>
      <c r="P113" s="215">
        <f>SUMIFS('Key Inputs_BY Techs'!J:J,'Key Inputs_BY Techs'!$A:$A,'RSD_BY Techs'!$L113,'Key Inputs_BY Techs'!$C:$C,'RSD_BY Techs'!$B113)/8760</f>
        <v>0.33259295499021529</v>
      </c>
      <c r="Q113" s="215">
        <f>SUMIFS('Key Inputs_BY Techs'!K:K,'Key Inputs_BY Techs'!$A:$A,'RSD_BY Techs'!$L113,'Key Inputs_BY Techs'!$C:$C,'RSD_BY Techs'!$B113)/8760</f>
        <v>0.62478767123287671</v>
      </c>
      <c r="R113" s="215">
        <f>SUMIFS('Key Inputs_BY Techs'!L:L,'Key Inputs_BY Techs'!$A:$A,'RSD_BY Techs'!$L113,'Key Inputs_BY Techs'!$C:$C,'RSD_BY Techs'!$B113)/8760</f>
        <v>0.38780821917808223</v>
      </c>
      <c r="S113" s="215">
        <f>SUMIFS('Key Inputs_BY Techs'!M:M,'Key Inputs_BY Techs'!$A:$A,'RSD_BY Techs'!$L113,'Key Inputs_BY Techs'!$C:$C,'RSD_BY Techs'!$B113)/8760</f>
        <v>0.10410958904109591</v>
      </c>
      <c r="T113" s="215">
        <f>SUMIFS('Key Inputs_BY Techs'!N:N,'Key Inputs_BY Techs'!$A:$A,'RSD_BY Techs'!$L113,'Key Inputs_BY Techs'!$C:$C,'RSD_BY Techs'!$B113)/8760</f>
        <v>0.1875831702544031</v>
      </c>
      <c r="U113" s="215">
        <f>SUMIFS('Key Inputs_BY Techs'!O:O,'Key Inputs_BY Techs'!$A:$A,'RSD_BY Techs'!$L113,'Key Inputs_BY Techs'!$C:$C,'RSD_BY Techs'!$B113)/8760</f>
        <v>0.22032191780821925</v>
      </c>
      <c r="V113" s="215">
        <f>SUMIFS('Key Inputs_BY Techs'!P:P,'Key Inputs_BY Techs'!$A:$A,'RSD_BY Techs'!$L113,'Key Inputs_BY Techs'!$C:$C,'RSD_BY Techs'!$B113)/8760</f>
        <v>0.46923679060665369</v>
      </c>
      <c r="W113" s="215">
        <f>SUMIFS('Key Inputs_BY Techs'!Q:Q,'Key Inputs_BY Techs'!$A:$A,'RSD_BY Techs'!$L113,'Key Inputs_BY Techs'!$C:$C,'RSD_BY Techs'!$B113)/8760</f>
        <v>8.5704500978473597E-2</v>
      </c>
      <c r="X113" s="215">
        <f>SUMIFS('Key Inputs_BY Techs'!R:R,'Key Inputs_BY Techs'!$A:$A,'RSD_BY Techs'!$L113,'Key Inputs_BY Techs'!$C:$C,'RSD_BY Techs'!$B113)/8760</f>
        <v>2.0784735812133075E-2</v>
      </c>
      <c r="Y113" s="215">
        <f>SUMIFS('Key Inputs_BY Techs'!S:S,'Key Inputs_BY Techs'!$A:$A,'RSD_BY Techs'!$L113,'Key Inputs_BY Techs'!$C:$C,'RSD_BY Techs'!$B113)/8760</f>
        <v>8.5704500978473597E-2</v>
      </c>
      <c r="Z113" s="215">
        <f>SUMIFS('Key Inputs_BY Techs'!T:T,'Key Inputs_BY Techs'!$A:$A,'RSD_BY Techs'!$L113,'Key Inputs_BY Techs'!$C:$C,'RSD_BY Techs'!$B113)/8760</f>
        <v>4.9452054794520556E-3</v>
      </c>
      <c r="AA113" s="215">
        <f>SUMIFS('Key Inputs_BY Techs'!U:U,'Key Inputs_BY Techs'!$A:$A,'RSD_BY Techs'!$L113,'Key Inputs_BY Techs'!$C:$C,'RSD_BY Techs'!$B113)/8760</f>
        <v>4.0639921722113503E-2</v>
      </c>
      <c r="AB113" s="215">
        <f>SUMIFS('Key Inputs_BY Techs'!V:V,'Key Inputs_BY Techs'!$A:$A,'RSD_BY Techs'!$L113,'Key Inputs_BY Techs'!$C:$C,'RSD_BY Techs'!$B113)/8760</f>
        <v>1.2084148727984345E-3</v>
      </c>
      <c r="AC113" s="215">
        <f>SUMIFS('Key Inputs_BY Techs'!W:W,'Key Inputs_BY Techs'!$A:$A,'RSD_BY Techs'!$L113,'Key Inputs_BY Techs'!$C:$C,'RSD_BY Techs'!$B113)/8760</f>
        <v>6.0420743639921729E-3</v>
      </c>
      <c r="AD113" s="215">
        <f>SUMIFS('Key Inputs_BY Techs'!X:X,'Key Inputs_BY Techs'!$A:$A,'RSD_BY Techs'!$L113,'Key Inputs_BY Techs'!$C:$C,'RSD_BY Techs'!$B113)/8760</f>
        <v>3.4246575342465752E-2</v>
      </c>
      <c r="AE113" s="215">
        <f>SUMIFS('Key Inputs_BY Techs'!Y:Y,'Key Inputs_BY Techs'!$A:$A,'RSD_BY Techs'!$L113,'Key Inputs_BY Techs'!$C:$C,'RSD_BY Techs'!$B113)/8760</f>
        <v>3.4246575342465752E-2</v>
      </c>
      <c r="AF113" s="215">
        <f>SUMIFS('Key Inputs_BY Techs'!Z:Z,'Key Inputs_BY Techs'!$A:$A,'RSD_BY Techs'!$L113,'Key Inputs_BY Techs'!$C:$C,'RSD_BY Techs'!$B113)/8760</f>
        <v>0.12015362035225051</v>
      </c>
      <c r="AG113" s="215">
        <f>SUMIFS('Key Inputs_BY Techs'!AA:AA,'Key Inputs_BY Techs'!$A:$A,'RSD_BY Techs'!$L113,'Key Inputs_BY Techs'!$C:$C,'RSD_BY Techs'!$B113)/8760</f>
        <v>0.19741780821917809</v>
      </c>
      <c r="AH113" s="215">
        <f>SUMIFS('Key Inputs_BY Techs'!AB:AB,'Key Inputs_BY Techs'!$A:$A,'RSD_BY Techs'!$L113,'Key Inputs_BY Techs'!$C:$C,'RSD_BY Techs'!$B113)/8760</f>
        <v>0.16674266144814093</v>
      </c>
      <c r="AI113" s="215">
        <f>SUMIFS('Key Inputs_BY Techs'!AC:AC,'Key Inputs_BY Techs'!$A:$A,'RSD_BY Techs'!$L113,'Key Inputs_BY Techs'!$C:$C,'RSD_BY Techs'!$B113)/8760</f>
        <v>8.5704500978473597E-2</v>
      </c>
      <c r="AJ113" s="215">
        <f>SUMIFS('Key Inputs_BY Techs'!AD:AD,'Key Inputs_BY Techs'!$A:$A,'RSD_BY Techs'!$L113,'Key Inputs_BY Techs'!$C:$C,'RSD_BY Techs'!$B113)/8760</f>
        <v>7.7134050880626234E-2</v>
      </c>
      <c r="AK113" s="215">
        <f>SUMIFS('Key Inputs_BY Techs'!AE:AE,'Key Inputs_BY Techs'!$A:$A,'RSD_BY Techs'!$L113,'Key Inputs_BY Techs'!$C:$C,'RSD_BY Techs'!$B113)/8760</f>
        <v>0.2704990215264188</v>
      </c>
      <c r="AL113" s="215">
        <f>SUMIFS('Key Inputs_BY Techs'!AF:AF,'Key Inputs_BY Techs'!$A:$A,'RSD_BY Techs'!$L113,'Key Inputs_BY Techs'!$C:$C,'RSD_BY Techs'!$B113)/8760</f>
        <v>6.5793542074363998E-2</v>
      </c>
      <c r="AM113" s="215">
        <f>SUMIFS('Key Inputs_BY Techs'!AG:AG,'Key Inputs_BY Techs'!$A:$A,'RSD_BY Techs'!$L113,'Key Inputs_BY Techs'!$C:$C,'RSD_BY Techs'!$B113)/8760</f>
        <v>0.62478767123287671</v>
      </c>
      <c r="AN113" s="215">
        <f>SUMIFS('Key Inputs_BY Techs'!AH:AH,'Key Inputs_BY Techs'!$A:$A,'RSD_BY Techs'!$L113,'Key Inputs_BY Techs'!$C:$C,'RSD_BY Techs'!$B113)/8760</f>
        <v>2.9187866927592957E-3</v>
      </c>
      <c r="AO113" s="215">
        <f>SUMIFS('Key Inputs_BY Techs'!AI:AI,'Key Inputs_BY Techs'!$A:$A,'RSD_BY Techs'!$L113,'Key Inputs_BY Techs'!$C:$C,'RSD_BY Techs'!$B113)/8760</f>
        <v>0.11199217221135031</v>
      </c>
      <c r="AP113" s="215">
        <f>SUMIFS('Key Inputs_BY Techs'!AJ:AJ,'Key Inputs_BY Techs'!$A:$A,'RSD_BY Techs'!$L113,'Key Inputs_BY Techs'!$C:$C,'RSD_BY Techs'!$B113)/8760</f>
        <v>0.15449119373776909</v>
      </c>
    </row>
    <row r="114" spans="1:42" x14ac:dyDescent="0.25">
      <c r="A114" s="280" t="s">
        <v>124</v>
      </c>
      <c r="B114" s="280" t="s">
        <v>471</v>
      </c>
      <c r="C114" s="254" t="str">
        <f>Legend!$A$71&amp;", "&amp;Legend!$A$63&amp;", "&amp;Legend!$A$72</f>
        <v>Natural gas, Biogas, Manufactured gas</v>
      </c>
      <c r="D114" s="280" t="str">
        <f>Legend!$B$71&amp;", "&amp;Legend!$B$63&amp;", "&amp;Legend!$B$72</f>
        <v>RSDGAS, RSDBGS, RSDGAM</v>
      </c>
      <c r="E114" s="280" t="str">
        <f t="shared" ref="E114:E115" si="30">LEFT(D114,6)</f>
        <v>RSDGAS</v>
      </c>
      <c r="F114" s="254"/>
      <c r="G114" s="254"/>
      <c r="I114" s="211" t="str">
        <f t="shared" si="28"/>
        <v>R-ACH_GAS00</v>
      </c>
      <c r="J114" s="211" t="str">
        <f t="shared" si="28"/>
        <v>RSD Air conditioning technology: Natural gas, Biogas, Manufactured gas - Existing</v>
      </c>
      <c r="K114" s="211"/>
      <c r="L114" s="211" t="s">
        <v>191</v>
      </c>
      <c r="M114" s="211" t="s">
        <v>174</v>
      </c>
      <c r="N114" s="211"/>
      <c r="O114" s="211">
        <f>SUMIFS('Key Inputs_BY Techs'!I:I,'Key Inputs_BY Techs'!$A:$A,'RSD_BY Techs'!$L114,'Key Inputs_BY Techs'!$C:$C,'RSD_BY Techs'!$B114)/8760</f>
        <v>9.5687866927592971E-2</v>
      </c>
      <c r="P114" s="211">
        <f>SUMIFS('Key Inputs_BY Techs'!J:J,'Key Inputs_BY Techs'!$A:$A,'RSD_BY Techs'!$L114,'Key Inputs_BY Techs'!$C:$C,'RSD_BY Techs'!$B114)/8760</f>
        <v>0.33259295499021529</v>
      </c>
      <c r="Q114" s="211">
        <f>SUMIFS('Key Inputs_BY Techs'!K:K,'Key Inputs_BY Techs'!$A:$A,'RSD_BY Techs'!$L114,'Key Inputs_BY Techs'!$C:$C,'RSD_BY Techs'!$B114)/8760</f>
        <v>0.62478767123287671</v>
      </c>
      <c r="R114" s="211">
        <f>SUMIFS('Key Inputs_BY Techs'!L:L,'Key Inputs_BY Techs'!$A:$A,'RSD_BY Techs'!$L114,'Key Inputs_BY Techs'!$C:$C,'RSD_BY Techs'!$B114)/8760</f>
        <v>0.38780821917808223</v>
      </c>
      <c r="S114" s="211">
        <f>SUMIFS('Key Inputs_BY Techs'!M:M,'Key Inputs_BY Techs'!$A:$A,'RSD_BY Techs'!$L114,'Key Inputs_BY Techs'!$C:$C,'RSD_BY Techs'!$B114)/8760</f>
        <v>0.10410958904109591</v>
      </c>
      <c r="T114" s="211">
        <f>SUMIFS('Key Inputs_BY Techs'!N:N,'Key Inputs_BY Techs'!$A:$A,'RSD_BY Techs'!$L114,'Key Inputs_BY Techs'!$C:$C,'RSD_BY Techs'!$B114)/8760</f>
        <v>0.1875831702544031</v>
      </c>
      <c r="U114" s="211">
        <f>SUMIFS('Key Inputs_BY Techs'!O:O,'Key Inputs_BY Techs'!$A:$A,'RSD_BY Techs'!$L114,'Key Inputs_BY Techs'!$C:$C,'RSD_BY Techs'!$B114)/8760</f>
        <v>0.22032191780821925</v>
      </c>
      <c r="V114" s="211">
        <f>SUMIFS('Key Inputs_BY Techs'!P:P,'Key Inputs_BY Techs'!$A:$A,'RSD_BY Techs'!$L114,'Key Inputs_BY Techs'!$C:$C,'RSD_BY Techs'!$B114)/8760</f>
        <v>0.46923679060665369</v>
      </c>
      <c r="W114" s="211">
        <f>SUMIFS('Key Inputs_BY Techs'!Q:Q,'Key Inputs_BY Techs'!$A:$A,'RSD_BY Techs'!$L114,'Key Inputs_BY Techs'!$C:$C,'RSD_BY Techs'!$B114)/8760</f>
        <v>8.5704500978473597E-2</v>
      </c>
      <c r="X114" s="211">
        <f>SUMIFS('Key Inputs_BY Techs'!R:R,'Key Inputs_BY Techs'!$A:$A,'RSD_BY Techs'!$L114,'Key Inputs_BY Techs'!$C:$C,'RSD_BY Techs'!$B114)/8760</f>
        <v>2.0784735812133075E-2</v>
      </c>
      <c r="Y114" s="211">
        <f>SUMIFS('Key Inputs_BY Techs'!S:S,'Key Inputs_BY Techs'!$A:$A,'RSD_BY Techs'!$L114,'Key Inputs_BY Techs'!$C:$C,'RSD_BY Techs'!$B114)/8760</f>
        <v>8.5704500978473597E-2</v>
      </c>
      <c r="Z114" s="211">
        <f>SUMIFS('Key Inputs_BY Techs'!T:T,'Key Inputs_BY Techs'!$A:$A,'RSD_BY Techs'!$L114,'Key Inputs_BY Techs'!$C:$C,'RSD_BY Techs'!$B114)/8760</f>
        <v>4.9452054794520556E-3</v>
      </c>
      <c r="AA114" s="211">
        <f>SUMIFS('Key Inputs_BY Techs'!U:U,'Key Inputs_BY Techs'!$A:$A,'RSD_BY Techs'!$L114,'Key Inputs_BY Techs'!$C:$C,'RSD_BY Techs'!$B114)/8760</f>
        <v>4.0639921722113503E-2</v>
      </c>
      <c r="AB114" s="211">
        <f>SUMIFS('Key Inputs_BY Techs'!V:V,'Key Inputs_BY Techs'!$A:$A,'RSD_BY Techs'!$L114,'Key Inputs_BY Techs'!$C:$C,'RSD_BY Techs'!$B114)/8760</f>
        <v>1.2084148727984345E-3</v>
      </c>
      <c r="AC114" s="211">
        <f>SUMIFS('Key Inputs_BY Techs'!W:W,'Key Inputs_BY Techs'!$A:$A,'RSD_BY Techs'!$L114,'Key Inputs_BY Techs'!$C:$C,'RSD_BY Techs'!$B114)/8760</f>
        <v>6.0420743639921729E-3</v>
      </c>
      <c r="AD114" s="211">
        <f>SUMIFS('Key Inputs_BY Techs'!X:X,'Key Inputs_BY Techs'!$A:$A,'RSD_BY Techs'!$L114,'Key Inputs_BY Techs'!$C:$C,'RSD_BY Techs'!$B114)/8760</f>
        <v>3.4246575342465752E-2</v>
      </c>
      <c r="AE114" s="211">
        <f>SUMIFS('Key Inputs_BY Techs'!Y:Y,'Key Inputs_BY Techs'!$A:$A,'RSD_BY Techs'!$L114,'Key Inputs_BY Techs'!$C:$C,'RSD_BY Techs'!$B114)/8760</f>
        <v>3.4246575342465752E-2</v>
      </c>
      <c r="AF114" s="211">
        <f>SUMIFS('Key Inputs_BY Techs'!Z:Z,'Key Inputs_BY Techs'!$A:$A,'RSD_BY Techs'!$L114,'Key Inputs_BY Techs'!$C:$C,'RSD_BY Techs'!$B114)/8760</f>
        <v>0.12015362035225051</v>
      </c>
      <c r="AG114" s="211">
        <f>SUMIFS('Key Inputs_BY Techs'!AA:AA,'Key Inputs_BY Techs'!$A:$A,'RSD_BY Techs'!$L114,'Key Inputs_BY Techs'!$C:$C,'RSD_BY Techs'!$B114)/8760</f>
        <v>0.19741780821917809</v>
      </c>
      <c r="AH114" s="211">
        <f>SUMIFS('Key Inputs_BY Techs'!AB:AB,'Key Inputs_BY Techs'!$A:$A,'RSD_BY Techs'!$L114,'Key Inputs_BY Techs'!$C:$C,'RSD_BY Techs'!$B114)/8760</f>
        <v>0.16674266144814093</v>
      </c>
      <c r="AI114" s="211">
        <f>SUMIFS('Key Inputs_BY Techs'!AC:AC,'Key Inputs_BY Techs'!$A:$A,'RSD_BY Techs'!$L114,'Key Inputs_BY Techs'!$C:$C,'RSD_BY Techs'!$B114)/8760</f>
        <v>8.5704500978473597E-2</v>
      </c>
      <c r="AJ114" s="211">
        <f>SUMIFS('Key Inputs_BY Techs'!AD:AD,'Key Inputs_BY Techs'!$A:$A,'RSD_BY Techs'!$L114,'Key Inputs_BY Techs'!$C:$C,'RSD_BY Techs'!$B114)/8760</f>
        <v>7.7134050880626234E-2</v>
      </c>
      <c r="AK114" s="211">
        <f>SUMIFS('Key Inputs_BY Techs'!AE:AE,'Key Inputs_BY Techs'!$A:$A,'RSD_BY Techs'!$L114,'Key Inputs_BY Techs'!$C:$C,'RSD_BY Techs'!$B114)/8760</f>
        <v>0.2704990215264188</v>
      </c>
      <c r="AL114" s="211">
        <f>SUMIFS('Key Inputs_BY Techs'!AF:AF,'Key Inputs_BY Techs'!$A:$A,'RSD_BY Techs'!$L114,'Key Inputs_BY Techs'!$C:$C,'RSD_BY Techs'!$B114)/8760</f>
        <v>6.5793542074363998E-2</v>
      </c>
      <c r="AM114" s="211">
        <f>SUMIFS('Key Inputs_BY Techs'!AG:AG,'Key Inputs_BY Techs'!$A:$A,'RSD_BY Techs'!$L114,'Key Inputs_BY Techs'!$C:$C,'RSD_BY Techs'!$B114)/8760</f>
        <v>0.62478767123287671</v>
      </c>
      <c r="AN114" s="211">
        <f>SUMIFS('Key Inputs_BY Techs'!AH:AH,'Key Inputs_BY Techs'!$A:$A,'RSD_BY Techs'!$L114,'Key Inputs_BY Techs'!$C:$C,'RSD_BY Techs'!$B114)/8760</f>
        <v>2.9187866927592957E-3</v>
      </c>
      <c r="AO114" s="211">
        <f>SUMIFS('Key Inputs_BY Techs'!AI:AI,'Key Inputs_BY Techs'!$A:$A,'RSD_BY Techs'!$L114,'Key Inputs_BY Techs'!$C:$C,'RSD_BY Techs'!$B114)/8760</f>
        <v>0.11199217221135031</v>
      </c>
      <c r="AP114" s="211">
        <f>SUMIFS('Key Inputs_BY Techs'!AJ:AJ,'Key Inputs_BY Techs'!$A:$A,'RSD_BY Techs'!$L114,'Key Inputs_BY Techs'!$C:$C,'RSD_BY Techs'!$B114)/8760</f>
        <v>0.15449119373776909</v>
      </c>
    </row>
    <row r="115" spans="1:42" x14ac:dyDescent="0.25">
      <c r="A115" s="281" t="s">
        <v>124</v>
      </c>
      <c r="B115" s="281" t="s">
        <v>471</v>
      </c>
      <c r="C115" s="281" t="str">
        <f>Legend!A$66</f>
        <v>Electricity</v>
      </c>
      <c r="D115" s="281" t="str">
        <f>Legend!B$66</f>
        <v>RSDELC</v>
      </c>
      <c r="E115" s="281" t="str">
        <f t="shared" si="30"/>
        <v>RSDELC</v>
      </c>
      <c r="F115" s="254"/>
      <c r="G115" s="254"/>
      <c r="I115" s="215" t="str">
        <f t="shared" si="28"/>
        <v>R-ACH_ELC00</v>
      </c>
      <c r="J115" s="215" t="str">
        <f t="shared" si="28"/>
        <v>RSD Air conditioning technology: Electricity - Existing</v>
      </c>
      <c r="K115" s="215"/>
      <c r="L115" s="215" t="s">
        <v>191</v>
      </c>
      <c r="M115" s="215" t="s">
        <v>174</v>
      </c>
      <c r="N115" s="215"/>
      <c r="O115" s="215">
        <f>SUMIFS('Key Inputs_BY Techs'!I:I,'Key Inputs_BY Techs'!$A:$A,'RSD_BY Techs'!$L115,'Key Inputs_BY Techs'!$C:$C,'RSD_BY Techs'!$B115)/8760</f>
        <v>9.5687866927592971E-2</v>
      </c>
      <c r="P115" s="215">
        <f>SUMIFS('Key Inputs_BY Techs'!J:J,'Key Inputs_BY Techs'!$A:$A,'RSD_BY Techs'!$L115,'Key Inputs_BY Techs'!$C:$C,'RSD_BY Techs'!$B115)/8760</f>
        <v>0.33259295499021529</v>
      </c>
      <c r="Q115" s="215">
        <f>SUMIFS('Key Inputs_BY Techs'!K:K,'Key Inputs_BY Techs'!$A:$A,'RSD_BY Techs'!$L115,'Key Inputs_BY Techs'!$C:$C,'RSD_BY Techs'!$B115)/8760</f>
        <v>0.62478767123287671</v>
      </c>
      <c r="R115" s="215">
        <f>SUMIFS('Key Inputs_BY Techs'!L:L,'Key Inputs_BY Techs'!$A:$A,'RSD_BY Techs'!$L115,'Key Inputs_BY Techs'!$C:$C,'RSD_BY Techs'!$B115)/8760</f>
        <v>0.38780821917808223</v>
      </c>
      <c r="S115" s="215">
        <f>SUMIFS('Key Inputs_BY Techs'!M:M,'Key Inputs_BY Techs'!$A:$A,'RSD_BY Techs'!$L115,'Key Inputs_BY Techs'!$C:$C,'RSD_BY Techs'!$B115)/8760</f>
        <v>0.10410958904109591</v>
      </c>
      <c r="T115" s="215">
        <f>SUMIFS('Key Inputs_BY Techs'!N:N,'Key Inputs_BY Techs'!$A:$A,'RSD_BY Techs'!$L115,'Key Inputs_BY Techs'!$C:$C,'RSD_BY Techs'!$B115)/8760</f>
        <v>0.1875831702544031</v>
      </c>
      <c r="U115" s="215">
        <f>SUMIFS('Key Inputs_BY Techs'!O:O,'Key Inputs_BY Techs'!$A:$A,'RSD_BY Techs'!$L115,'Key Inputs_BY Techs'!$C:$C,'RSD_BY Techs'!$B115)/8760</f>
        <v>0.22032191780821925</v>
      </c>
      <c r="V115" s="215">
        <f>SUMIFS('Key Inputs_BY Techs'!P:P,'Key Inputs_BY Techs'!$A:$A,'RSD_BY Techs'!$L115,'Key Inputs_BY Techs'!$C:$C,'RSD_BY Techs'!$B115)/8760</f>
        <v>0.46923679060665369</v>
      </c>
      <c r="W115" s="215">
        <f>SUMIFS('Key Inputs_BY Techs'!Q:Q,'Key Inputs_BY Techs'!$A:$A,'RSD_BY Techs'!$L115,'Key Inputs_BY Techs'!$C:$C,'RSD_BY Techs'!$B115)/8760</f>
        <v>8.5704500978473597E-2</v>
      </c>
      <c r="X115" s="215">
        <f>SUMIFS('Key Inputs_BY Techs'!R:R,'Key Inputs_BY Techs'!$A:$A,'RSD_BY Techs'!$L115,'Key Inputs_BY Techs'!$C:$C,'RSD_BY Techs'!$B115)/8760</f>
        <v>2.0784735812133075E-2</v>
      </c>
      <c r="Y115" s="215">
        <f>SUMIFS('Key Inputs_BY Techs'!S:S,'Key Inputs_BY Techs'!$A:$A,'RSD_BY Techs'!$L115,'Key Inputs_BY Techs'!$C:$C,'RSD_BY Techs'!$B115)/8760</f>
        <v>8.5704500978473597E-2</v>
      </c>
      <c r="Z115" s="215">
        <f>SUMIFS('Key Inputs_BY Techs'!T:T,'Key Inputs_BY Techs'!$A:$A,'RSD_BY Techs'!$L115,'Key Inputs_BY Techs'!$C:$C,'RSD_BY Techs'!$B115)/8760</f>
        <v>4.9452054794520556E-3</v>
      </c>
      <c r="AA115" s="215">
        <f>SUMIFS('Key Inputs_BY Techs'!U:U,'Key Inputs_BY Techs'!$A:$A,'RSD_BY Techs'!$L115,'Key Inputs_BY Techs'!$C:$C,'RSD_BY Techs'!$B115)/8760</f>
        <v>4.0639921722113503E-2</v>
      </c>
      <c r="AB115" s="215">
        <f>SUMIFS('Key Inputs_BY Techs'!V:V,'Key Inputs_BY Techs'!$A:$A,'RSD_BY Techs'!$L115,'Key Inputs_BY Techs'!$C:$C,'RSD_BY Techs'!$B115)/8760</f>
        <v>1.2084148727984345E-3</v>
      </c>
      <c r="AC115" s="215">
        <f>SUMIFS('Key Inputs_BY Techs'!W:W,'Key Inputs_BY Techs'!$A:$A,'RSD_BY Techs'!$L115,'Key Inputs_BY Techs'!$C:$C,'RSD_BY Techs'!$B115)/8760</f>
        <v>6.0420743639921729E-3</v>
      </c>
      <c r="AD115" s="215">
        <f>SUMIFS('Key Inputs_BY Techs'!X:X,'Key Inputs_BY Techs'!$A:$A,'RSD_BY Techs'!$L115,'Key Inputs_BY Techs'!$C:$C,'RSD_BY Techs'!$B115)/8760</f>
        <v>3.4246575342465752E-2</v>
      </c>
      <c r="AE115" s="215">
        <f>SUMIFS('Key Inputs_BY Techs'!Y:Y,'Key Inputs_BY Techs'!$A:$A,'RSD_BY Techs'!$L115,'Key Inputs_BY Techs'!$C:$C,'RSD_BY Techs'!$B115)/8760</f>
        <v>3.4246575342465752E-2</v>
      </c>
      <c r="AF115" s="215">
        <f>SUMIFS('Key Inputs_BY Techs'!Z:Z,'Key Inputs_BY Techs'!$A:$A,'RSD_BY Techs'!$L115,'Key Inputs_BY Techs'!$C:$C,'RSD_BY Techs'!$B115)/8760</f>
        <v>0.12015362035225051</v>
      </c>
      <c r="AG115" s="215">
        <f>SUMIFS('Key Inputs_BY Techs'!AA:AA,'Key Inputs_BY Techs'!$A:$A,'RSD_BY Techs'!$L115,'Key Inputs_BY Techs'!$C:$C,'RSD_BY Techs'!$B115)/8760</f>
        <v>0.19741780821917809</v>
      </c>
      <c r="AH115" s="215">
        <f>SUMIFS('Key Inputs_BY Techs'!AB:AB,'Key Inputs_BY Techs'!$A:$A,'RSD_BY Techs'!$L115,'Key Inputs_BY Techs'!$C:$C,'RSD_BY Techs'!$B115)/8760</f>
        <v>0.16674266144814093</v>
      </c>
      <c r="AI115" s="215">
        <f>SUMIFS('Key Inputs_BY Techs'!AC:AC,'Key Inputs_BY Techs'!$A:$A,'RSD_BY Techs'!$L115,'Key Inputs_BY Techs'!$C:$C,'RSD_BY Techs'!$B115)/8760</f>
        <v>8.5704500978473597E-2</v>
      </c>
      <c r="AJ115" s="215">
        <f>SUMIFS('Key Inputs_BY Techs'!AD:AD,'Key Inputs_BY Techs'!$A:$A,'RSD_BY Techs'!$L115,'Key Inputs_BY Techs'!$C:$C,'RSD_BY Techs'!$B115)/8760</f>
        <v>7.7134050880626234E-2</v>
      </c>
      <c r="AK115" s="215">
        <f>SUMIFS('Key Inputs_BY Techs'!AE:AE,'Key Inputs_BY Techs'!$A:$A,'RSD_BY Techs'!$L115,'Key Inputs_BY Techs'!$C:$C,'RSD_BY Techs'!$B115)/8760</f>
        <v>0.2704990215264188</v>
      </c>
      <c r="AL115" s="215">
        <f>SUMIFS('Key Inputs_BY Techs'!AF:AF,'Key Inputs_BY Techs'!$A:$A,'RSD_BY Techs'!$L115,'Key Inputs_BY Techs'!$C:$C,'RSD_BY Techs'!$B115)/8760</f>
        <v>6.5793542074363998E-2</v>
      </c>
      <c r="AM115" s="215">
        <f>SUMIFS('Key Inputs_BY Techs'!AG:AG,'Key Inputs_BY Techs'!$A:$A,'RSD_BY Techs'!$L115,'Key Inputs_BY Techs'!$C:$C,'RSD_BY Techs'!$B115)/8760</f>
        <v>0.62478767123287671</v>
      </c>
      <c r="AN115" s="215">
        <f>SUMIFS('Key Inputs_BY Techs'!AH:AH,'Key Inputs_BY Techs'!$A:$A,'RSD_BY Techs'!$L115,'Key Inputs_BY Techs'!$C:$C,'RSD_BY Techs'!$B115)/8760</f>
        <v>2.9187866927592957E-3</v>
      </c>
      <c r="AO115" s="215">
        <f>SUMIFS('Key Inputs_BY Techs'!AI:AI,'Key Inputs_BY Techs'!$A:$A,'RSD_BY Techs'!$L115,'Key Inputs_BY Techs'!$C:$C,'RSD_BY Techs'!$B115)/8760</f>
        <v>0.11199217221135031</v>
      </c>
      <c r="AP115" s="215">
        <f>SUMIFS('Key Inputs_BY Techs'!AJ:AJ,'Key Inputs_BY Techs'!$A:$A,'RSD_BY Techs'!$L115,'Key Inputs_BY Techs'!$C:$C,'RSD_BY Techs'!$B115)/8760</f>
        <v>0.15449119373776909</v>
      </c>
    </row>
    <row r="116" spans="1:42" x14ac:dyDescent="0.25">
      <c r="A116" s="254" t="s">
        <v>119</v>
      </c>
      <c r="B116" s="254" t="s">
        <v>118</v>
      </c>
      <c r="C116" s="254" t="str">
        <f>Legend!A$64</f>
        <v>Biomass</v>
      </c>
      <c r="D116" s="254" t="str">
        <f>Legend!B$64</f>
        <v>RSDBIO</v>
      </c>
      <c r="E116" s="254" t="str">
        <f>LEFT(D116,6)</f>
        <v>RSDBIO</v>
      </c>
      <c r="F116" s="254"/>
      <c r="G116" s="254"/>
      <c r="I116" s="213" t="str">
        <f t="shared" si="28"/>
        <v>R-CK_BIO00</v>
      </c>
      <c r="J116" s="213" t="str">
        <f t="shared" si="28"/>
        <v>RSD Cooking technology: Biomass - Existing</v>
      </c>
      <c r="K116" s="213"/>
      <c r="L116" s="213" t="s">
        <v>191</v>
      </c>
      <c r="M116" s="213" t="s">
        <v>174</v>
      </c>
      <c r="N116" s="213"/>
      <c r="O116" s="211">
        <f>SUMIFS('Key Inputs_BY Techs'!I:I,'Key Inputs_BY Techs'!$A:$A,'RSD_BY Techs'!$L116,'Key Inputs_BY Techs'!$C:$C,'RSD_BY Techs'!$B116)/8760</f>
        <v>8.3333333333333329E-2</v>
      </c>
      <c r="P116" s="211">
        <f>SUMIFS('Key Inputs_BY Techs'!J:J,'Key Inputs_BY Techs'!$A:$A,'RSD_BY Techs'!$L116,'Key Inputs_BY Techs'!$C:$C,'RSD_BY Techs'!$B116)/8760</f>
        <v>8.3333333333333329E-2</v>
      </c>
      <c r="Q116" s="211">
        <f>SUMIFS('Key Inputs_BY Techs'!K:K,'Key Inputs_BY Techs'!$A:$A,'RSD_BY Techs'!$L116,'Key Inputs_BY Techs'!$C:$C,'RSD_BY Techs'!$B116)/8760</f>
        <v>8.3333333333333329E-2</v>
      </c>
      <c r="R116" s="211">
        <f>SUMIFS('Key Inputs_BY Techs'!L:L,'Key Inputs_BY Techs'!$A:$A,'RSD_BY Techs'!$L116,'Key Inputs_BY Techs'!$C:$C,'RSD_BY Techs'!$B116)/8760</f>
        <v>8.3333333333333329E-2</v>
      </c>
      <c r="S116" s="211">
        <f>SUMIFS('Key Inputs_BY Techs'!M:M,'Key Inputs_BY Techs'!$A:$A,'RSD_BY Techs'!$L116,'Key Inputs_BY Techs'!$C:$C,'RSD_BY Techs'!$B116)/8760</f>
        <v>8.3333333333333329E-2</v>
      </c>
      <c r="T116" s="211">
        <f>SUMIFS('Key Inputs_BY Techs'!N:N,'Key Inputs_BY Techs'!$A:$A,'RSD_BY Techs'!$L116,'Key Inputs_BY Techs'!$C:$C,'RSD_BY Techs'!$B116)/8760</f>
        <v>8.3333333333333329E-2</v>
      </c>
      <c r="U116" s="211">
        <f>SUMIFS('Key Inputs_BY Techs'!O:O,'Key Inputs_BY Techs'!$A:$A,'RSD_BY Techs'!$L116,'Key Inputs_BY Techs'!$C:$C,'RSD_BY Techs'!$B116)/8760</f>
        <v>8.3333333333333329E-2</v>
      </c>
      <c r="V116" s="211">
        <f>SUMIFS('Key Inputs_BY Techs'!P:P,'Key Inputs_BY Techs'!$A:$A,'RSD_BY Techs'!$L116,'Key Inputs_BY Techs'!$C:$C,'RSD_BY Techs'!$B116)/8760</f>
        <v>8.3333333333333329E-2</v>
      </c>
      <c r="W116" s="211">
        <f>SUMIFS('Key Inputs_BY Techs'!Q:Q,'Key Inputs_BY Techs'!$A:$A,'RSD_BY Techs'!$L116,'Key Inputs_BY Techs'!$C:$C,'RSD_BY Techs'!$B116)/8760</f>
        <v>8.3333333333333329E-2</v>
      </c>
      <c r="X116" s="211">
        <f>SUMIFS('Key Inputs_BY Techs'!R:R,'Key Inputs_BY Techs'!$A:$A,'RSD_BY Techs'!$L116,'Key Inputs_BY Techs'!$C:$C,'RSD_BY Techs'!$B116)/8760</f>
        <v>8.3333333333333329E-2</v>
      </c>
      <c r="Y116" s="211">
        <f>SUMIFS('Key Inputs_BY Techs'!S:S,'Key Inputs_BY Techs'!$A:$A,'RSD_BY Techs'!$L116,'Key Inputs_BY Techs'!$C:$C,'RSD_BY Techs'!$B116)/8760</f>
        <v>8.3333333333333329E-2</v>
      </c>
      <c r="Z116" s="211">
        <f>SUMIFS('Key Inputs_BY Techs'!T:T,'Key Inputs_BY Techs'!$A:$A,'RSD_BY Techs'!$L116,'Key Inputs_BY Techs'!$C:$C,'RSD_BY Techs'!$B116)/8760</f>
        <v>8.3333333333333329E-2</v>
      </c>
      <c r="AA116" s="211">
        <f>SUMIFS('Key Inputs_BY Techs'!U:U,'Key Inputs_BY Techs'!$A:$A,'RSD_BY Techs'!$L116,'Key Inputs_BY Techs'!$C:$C,'RSD_BY Techs'!$B116)/8760</f>
        <v>8.3333333333333329E-2</v>
      </c>
      <c r="AB116" s="211">
        <f>SUMIFS('Key Inputs_BY Techs'!V:V,'Key Inputs_BY Techs'!$A:$A,'RSD_BY Techs'!$L116,'Key Inputs_BY Techs'!$C:$C,'RSD_BY Techs'!$B116)/8760</f>
        <v>8.3333333333333329E-2</v>
      </c>
      <c r="AC116" s="211">
        <f>SUMIFS('Key Inputs_BY Techs'!W:W,'Key Inputs_BY Techs'!$A:$A,'RSD_BY Techs'!$L116,'Key Inputs_BY Techs'!$C:$C,'RSD_BY Techs'!$B116)/8760</f>
        <v>8.3333333333333329E-2</v>
      </c>
      <c r="AD116" s="211">
        <f>SUMIFS('Key Inputs_BY Techs'!X:X,'Key Inputs_BY Techs'!$A:$A,'RSD_BY Techs'!$L116,'Key Inputs_BY Techs'!$C:$C,'RSD_BY Techs'!$B116)/8760</f>
        <v>8.3333333333333329E-2</v>
      </c>
      <c r="AE116" s="211">
        <f>SUMIFS('Key Inputs_BY Techs'!Y:Y,'Key Inputs_BY Techs'!$A:$A,'RSD_BY Techs'!$L116,'Key Inputs_BY Techs'!$C:$C,'RSD_BY Techs'!$B116)/8760</f>
        <v>8.3333333333333329E-2</v>
      </c>
      <c r="AF116" s="211">
        <f>SUMIFS('Key Inputs_BY Techs'!Z:Z,'Key Inputs_BY Techs'!$A:$A,'RSD_BY Techs'!$L116,'Key Inputs_BY Techs'!$C:$C,'RSD_BY Techs'!$B116)/8760</f>
        <v>8.3333333333333329E-2</v>
      </c>
      <c r="AG116" s="211">
        <f>SUMIFS('Key Inputs_BY Techs'!AA:AA,'Key Inputs_BY Techs'!$A:$A,'RSD_BY Techs'!$L116,'Key Inputs_BY Techs'!$C:$C,'RSD_BY Techs'!$B116)/8760</f>
        <v>8.3333333333333329E-2</v>
      </c>
      <c r="AH116" s="211">
        <f>SUMIFS('Key Inputs_BY Techs'!AB:AB,'Key Inputs_BY Techs'!$A:$A,'RSD_BY Techs'!$L116,'Key Inputs_BY Techs'!$C:$C,'RSD_BY Techs'!$B116)/8760</f>
        <v>8.3333333333333329E-2</v>
      </c>
      <c r="AI116" s="211">
        <f>SUMIFS('Key Inputs_BY Techs'!AC:AC,'Key Inputs_BY Techs'!$A:$A,'RSD_BY Techs'!$L116,'Key Inputs_BY Techs'!$C:$C,'RSD_BY Techs'!$B116)/8760</f>
        <v>8.3333333333333329E-2</v>
      </c>
      <c r="AJ116" s="211">
        <f>SUMIFS('Key Inputs_BY Techs'!AD:AD,'Key Inputs_BY Techs'!$A:$A,'RSD_BY Techs'!$L116,'Key Inputs_BY Techs'!$C:$C,'RSD_BY Techs'!$B116)/8760</f>
        <v>8.3333333333333329E-2</v>
      </c>
      <c r="AK116" s="211">
        <f>SUMIFS('Key Inputs_BY Techs'!AE:AE,'Key Inputs_BY Techs'!$A:$A,'RSD_BY Techs'!$L116,'Key Inputs_BY Techs'!$C:$C,'RSD_BY Techs'!$B116)/8760</f>
        <v>8.3333333333333329E-2</v>
      </c>
      <c r="AL116" s="211">
        <f>SUMIFS('Key Inputs_BY Techs'!AF:AF,'Key Inputs_BY Techs'!$A:$A,'RSD_BY Techs'!$L116,'Key Inputs_BY Techs'!$C:$C,'RSD_BY Techs'!$B116)/8760</f>
        <v>8.3333333333333329E-2</v>
      </c>
      <c r="AM116" s="211">
        <f>SUMIFS('Key Inputs_BY Techs'!AG:AG,'Key Inputs_BY Techs'!$A:$A,'RSD_BY Techs'!$L116,'Key Inputs_BY Techs'!$C:$C,'RSD_BY Techs'!$B116)/8760</f>
        <v>8.3333333333333329E-2</v>
      </c>
      <c r="AN116" s="211">
        <f>SUMIFS('Key Inputs_BY Techs'!AH:AH,'Key Inputs_BY Techs'!$A:$A,'RSD_BY Techs'!$L116,'Key Inputs_BY Techs'!$C:$C,'RSD_BY Techs'!$B116)/8760</f>
        <v>8.3333333333333329E-2</v>
      </c>
      <c r="AO116" s="211">
        <f>SUMIFS('Key Inputs_BY Techs'!AI:AI,'Key Inputs_BY Techs'!$A:$A,'RSD_BY Techs'!$L116,'Key Inputs_BY Techs'!$C:$C,'RSD_BY Techs'!$B116)/8760</f>
        <v>8.3333333333333329E-2</v>
      </c>
      <c r="AP116" s="211">
        <f>SUMIFS('Key Inputs_BY Techs'!AJ:AJ,'Key Inputs_BY Techs'!$A:$A,'RSD_BY Techs'!$L116,'Key Inputs_BY Techs'!$C:$C,'RSD_BY Techs'!$B116)/8760</f>
        <v>8.3333333333333329E-2</v>
      </c>
    </row>
    <row r="117" spans="1:42" x14ac:dyDescent="0.25">
      <c r="A117" s="254" t="s">
        <v>119</v>
      </c>
      <c r="B117" s="254" t="s">
        <v>118</v>
      </c>
      <c r="C117" s="254" t="str">
        <f>Legend!A$65</f>
        <v>Coal</v>
      </c>
      <c r="D117" s="254" t="str">
        <f>Legend!B$65</f>
        <v>RSDCOA</v>
      </c>
      <c r="E117" s="254" t="str">
        <f t="shared" ref="E117:E122" si="31">LEFT(D117,6)</f>
        <v>RSDCOA</v>
      </c>
      <c r="F117" s="254"/>
      <c r="G117" s="254"/>
      <c r="I117" s="211" t="str">
        <f t="shared" si="28"/>
        <v>R-CK_COA00</v>
      </c>
      <c r="J117" s="211" t="str">
        <f t="shared" si="28"/>
        <v>RSD Cooking technology: Coal - Existing</v>
      </c>
      <c r="K117" s="211"/>
      <c r="L117" s="211" t="s">
        <v>191</v>
      </c>
      <c r="M117" s="211" t="s">
        <v>174</v>
      </c>
      <c r="N117" s="211"/>
      <c r="O117" s="211">
        <f>SUMIFS('Key Inputs_BY Techs'!I:I,'Key Inputs_BY Techs'!$A:$A,'RSD_BY Techs'!$L117,'Key Inputs_BY Techs'!$C:$C,'RSD_BY Techs'!$B117)/8760</f>
        <v>8.3333333333333329E-2</v>
      </c>
      <c r="P117" s="211">
        <f>SUMIFS('Key Inputs_BY Techs'!J:J,'Key Inputs_BY Techs'!$A:$A,'RSD_BY Techs'!$L117,'Key Inputs_BY Techs'!$C:$C,'RSD_BY Techs'!$B117)/8760</f>
        <v>8.3333333333333329E-2</v>
      </c>
      <c r="Q117" s="211">
        <f>SUMIFS('Key Inputs_BY Techs'!K:K,'Key Inputs_BY Techs'!$A:$A,'RSD_BY Techs'!$L117,'Key Inputs_BY Techs'!$C:$C,'RSD_BY Techs'!$B117)/8760</f>
        <v>8.3333333333333329E-2</v>
      </c>
      <c r="R117" s="211">
        <f>SUMIFS('Key Inputs_BY Techs'!L:L,'Key Inputs_BY Techs'!$A:$A,'RSD_BY Techs'!$L117,'Key Inputs_BY Techs'!$C:$C,'RSD_BY Techs'!$B117)/8760</f>
        <v>8.3333333333333329E-2</v>
      </c>
      <c r="S117" s="211">
        <f>SUMIFS('Key Inputs_BY Techs'!M:M,'Key Inputs_BY Techs'!$A:$A,'RSD_BY Techs'!$L117,'Key Inputs_BY Techs'!$C:$C,'RSD_BY Techs'!$B117)/8760</f>
        <v>8.3333333333333329E-2</v>
      </c>
      <c r="T117" s="211">
        <f>SUMIFS('Key Inputs_BY Techs'!N:N,'Key Inputs_BY Techs'!$A:$A,'RSD_BY Techs'!$L117,'Key Inputs_BY Techs'!$C:$C,'RSD_BY Techs'!$B117)/8760</f>
        <v>8.3333333333333329E-2</v>
      </c>
      <c r="U117" s="211">
        <f>SUMIFS('Key Inputs_BY Techs'!O:O,'Key Inputs_BY Techs'!$A:$A,'RSD_BY Techs'!$L117,'Key Inputs_BY Techs'!$C:$C,'RSD_BY Techs'!$B117)/8760</f>
        <v>8.3333333333333329E-2</v>
      </c>
      <c r="V117" s="211">
        <f>SUMIFS('Key Inputs_BY Techs'!P:P,'Key Inputs_BY Techs'!$A:$A,'RSD_BY Techs'!$L117,'Key Inputs_BY Techs'!$C:$C,'RSD_BY Techs'!$B117)/8760</f>
        <v>8.3333333333333329E-2</v>
      </c>
      <c r="W117" s="211">
        <f>SUMIFS('Key Inputs_BY Techs'!Q:Q,'Key Inputs_BY Techs'!$A:$A,'RSD_BY Techs'!$L117,'Key Inputs_BY Techs'!$C:$C,'RSD_BY Techs'!$B117)/8760</f>
        <v>8.3333333333333329E-2</v>
      </c>
      <c r="X117" s="211">
        <f>SUMIFS('Key Inputs_BY Techs'!R:R,'Key Inputs_BY Techs'!$A:$A,'RSD_BY Techs'!$L117,'Key Inputs_BY Techs'!$C:$C,'RSD_BY Techs'!$B117)/8760</f>
        <v>8.3333333333333329E-2</v>
      </c>
      <c r="Y117" s="211">
        <f>SUMIFS('Key Inputs_BY Techs'!S:S,'Key Inputs_BY Techs'!$A:$A,'RSD_BY Techs'!$L117,'Key Inputs_BY Techs'!$C:$C,'RSD_BY Techs'!$B117)/8760</f>
        <v>8.3333333333333329E-2</v>
      </c>
      <c r="Z117" s="211">
        <f>SUMIFS('Key Inputs_BY Techs'!T:T,'Key Inputs_BY Techs'!$A:$A,'RSD_BY Techs'!$L117,'Key Inputs_BY Techs'!$C:$C,'RSD_BY Techs'!$B117)/8760</f>
        <v>8.3333333333333329E-2</v>
      </c>
      <c r="AA117" s="211">
        <f>SUMIFS('Key Inputs_BY Techs'!U:U,'Key Inputs_BY Techs'!$A:$A,'RSD_BY Techs'!$L117,'Key Inputs_BY Techs'!$C:$C,'RSD_BY Techs'!$B117)/8760</f>
        <v>8.3333333333333329E-2</v>
      </c>
      <c r="AB117" s="211">
        <f>SUMIFS('Key Inputs_BY Techs'!V:V,'Key Inputs_BY Techs'!$A:$A,'RSD_BY Techs'!$L117,'Key Inputs_BY Techs'!$C:$C,'RSD_BY Techs'!$B117)/8760</f>
        <v>8.3333333333333329E-2</v>
      </c>
      <c r="AC117" s="211">
        <f>SUMIFS('Key Inputs_BY Techs'!W:W,'Key Inputs_BY Techs'!$A:$A,'RSD_BY Techs'!$L117,'Key Inputs_BY Techs'!$C:$C,'RSD_BY Techs'!$B117)/8760</f>
        <v>8.3333333333333329E-2</v>
      </c>
      <c r="AD117" s="211">
        <f>SUMIFS('Key Inputs_BY Techs'!X:X,'Key Inputs_BY Techs'!$A:$A,'RSD_BY Techs'!$L117,'Key Inputs_BY Techs'!$C:$C,'RSD_BY Techs'!$B117)/8760</f>
        <v>8.3333333333333329E-2</v>
      </c>
      <c r="AE117" s="211">
        <f>SUMIFS('Key Inputs_BY Techs'!Y:Y,'Key Inputs_BY Techs'!$A:$A,'RSD_BY Techs'!$L117,'Key Inputs_BY Techs'!$C:$C,'RSD_BY Techs'!$B117)/8760</f>
        <v>8.3333333333333329E-2</v>
      </c>
      <c r="AF117" s="211">
        <f>SUMIFS('Key Inputs_BY Techs'!Z:Z,'Key Inputs_BY Techs'!$A:$A,'RSD_BY Techs'!$L117,'Key Inputs_BY Techs'!$C:$C,'RSD_BY Techs'!$B117)/8760</f>
        <v>8.3333333333333329E-2</v>
      </c>
      <c r="AG117" s="211">
        <f>SUMIFS('Key Inputs_BY Techs'!AA:AA,'Key Inputs_BY Techs'!$A:$A,'RSD_BY Techs'!$L117,'Key Inputs_BY Techs'!$C:$C,'RSD_BY Techs'!$B117)/8760</f>
        <v>8.3333333333333329E-2</v>
      </c>
      <c r="AH117" s="211">
        <f>SUMIFS('Key Inputs_BY Techs'!AB:AB,'Key Inputs_BY Techs'!$A:$A,'RSD_BY Techs'!$L117,'Key Inputs_BY Techs'!$C:$C,'RSD_BY Techs'!$B117)/8760</f>
        <v>8.3333333333333329E-2</v>
      </c>
      <c r="AI117" s="211">
        <f>SUMIFS('Key Inputs_BY Techs'!AC:AC,'Key Inputs_BY Techs'!$A:$A,'RSD_BY Techs'!$L117,'Key Inputs_BY Techs'!$C:$C,'RSD_BY Techs'!$B117)/8760</f>
        <v>8.3333333333333329E-2</v>
      </c>
      <c r="AJ117" s="211">
        <f>SUMIFS('Key Inputs_BY Techs'!AD:AD,'Key Inputs_BY Techs'!$A:$A,'RSD_BY Techs'!$L117,'Key Inputs_BY Techs'!$C:$C,'RSD_BY Techs'!$B117)/8760</f>
        <v>8.3333333333333329E-2</v>
      </c>
      <c r="AK117" s="211">
        <f>SUMIFS('Key Inputs_BY Techs'!AE:AE,'Key Inputs_BY Techs'!$A:$A,'RSD_BY Techs'!$L117,'Key Inputs_BY Techs'!$C:$C,'RSD_BY Techs'!$B117)/8760</f>
        <v>8.3333333333333329E-2</v>
      </c>
      <c r="AL117" s="211">
        <f>SUMIFS('Key Inputs_BY Techs'!AF:AF,'Key Inputs_BY Techs'!$A:$A,'RSD_BY Techs'!$L117,'Key Inputs_BY Techs'!$C:$C,'RSD_BY Techs'!$B117)/8760</f>
        <v>8.3333333333333329E-2</v>
      </c>
      <c r="AM117" s="211">
        <f>SUMIFS('Key Inputs_BY Techs'!AG:AG,'Key Inputs_BY Techs'!$A:$A,'RSD_BY Techs'!$L117,'Key Inputs_BY Techs'!$C:$C,'RSD_BY Techs'!$B117)/8760</f>
        <v>8.3333333333333329E-2</v>
      </c>
      <c r="AN117" s="211">
        <f>SUMIFS('Key Inputs_BY Techs'!AH:AH,'Key Inputs_BY Techs'!$A:$A,'RSD_BY Techs'!$L117,'Key Inputs_BY Techs'!$C:$C,'RSD_BY Techs'!$B117)/8760</f>
        <v>8.3333333333333329E-2</v>
      </c>
      <c r="AO117" s="211">
        <f>SUMIFS('Key Inputs_BY Techs'!AI:AI,'Key Inputs_BY Techs'!$A:$A,'RSD_BY Techs'!$L117,'Key Inputs_BY Techs'!$C:$C,'RSD_BY Techs'!$B117)/8760</f>
        <v>8.3333333333333329E-2</v>
      </c>
      <c r="AP117" s="211">
        <f>SUMIFS('Key Inputs_BY Techs'!AJ:AJ,'Key Inputs_BY Techs'!$A:$A,'RSD_BY Techs'!$L117,'Key Inputs_BY Techs'!$C:$C,'RSD_BY Techs'!$B117)/8760</f>
        <v>8.3333333333333329E-2</v>
      </c>
    </row>
    <row r="118" spans="1:42" x14ac:dyDescent="0.25">
      <c r="A118" s="254" t="s">
        <v>119</v>
      </c>
      <c r="B118" s="254" t="s">
        <v>118</v>
      </c>
      <c r="C118" s="254" t="str">
        <f>Legend!A$66</f>
        <v>Electricity</v>
      </c>
      <c r="D118" s="254" t="str">
        <f>Legend!B$66</f>
        <v>RSDELC</v>
      </c>
      <c r="E118" s="254" t="str">
        <f t="shared" si="31"/>
        <v>RSDELC</v>
      </c>
      <c r="F118" s="254"/>
      <c r="G118" s="254"/>
      <c r="I118" s="211" t="str">
        <f t="shared" si="28"/>
        <v>R-CK_ELC00</v>
      </c>
      <c r="J118" s="211" t="str">
        <f t="shared" si="28"/>
        <v>RSD Cooking technology: Electricity - Existing</v>
      </c>
      <c r="K118" s="211"/>
      <c r="L118" s="211" t="s">
        <v>191</v>
      </c>
      <c r="M118" s="211" t="s">
        <v>174</v>
      </c>
      <c r="N118" s="211"/>
      <c r="O118" s="211">
        <f>SUMIFS('Key Inputs_BY Techs'!I:I,'Key Inputs_BY Techs'!$A:$A,'RSD_BY Techs'!$L118,'Key Inputs_BY Techs'!$C:$C,'RSD_BY Techs'!$B118)/8760</f>
        <v>8.3333333333333329E-2</v>
      </c>
      <c r="P118" s="211">
        <f>SUMIFS('Key Inputs_BY Techs'!J:J,'Key Inputs_BY Techs'!$A:$A,'RSD_BY Techs'!$L118,'Key Inputs_BY Techs'!$C:$C,'RSD_BY Techs'!$B118)/8760</f>
        <v>8.3333333333333329E-2</v>
      </c>
      <c r="Q118" s="211">
        <f>SUMIFS('Key Inputs_BY Techs'!K:K,'Key Inputs_BY Techs'!$A:$A,'RSD_BY Techs'!$L118,'Key Inputs_BY Techs'!$C:$C,'RSD_BY Techs'!$B118)/8760</f>
        <v>8.3333333333333329E-2</v>
      </c>
      <c r="R118" s="211">
        <f>SUMIFS('Key Inputs_BY Techs'!L:L,'Key Inputs_BY Techs'!$A:$A,'RSD_BY Techs'!$L118,'Key Inputs_BY Techs'!$C:$C,'RSD_BY Techs'!$B118)/8760</f>
        <v>8.3333333333333329E-2</v>
      </c>
      <c r="S118" s="211">
        <f>SUMIFS('Key Inputs_BY Techs'!M:M,'Key Inputs_BY Techs'!$A:$A,'RSD_BY Techs'!$L118,'Key Inputs_BY Techs'!$C:$C,'RSD_BY Techs'!$B118)/8760</f>
        <v>8.3333333333333329E-2</v>
      </c>
      <c r="T118" s="211">
        <f>SUMIFS('Key Inputs_BY Techs'!N:N,'Key Inputs_BY Techs'!$A:$A,'RSD_BY Techs'!$L118,'Key Inputs_BY Techs'!$C:$C,'RSD_BY Techs'!$B118)/8760</f>
        <v>8.3333333333333329E-2</v>
      </c>
      <c r="U118" s="211">
        <f>SUMIFS('Key Inputs_BY Techs'!O:O,'Key Inputs_BY Techs'!$A:$A,'RSD_BY Techs'!$L118,'Key Inputs_BY Techs'!$C:$C,'RSD_BY Techs'!$B118)/8760</f>
        <v>8.3333333333333329E-2</v>
      </c>
      <c r="V118" s="211">
        <f>SUMIFS('Key Inputs_BY Techs'!P:P,'Key Inputs_BY Techs'!$A:$A,'RSD_BY Techs'!$L118,'Key Inputs_BY Techs'!$C:$C,'RSD_BY Techs'!$B118)/8760</f>
        <v>8.3333333333333329E-2</v>
      </c>
      <c r="W118" s="211">
        <f>SUMIFS('Key Inputs_BY Techs'!Q:Q,'Key Inputs_BY Techs'!$A:$A,'RSD_BY Techs'!$L118,'Key Inputs_BY Techs'!$C:$C,'RSD_BY Techs'!$B118)/8760</f>
        <v>8.3333333333333329E-2</v>
      </c>
      <c r="X118" s="211">
        <f>SUMIFS('Key Inputs_BY Techs'!R:R,'Key Inputs_BY Techs'!$A:$A,'RSD_BY Techs'!$L118,'Key Inputs_BY Techs'!$C:$C,'RSD_BY Techs'!$B118)/8760</f>
        <v>8.3333333333333329E-2</v>
      </c>
      <c r="Y118" s="211">
        <f>SUMIFS('Key Inputs_BY Techs'!S:S,'Key Inputs_BY Techs'!$A:$A,'RSD_BY Techs'!$L118,'Key Inputs_BY Techs'!$C:$C,'RSD_BY Techs'!$B118)/8760</f>
        <v>8.3333333333333329E-2</v>
      </c>
      <c r="Z118" s="211">
        <f>SUMIFS('Key Inputs_BY Techs'!T:T,'Key Inputs_BY Techs'!$A:$A,'RSD_BY Techs'!$L118,'Key Inputs_BY Techs'!$C:$C,'RSD_BY Techs'!$B118)/8760</f>
        <v>8.3333333333333329E-2</v>
      </c>
      <c r="AA118" s="211">
        <f>SUMIFS('Key Inputs_BY Techs'!U:U,'Key Inputs_BY Techs'!$A:$A,'RSD_BY Techs'!$L118,'Key Inputs_BY Techs'!$C:$C,'RSD_BY Techs'!$B118)/8760</f>
        <v>8.3333333333333329E-2</v>
      </c>
      <c r="AB118" s="211">
        <f>SUMIFS('Key Inputs_BY Techs'!V:V,'Key Inputs_BY Techs'!$A:$A,'RSD_BY Techs'!$L118,'Key Inputs_BY Techs'!$C:$C,'RSD_BY Techs'!$B118)/8760</f>
        <v>8.3333333333333329E-2</v>
      </c>
      <c r="AC118" s="211">
        <f>SUMIFS('Key Inputs_BY Techs'!W:W,'Key Inputs_BY Techs'!$A:$A,'RSD_BY Techs'!$L118,'Key Inputs_BY Techs'!$C:$C,'RSD_BY Techs'!$B118)/8760</f>
        <v>8.3333333333333329E-2</v>
      </c>
      <c r="AD118" s="211">
        <f>SUMIFS('Key Inputs_BY Techs'!X:X,'Key Inputs_BY Techs'!$A:$A,'RSD_BY Techs'!$L118,'Key Inputs_BY Techs'!$C:$C,'RSD_BY Techs'!$B118)/8760</f>
        <v>8.3333333333333329E-2</v>
      </c>
      <c r="AE118" s="211">
        <f>SUMIFS('Key Inputs_BY Techs'!Y:Y,'Key Inputs_BY Techs'!$A:$A,'RSD_BY Techs'!$L118,'Key Inputs_BY Techs'!$C:$C,'RSD_BY Techs'!$B118)/8760</f>
        <v>8.3333333333333329E-2</v>
      </c>
      <c r="AF118" s="211">
        <f>SUMIFS('Key Inputs_BY Techs'!Z:Z,'Key Inputs_BY Techs'!$A:$A,'RSD_BY Techs'!$L118,'Key Inputs_BY Techs'!$C:$C,'RSD_BY Techs'!$B118)/8760</f>
        <v>8.3333333333333329E-2</v>
      </c>
      <c r="AG118" s="211">
        <f>SUMIFS('Key Inputs_BY Techs'!AA:AA,'Key Inputs_BY Techs'!$A:$A,'RSD_BY Techs'!$L118,'Key Inputs_BY Techs'!$C:$C,'RSD_BY Techs'!$B118)/8760</f>
        <v>8.3333333333333329E-2</v>
      </c>
      <c r="AH118" s="211">
        <f>SUMIFS('Key Inputs_BY Techs'!AB:AB,'Key Inputs_BY Techs'!$A:$A,'RSD_BY Techs'!$L118,'Key Inputs_BY Techs'!$C:$C,'RSD_BY Techs'!$B118)/8760</f>
        <v>8.3333333333333329E-2</v>
      </c>
      <c r="AI118" s="211">
        <f>SUMIFS('Key Inputs_BY Techs'!AC:AC,'Key Inputs_BY Techs'!$A:$A,'RSD_BY Techs'!$L118,'Key Inputs_BY Techs'!$C:$C,'RSD_BY Techs'!$B118)/8760</f>
        <v>8.3333333333333329E-2</v>
      </c>
      <c r="AJ118" s="211">
        <f>SUMIFS('Key Inputs_BY Techs'!AD:AD,'Key Inputs_BY Techs'!$A:$A,'RSD_BY Techs'!$L118,'Key Inputs_BY Techs'!$C:$C,'RSD_BY Techs'!$B118)/8760</f>
        <v>8.3333333333333329E-2</v>
      </c>
      <c r="AK118" s="211">
        <f>SUMIFS('Key Inputs_BY Techs'!AE:AE,'Key Inputs_BY Techs'!$A:$A,'RSD_BY Techs'!$L118,'Key Inputs_BY Techs'!$C:$C,'RSD_BY Techs'!$B118)/8760</f>
        <v>8.3333333333333329E-2</v>
      </c>
      <c r="AL118" s="211">
        <f>SUMIFS('Key Inputs_BY Techs'!AF:AF,'Key Inputs_BY Techs'!$A:$A,'RSD_BY Techs'!$L118,'Key Inputs_BY Techs'!$C:$C,'RSD_BY Techs'!$B118)/8760</f>
        <v>8.3333333333333329E-2</v>
      </c>
      <c r="AM118" s="211">
        <f>SUMIFS('Key Inputs_BY Techs'!AG:AG,'Key Inputs_BY Techs'!$A:$A,'RSD_BY Techs'!$L118,'Key Inputs_BY Techs'!$C:$C,'RSD_BY Techs'!$B118)/8760</f>
        <v>8.3333333333333329E-2</v>
      </c>
      <c r="AN118" s="211">
        <f>SUMIFS('Key Inputs_BY Techs'!AH:AH,'Key Inputs_BY Techs'!$A:$A,'RSD_BY Techs'!$L118,'Key Inputs_BY Techs'!$C:$C,'RSD_BY Techs'!$B118)/8760</f>
        <v>8.3333333333333329E-2</v>
      </c>
      <c r="AO118" s="211">
        <f>SUMIFS('Key Inputs_BY Techs'!AI:AI,'Key Inputs_BY Techs'!$A:$A,'RSD_BY Techs'!$L118,'Key Inputs_BY Techs'!$C:$C,'RSD_BY Techs'!$B118)/8760</f>
        <v>8.3333333333333329E-2</v>
      </c>
      <c r="AP118" s="211">
        <f>SUMIFS('Key Inputs_BY Techs'!AJ:AJ,'Key Inputs_BY Techs'!$A:$A,'RSD_BY Techs'!$L118,'Key Inputs_BY Techs'!$C:$C,'RSD_BY Techs'!$B118)/8760</f>
        <v>8.3333333333333329E-2</v>
      </c>
    </row>
    <row r="119" spans="1:42" x14ac:dyDescent="0.25">
      <c r="A119" s="254" t="s">
        <v>119</v>
      </c>
      <c r="B119" s="254" t="s">
        <v>118</v>
      </c>
      <c r="C119" s="254" t="str">
        <f>Legend!$A$71&amp;", "&amp;Legend!$A$63&amp;", "&amp;Legend!$A$72</f>
        <v>Natural gas, Biogas, Manufactured gas</v>
      </c>
      <c r="D119" s="254" t="str">
        <f>Legend!$B$71&amp;", "&amp;Legend!$B$63&amp;", "&amp;Legend!$B$72</f>
        <v>RSDGAS, RSDBGS, RSDGAM</v>
      </c>
      <c r="E119" s="254" t="str">
        <f t="shared" si="31"/>
        <v>RSDGAS</v>
      </c>
      <c r="F119" s="254"/>
      <c r="G119" s="254"/>
      <c r="I119" s="211" t="str">
        <f t="shared" si="28"/>
        <v>R-CK_GAS00</v>
      </c>
      <c r="J119" s="211" t="str">
        <f t="shared" si="28"/>
        <v>RSD Cooking technology: Natural gas, Biogas, Manufactured gas - Existing</v>
      </c>
      <c r="K119" s="211"/>
      <c r="L119" s="211" t="s">
        <v>191</v>
      </c>
      <c r="M119" s="211" t="s">
        <v>174</v>
      </c>
      <c r="N119" s="211"/>
      <c r="O119" s="211">
        <f>SUMIFS('Key Inputs_BY Techs'!I:I,'Key Inputs_BY Techs'!$A:$A,'RSD_BY Techs'!$L119,'Key Inputs_BY Techs'!$C:$C,'RSD_BY Techs'!$B119)/8760</f>
        <v>8.3333333333333329E-2</v>
      </c>
      <c r="P119" s="211">
        <f>SUMIFS('Key Inputs_BY Techs'!J:J,'Key Inputs_BY Techs'!$A:$A,'RSD_BY Techs'!$L119,'Key Inputs_BY Techs'!$C:$C,'RSD_BY Techs'!$B119)/8760</f>
        <v>8.3333333333333329E-2</v>
      </c>
      <c r="Q119" s="211">
        <f>SUMIFS('Key Inputs_BY Techs'!K:K,'Key Inputs_BY Techs'!$A:$A,'RSD_BY Techs'!$L119,'Key Inputs_BY Techs'!$C:$C,'RSD_BY Techs'!$B119)/8760</f>
        <v>8.3333333333333329E-2</v>
      </c>
      <c r="R119" s="211">
        <f>SUMIFS('Key Inputs_BY Techs'!L:L,'Key Inputs_BY Techs'!$A:$A,'RSD_BY Techs'!$L119,'Key Inputs_BY Techs'!$C:$C,'RSD_BY Techs'!$B119)/8760</f>
        <v>8.3333333333333329E-2</v>
      </c>
      <c r="S119" s="211">
        <f>SUMIFS('Key Inputs_BY Techs'!M:M,'Key Inputs_BY Techs'!$A:$A,'RSD_BY Techs'!$L119,'Key Inputs_BY Techs'!$C:$C,'RSD_BY Techs'!$B119)/8760</f>
        <v>8.3333333333333329E-2</v>
      </c>
      <c r="T119" s="211">
        <f>SUMIFS('Key Inputs_BY Techs'!N:N,'Key Inputs_BY Techs'!$A:$A,'RSD_BY Techs'!$L119,'Key Inputs_BY Techs'!$C:$C,'RSD_BY Techs'!$B119)/8760</f>
        <v>8.3333333333333329E-2</v>
      </c>
      <c r="U119" s="211">
        <f>SUMIFS('Key Inputs_BY Techs'!O:O,'Key Inputs_BY Techs'!$A:$A,'RSD_BY Techs'!$L119,'Key Inputs_BY Techs'!$C:$C,'RSD_BY Techs'!$B119)/8760</f>
        <v>8.3333333333333329E-2</v>
      </c>
      <c r="V119" s="211">
        <f>SUMIFS('Key Inputs_BY Techs'!P:P,'Key Inputs_BY Techs'!$A:$A,'RSD_BY Techs'!$L119,'Key Inputs_BY Techs'!$C:$C,'RSD_BY Techs'!$B119)/8760</f>
        <v>8.3333333333333329E-2</v>
      </c>
      <c r="W119" s="211">
        <f>SUMIFS('Key Inputs_BY Techs'!Q:Q,'Key Inputs_BY Techs'!$A:$A,'RSD_BY Techs'!$L119,'Key Inputs_BY Techs'!$C:$C,'RSD_BY Techs'!$B119)/8760</f>
        <v>8.3333333333333329E-2</v>
      </c>
      <c r="X119" s="211">
        <f>SUMIFS('Key Inputs_BY Techs'!R:R,'Key Inputs_BY Techs'!$A:$A,'RSD_BY Techs'!$L119,'Key Inputs_BY Techs'!$C:$C,'RSD_BY Techs'!$B119)/8760</f>
        <v>8.3333333333333329E-2</v>
      </c>
      <c r="Y119" s="211">
        <f>SUMIFS('Key Inputs_BY Techs'!S:S,'Key Inputs_BY Techs'!$A:$A,'RSD_BY Techs'!$L119,'Key Inputs_BY Techs'!$C:$C,'RSD_BY Techs'!$B119)/8760</f>
        <v>8.3333333333333329E-2</v>
      </c>
      <c r="Z119" s="211">
        <f>SUMIFS('Key Inputs_BY Techs'!T:T,'Key Inputs_BY Techs'!$A:$A,'RSD_BY Techs'!$L119,'Key Inputs_BY Techs'!$C:$C,'RSD_BY Techs'!$B119)/8760</f>
        <v>8.3333333333333329E-2</v>
      </c>
      <c r="AA119" s="211">
        <f>SUMIFS('Key Inputs_BY Techs'!U:U,'Key Inputs_BY Techs'!$A:$A,'RSD_BY Techs'!$L119,'Key Inputs_BY Techs'!$C:$C,'RSD_BY Techs'!$B119)/8760</f>
        <v>8.3333333333333329E-2</v>
      </c>
      <c r="AB119" s="211">
        <f>SUMIFS('Key Inputs_BY Techs'!V:V,'Key Inputs_BY Techs'!$A:$A,'RSD_BY Techs'!$L119,'Key Inputs_BY Techs'!$C:$C,'RSD_BY Techs'!$B119)/8760</f>
        <v>8.3333333333333329E-2</v>
      </c>
      <c r="AC119" s="211">
        <f>SUMIFS('Key Inputs_BY Techs'!W:W,'Key Inputs_BY Techs'!$A:$A,'RSD_BY Techs'!$L119,'Key Inputs_BY Techs'!$C:$C,'RSD_BY Techs'!$B119)/8760</f>
        <v>8.3333333333333329E-2</v>
      </c>
      <c r="AD119" s="211">
        <f>SUMIFS('Key Inputs_BY Techs'!X:X,'Key Inputs_BY Techs'!$A:$A,'RSD_BY Techs'!$L119,'Key Inputs_BY Techs'!$C:$C,'RSD_BY Techs'!$B119)/8760</f>
        <v>8.3333333333333329E-2</v>
      </c>
      <c r="AE119" s="211">
        <f>SUMIFS('Key Inputs_BY Techs'!Y:Y,'Key Inputs_BY Techs'!$A:$A,'RSD_BY Techs'!$L119,'Key Inputs_BY Techs'!$C:$C,'RSD_BY Techs'!$B119)/8760</f>
        <v>8.3333333333333329E-2</v>
      </c>
      <c r="AF119" s="211">
        <f>SUMIFS('Key Inputs_BY Techs'!Z:Z,'Key Inputs_BY Techs'!$A:$A,'RSD_BY Techs'!$L119,'Key Inputs_BY Techs'!$C:$C,'RSD_BY Techs'!$B119)/8760</f>
        <v>8.3333333333333329E-2</v>
      </c>
      <c r="AG119" s="211">
        <f>SUMIFS('Key Inputs_BY Techs'!AA:AA,'Key Inputs_BY Techs'!$A:$A,'RSD_BY Techs'!$L119,'Key Inputs_BY Techs'!$C:$C,'RSD_BY Techs'!$B119)/8760</f>
        <v>8.3333333333333329E-2</v>
      </c>
      <c r="AH119" s="211">
        <f>SUMIFS('Key Inputs_BY Techs'!AB:AB,'Key Inputs_BY Techs'!$A:$A,'RSD_BY Techs'!$L119,'Key Inputs_BY Techs'!$C:$C,'RSD_BY Techs'!$B119)/8760</f>
        <v>8.3333333333333329E-2</v>
      </c>
      <c r="AI119" s="211">
        <f>SUMIFS('Key Inputs_BY Techs'!AC:AC,'Key Inputs_BY Techs'!$A:$A,'RSD_BY Techs'!$L119,'Key Inputs_BY Techs'!$C:$C,'RSD_BY Techs'!$B119)/8760</f>
        <v>8.3333333333333329E-2</v>
      </c>
      <c r="AJ119" s="211">
        <f>SUMIFS('Key Inputs_BY Techs'!AD:AD,'Key Inputs_BY Techs'!$A:$A,'RSD_BY Techs'!$L119,'Key Inputs_BY Techs'!$C:$C,'RSD_BY Techs'!$B119)/8760</f>
        <v>8.3333333333333329E-2</v>
      </c>
      <c r="AK119" s="211">
        <f>SUMIFS('Key Inputs_BY Techs'!AE:AE,'Key Inputs_BY Techs'!$A:$A,'RSD_BY Techs'!$L119,'Key Inputs_BY Techs'!$C:$C,'RSD_BY Techs'!$B119)/8760</f>
        <v>8.3333333333333329E-2</v>
      </c>
      <c r="AL119" s="211">
        <f>SUMIFS('Key Inputs_BY Techs'!AF:AF,'Key Inputs_BY Techs'!$A:$A,'RSD_BY Techs'!$L119,'Key Inputs_BY Techs'!$C:$C,'RSD_BY Techs'!$B119)/8760</f>
        <v>8.3333333333333329E-2</v>
      </c>
      <c r="AM119" s="211">
        <f>SUMIFS('Key Inputs_BY Techs'!AG:AG,'Key Inputs_BY Techs'!$A:$A,'RSD_BY Techs'!$L119,'Key Inputs_BY Techs'!$C:$C,'RSD_BY Techs'!$B119)/8760</f>
        <v>8.3333333333333329E-2</v>
      </c>
      <c r="AN119" s="211">
        <f>SUMIFS('Key Inputs_BY Techs'!AH:AH,'Key Inputs_BY Techs'!$A:$A,'RSD_BY Techs'!$L119,'Key Inputs_BY Techs'!$C:$C,'RSD_BY Techs'!$B119)/8760</f>
        <v>8.3333333333333329E-2</v>
      </c>
      <c r="AO119" s="211">
        <f>SUMIFS('Key Inputs_BY Techs'!AI:AI,'Key Inputs_BY Techs'!$A:$A,'RSD_BY Techs'!$L119,'Key Inputs_BY Techs'!$C:$C,'RSD_BY Techs'!$B119)/8760</f>
        <v>8.3333333333333329E-2</v>
      </c>
      <c r="AP119" s="211">
        <f>SUMIFS('Key Inputs_BY Techs'!AJ:AJ,'Key Inputs_BY Techs'!$A:$A,'RSD_BY Techs'!$L119,'Key Inputs_BY Techs'!$C:$C,'RSD_BY Techs'!$B119)/8760</f>
        <v>8.3333333333333329E-2</v>
      </c>
    </row>
    <row r="120" spans="1:42" x14ac:dyDescent="0.25">
      <c r="A120" s="254" t="s">
        <v>119</v>
      </c>
      <c r="B120" s="254" t="s">
        <v>118</v>
      </c>
      <c r="C120" s="254" t="str">
        <f>Legend!$A$70</f>
        <v>LPG</v>
      </c>
      <c r="D120" s="254" t="str">
        <f>Legend!$B$70</f>
        <v>RSDLPG</v>
      </c>
      <c r="E120" s="254" t="str">
        <f t="shared" si="31"/>
        <v>RSDLPG</v>
      </c>
      <c r="F120" s="254"/>
      <c r="G120" s="254"/>
      <c r="I120" s="211" t="str">
        <f t="shared" si="28"/>
        <v>R-CK_LPG00</v>
      </c>
      <c r="J120" s="211" t="str">
        <f t="shared" si="28"/>
        <v>RSD Cooking technology: LPG - Existing</v>
      </c>
      <c r="K120" s="211"/>
      <c r="L120" s="211" t="s">
        <v>191</v>
      </c>
      <c r="M120" s="211" t="s">
        <v>174</v>
      </c>
      <c r="N120" s="211"/>
      <c r="O120" s="211">
        <f>SUMIFS('Key Inputs_BY Techs'!I:I,'Key Inputs_BY Techs'!$A:$A,'RSD_BY Techs'!$L120,'Key Inputs_BY Techs'!$C:$C,'RSD_BY Techs'!$B120)/8760</f>
        <v>8.3333333333333329E-2</v>
      </c>
      <c r="P120" s="211">
        <f>SUMIFS('Key Inputs_BY Techs'!J:J,'Key Inputs_BY Techs'!$A:$A,'RSD_BY Techs'!$L120,'Key Inputs_BY Techs'!$C:$C,'RSD_BY Techs'!$B120)/8760</f>
        <v>8.3333333333333329E-2</v>
      </c>
      <c r="Q120" s="211">
        <f>SUMIFS('Key Inputs_BY Techs'!K:K,'Key Inputs_BY Techs'!$A:$A,'RSD_BY Techs'!$L120,'Key Inputs_BY Techs'!$C:$C,'RSD_BY Techs'!$B120)/8760</f>
        <v>8.3333333333333329E-2</v>
      </c>
      <c r="R120" s="211">
        <f>SUMIFS('Key Inputs_BY Techs'!L:L,'Key Inputs_BY Techs'!$A:$A,'RSD_BY Techs'!$L120,'Key Inputs_BY Techs'!$C:$C,'RSD_BY Techs'!$B120)/8760</f>
        <v>8.3333333333333329E-2</v>
      </c>
      <c r="S120" s="211">
        <f>SUMIFS('Key Inputs_BY Techs'!M:M,'Key Inputs_BY Techs'!$A:$A,'RSD_BY Techs'!$L120,'Key Inputs_BY Techs'!$C:$C,'RSD_BY Techs'!$B120)/8760</f>
        <v>8.3333333333333329E-2</v>
      </c>
      <c r="T120" s="211">
        <f>SUMIFS('Key Inputs_BY Techs'!N:N,'Key Inputs_BY Techs'!$A:$A,'RSD_BY Techs'!$L120,'Key Inputs_BY Techs'!$C:$C,'RSD_BY Techs'!$B120)/8760</f>
        <v>8.3333333333333329E-2</v>
      </c>
      <c r="U120" s="211">
        <f>SUMIFS('Key Inputs_BY Techs'!O:O,'Key Inputs_BY Techs'!$A:$A,'RSD_BY Techs'!$L120,'Key Inputs_BY Techs'!$C:$C,'RSD_BY Techs'!$B120)/8760</f>
        <v>8.3333333333333329E-2</v>
      </c>
      <c r="V120" s="211">
        <f>SUMIFS('Key Inputs_BY Techs'!P:P,'Key Inputs_BY Techs'!$A:$A,'RSD_BY Techs'!$L120,'Key Inputs_BY Techs'!$C:$C,'RSD_BY Techs'!$B120)/8760</f>
        <v>8.3333333333333329E-2</v>
      </c>
      <c r="W120" s="211">
        <f>SUMIFS('Key Inputs_BY Techs'!Q:Q,'Key Inputs_BY Techs'!$A:$A,'RSD_BY Techs'!$L120,'Key Inputs_BY Techs'!$C:$C,'RSD_BY Techs'!$B120)/8760</f>
        <v>8.3333333333333329E-2</v>
      </c>
      <c r="X120" s="211">
        <f>SUMIFS('Key Inputs_BY Techs'!R:R,'Key Inputs_BY Techs'!$A:$A,'RSD_BY Techs'!$L120,'Key Inputs_BY Techs'!$C:$C,'RSD_BY Techs'!$B120)/8760</f>
        <v>8.3333333333333329E-2</v>
      </c>
      <c r="Y120" s="211">
        <f>SUMIFS('Key Inputs_BY Techs'!S:S,'Key Inputs_BY Techs'!$A:$A,'RSD_BY Techs'!$L120,'Key Inputs_BY Techs'!$C:$C,'RSD_BY Techs'!$B120)/8760</f>
        <v>8.3333333333333329E-2</v>
      </c>
      <c r="Z120" s="211">
        <f>SUMIFS('Key Inputs_BY Techs'!T:T,'Key Inputs_BY Techs'!$A:$A,'RSD_BY Techs'!$L120,'Key Inputs_BY Techs'!$C:$C,'RSD_BY Techs'!$B120)/8760</f>
        <v>8.3333333333333329E-2</v>
      </c>
      <c r="AA120" s="211">
        <f>SUMIFS('Key Inputs_BY Techs'!U:U,'Key Inputs_BY Techs'!$A:$A,'RSD_BY Techs'!$L120,'Key Inputs_BY Techs'!$C:$C,'RSD_BY Techs'!$B120)/8760</f>
        <v>8.3333333333333329E-2</v>
      </c>
      <c r="AB120" s="211">
        <f>SUMIFS('Key Inputs_BY Techs'!V:V,'Key Inputs_BY Techs'!$A:$A,'RSD_BY Techs'!$L120,'Key Inputs_BY Techs'!$C:$C,'RSD_BY Techs'!$B120)/8760</f>
        <v>8.3333333333333329E-2</v>
      </c>
      <c r="AC120" s="211">
        <f>SUMIFS('Key Inputs_BY Techs'!W:W,'Key Inputs_BY Techs'!$A:$A,'RSD_BY Techs'!$L120,'Key Inputs_BY Techs'!$C:$C,'RSD_BY Techs'!$B120)/8760</f>
        <v>8.3333333333333329E-2</v>
      </c>
      <c r="AD120" s="211">
        <f>SUMIFS('Key Inputs_BY Techs'!X:X,'Key Inputs_BY Techs'!$A:$A,'RSD_BY Techs'!$L120,'Key Inputs_BY Techs'!$C:$C,'RSD_BY Techs'!$B120)/8760</f>
        <v>8.3333333333333329E-2</v>
      </c>
      <c r="AE120" s="211">
        <f>SUMIFS('Key Inputs_BY Techs'!Y:Y,'Key Inputs_BY Techs'!$A:$A,'RSD_BY Techs'!$L120,'Key Inputs_BY Techs'!$C:$C,'RSD_BY Techs'!$B120)/8760</f>
        <v>8.3333333333333329E-2</v>
      </c>
      <c r="AF120" s="211">
        <f>SUMIFS('Key Inputs_BY Techs'!Z:Z,'Key Inputs_BY Techs'!$A:$A,'RSD_BY Techs'!$L120,'Key Inputs_BY Techs'!$C:$C,'RSD_BY Techs'!$B120)/8760</f>
        <v>8.3333333333333329E-2</v>
      </c>
      <c r="AG120" s="211">
        <f>SUMIFS('Key Inputs_BY Techs'!AA:AA,'Key Inputs_BY Techs'!$A:$A,'RSD_BY Techs'!$L120,'Key Inputs_BY Techs'!$C:$C,'RSD_BY Techs'!$B120)/8760</f>
        <v>8.3333333333333329E-2</v>
      </c>
      <c r="AH120" s="211">
        <f>SUMIFS('Key Inputs_BY Techs'!AB:AB,'Key Inputs_BY Techs'!$A:$A,'RSD_BY Techs'!$L120,'Key Inputs_BY Techs'!$C:$C,'RSD_BY Techs'!$B120)/8760</f>
        <v>8.3333333333333329E-2</v>
      </c>
      <c r="AI120" s="211">
        <f>SUMIFS('Key Inputs_BY Techs'!AC:AC,'Key Inputs_BY Techs'!$A:$A,'RSD_BY Techs'!$L120,'Key Inputs_BY Techs'!$C:$C,'RSD_BY Techs'!$B120)/8760</f>
        <v>8.3333333333333329E-2</v>
      </c>
      <c r="AJ120" s="211">
        <f>SUMIFS('Key Inputs_BY Techs'!AD:AD,'Key Inputs_BY Techs'!$A:$A,'RSD_BY Techs'!$L120,'Key Inputs_BY Techs'!$C:$C,'RSD_BY Techs'!$B120)/8760</f>
        <v>8.3333333333333329E-2</v>
      </c>
      <c r="AK120" s="211">
        <f>SUMIFS('Key Inputs_BY Techs'!AE:AE,'Key Inputs_BY Techs'!$A:$A,'RSD_BY Techs'!$L120,'Key Inputs_BY Techs'!$C:$C,'RSD_BY Techs'!$B120)/8760</f>
        <v>8.3333333333333329E-2</v>
      </c>
      <c r="AL120" s="211">
        <f>SUMIFS('Key Inputs_BY Techs'!AF:AF,'Key Inputs_BY Techs'!$A:$A,'RSD_BY Techs'!$L120,'Key Inputs_BY Techs'!$C:$C,'RSD_BY Techs'!$B120)/8760</f>
        <v>8.3333333333333329E-2</v>
      </c>
      <c r="AM120" s="211">
        <f>SUMIFS('Key Inputs_BY Techs'!AG:AG,'Key Inputs_BY Techs'!$A:$A,'RSD_BY Techs'!$L120,'Key Inputs_BY Techs'!$C:$C,'RSD_BY Techs'!$B120)/8760</f>
        <v>8.3333333333333329E-2</v>
      </c>
      <c r="AN120" s="211">
        <f>SUMIFS('Key Inputs_BY Techs'!AH:AH,'Key Inputs_BY Techs'!$A:$A,'RSD_BY Techs'!$L120,'Key Inputs_BY Techs'!$C:$C,'RSD_BY Techs'!$B120)/8760</f>
        <v>8.3333333333333329E-2</v>
      </c>
      <c r="AO120" s="211">
        <f>SUMIFS('Key Inputs_BY Techs'!AI:AI,'Key Inputs_BY Techs'!$A:$A,'RSD_BY Techs'!$L120,'Key Inputs_BY Techs'!$C:$C,'RSD_BY Techs'!$B120)/8760</f>
        <v>8.3333333333333329E-2</v>
      </c>
      <c r="AP120" s="211">
        <f>SUMIFS('Key Inputs_BY Techs'!AJ:AJ,'Key Inputs_BY Techs'!$A:$A,'RSD_BY Techs'!$L120,'Key Inputs_BY Techs'!$C:$C,'RSD_BY Techs'!$B120)/8760</f>
        <v>8.3333333333333329E-2</v>
      </c>
    </row>
    <row r="121" spans="1:42" x14ac:dyDescent="0.25">
      <c r="A121" s="254" t="s">
        <v>119</v>
      </c>
      <c r="B121" s="254" t="s">
        <v>118</v>
      </c>
      <c r="C121" s="254" t="str">
        <f>Legend!$A$73&amp;", "&amp;Legend!$A$69</f>
        <v>Oil, Liquid biofuels</v>
      </c>
      <c r="D121" s="254" t="str">
        <f>Legend!$B$73&amp;", "&amp;Legend!$B$69</f>
        <v>RSDOIL, RSDBLQ</v>
      </c>
      <c r="E121" s="254" t="str">
        <f t="shared" si="31"/>
        <v>RSDOIL</v>
      </c>
      <c r="F121" s="254"/>
      <c r="G121" s="254"/>
      <c r="I121" s="211" t="str">
        <f t="shared" si="28"/>
        <v>R-CK_OIL00</v>
      </c>
      <c r="J121" s="211" t="str">
        <f t="shared" si="28"/>
        <v>RSD Cooking technology: Oil, Liquid biofuels - Existing</v>
      </c>
      <c r="K121" s="211"/>
      <c r="L121" s="211" t="s">
        <v>191</v>
      </c>
      <c r="M121" s="216" t="s">
        <v>174</v>
      </c>
      <c r="N121" s="216"/>
      <c r="O121" s="211">
        <f>SUMIFS('Key Inputs_BY Techs'!I:I,'Key Inputs_BY Techs'!$A:$A,'RSD_BY Techs'!$L121,'Key Inputs_BY Techs'!$C:$C,'RSD_BY Techs'!$B121)/8760</f>
        <v>8.3333333333333329E-2</v>
      </c>
      <c r="P121" s="211">
        <f>SUMIFS('Key Inputs_BY Techs'!J:J,'Key Inputs_BY Techs'!$A:$A,'RSD_BY Techs'!$L121,'Key Inputs_BY Techs'!$C:$C,'RSD_BY Techs'!$B121)/8760</f>
        <v>8.3333333333333329E-2</v>
      </c>
      <c r="Q121" s="211">
        <f>SUMIFS('Key Inputs_BY Techs'!K:K,'Key Inputs_BY Techs'!$A:$A,'RSD_BY Techs'!$L121,'Key Inputs_BY Techs'!$C:$C,'RSD_BY Techs'!$B121)/8760</f>
        <v>8.3333333333333329E-2</v>
      </c>
      <c r="R121" s="211">
        <f>SUMIFS('Key Inputs_BY Techs'!L:L,'Key Inputs_BY Techs'!$A:$A,'RSD_BY Techs'!$L121,'Key Inputs_BY Techs'!$C:$C,'RSD_BY Techs'!$B121)/8760</f>
        <v>8.3333333333333329E-2</v>
      </c>
      <c r="S121" s="211">
        <f>SUMIFS('Key Inputs_BY Techs'!M:M,'Key Inputs_BY Techs'!$A:$A,'RSD_BY Techs'!$L121,'Key Inputs_BY Techs'!$C:$C,'RSD_BY Techs'!$B121)/8760</f>
        <v>8.3333333333333329E-2</v>
      </c>
      <c r="T121" s="211">
        <f>SUMIFS('Key Inputs_BY Techs'!N:N,'Key Inputs_BY Techs'!$A:$A,'RSD_BY Techs'!$L121,'Key Inputs_BY Techs'!$C:$C,'RSD_BY Techs'!$B121)/8760</f>
        <v>8.3333333333333329E-2</v>
      </c>
      <c r="U121" s="211">
        <f>SUMIFS('Key Inputs_BY Techs'!O:O,'Key Inputs_BY Techs'!$A:$A,'RSD_BY Techs'!$L121,'Key Inputs_BY Techs'!$C:$C,'RSD_BY Techs'!$B121)/8760</f>
        <v>8.3333333333333329E-2</v>
      </c>
      <c r="V121" s="211">
        <f>SUMIFS('Key Inputs_BY Techs'!P:P,'Key Inputs_BY Techs'!$A:$A,'RSD_BY Techs'!$L121,'Key Inputs_BY Techs'!$C:$C,'RSD_BY Techs'!$B121)/8760</f>
        <v>8.3333333333333329E-2</v>
      </c>
      <c r="W121" s="211">
        <f>SUMIFS('Key Inputs_BY Techs'!Q:Q,'Key Inputs_BY Techs'!$A:$A,'RSD_BY Techs'!$L121,'Key Inputs_BY Techs'!$C:$C,'RSD_BY Techs'!$B121)/8760</f>
        <v>8.3333333333333329E-2</v>
      </c>
      <c r="X121" s="211">
        <f>SUMIFS('Key Inputs_BY Techs'!R:R,'Key Inputs_BY Techs'!$A:$A,'RSD_BY Techs'!$L121,'Key Inputs_BY Techs'!$C:$C,'RSD_BY Techs'!$B121)/8760</f>
        <v>8.3333333333333329E-2</v>
      </c>
      <c r="Y121" s="211">
        <f>SUMIFS('Key Inputs_BY Techs'!S:S,'Key Inputs_BY Techs'!$A:$A,'RSD_BY Techs'!$L121,'Key Inputs_BY Techs'!$C:$C,'RSD_BY Techs'!$B121)/8760</f>
        <v>8.3333333333333329E-2</v>
      </c>
      <c r="Z121" s="211">
        <f>SUMIFS('Key Inputs_BY Techs'!T:T,'Key Inputs_BY Techs'!$A:$A,'RSD_BY Techs'!$L121,'Key Inputs_BY Techs'!$C:$C,'RSD_BY Techs'!$B121)/8760</f>
        <v>8.3333333333333329E-2</v>
      </c>
      <c r="AA121" s="211">
        <f>SUMIFS('Key Inputs_BY Techs'!U:U,'Key Inputs_BY Techs'!$A:$A,'RSD_BY Techs'!$L121,'Key Inputs_BY Techs'!$C:$C,'RSD_BY Techs'!$B121)/8760</f>
        <v>8.3333333333333329E-2</v>
      </c>
      <c r="AB121" s="211">
        <f>SUMIFS('Key Inputs_BY Techs'!V:V,'Key Inputs_BY Techs'!$A:$A,'RSD_BY Techs'!$L121,'Key Inputs_BY Techs'!$C:$C,'RSD_BY Techs'!$B121)/8760</f>
        <v>8.3333333333333329E-2</v>
      </c>
      <c r="AC121" s="211">
        <f>SUMIFS('Key Inputs_BY Techs'!W:W,'Key Inputs_BY Techs'!$A:$A,'RSD_BY Techs'!$L121,'Key Inputs_BY Techs'!$C:$C,'RSD_BY Techs'!$B121)/8760</f>
        <v>8.3333333333333329E-2</v>
      </c>
      <c r="AD121" s="211">
        <f>SUMIFS('Key Inputs_BY Techs'!X:X,'Key Inputs_BY Techs'!$A:$A,'RSD_BY Techs'!$L121,'Key Inputs_BY Techs'!$C:$C,'RSD_BY Techs'!$B121)/8760</f>
        <v>8.3333333333333329E-2</v>
      </c>
      <c r="AE121" s="211">
        <f>SUMIFS('Key Inputs_BY Techs'!Y:Y,'Key Inputs_BY Techs'!$A:$A,'RSD_BY Techs'!$L121,'Key Inputs_BY Techs'!$C:$C,'RSD_BY Techs'!$B121)/8760</f>
        <v>8.3333333333333329E-2</v>
      </c>
      <c r="AF121" s="211">
        <f>SUMIFS('Key Inputs_BY Techs'!Z:Z,'Key Inputs_BY Techs'!$A:$A,'RSD_BY Techs'!$L121,'Key Inputs_BY Techs'!$C:$C,'RSD_BY Techs'!$B121)/8760</f>
        <v>8.3333333333333329E-2</v>
      </c>
      <c r="AG121" s="211">
        <f>SUMIFS('Key Inputs_BY Techs'!AA:AA,'Key Inputs_BY Techs'!$A:$A,'RSD_BY Techs'!$L121,'Key Inputs_BY Techs'!$C:$C,'RSD_BY Techs'!$B121)/8760</f>
        <v>8.3333333333333329E-2</v>
      </c>
      <c r="AH121" s="211">
        <f>SUMIFS('Key Inputs_BY Techs'!AB:AB,'Key Inputs_BY Techs'!$A:$A,'RSD_BY Techs'!$L121,'Key Inputs_BY Techs'!$C:$C,'RSD_BY Techs'!$B121)/8760</f>
        <v>8.3333333333333329E-2</v>
      </c>
      <c r="AI121" s="211">
        <f>SUMIFS('Key Inputs_BY Techs'!AC:AC,'Key Inputs_BY Techs'!$A:$A,'RSD_BY Techs'!$L121,'Key Inputs_BY Techs'!$C:$C,'RSD_BY Techs'!$B121)/8760</f>
        <v>8.3333333333333329E-2</v>
      </c>
      <c r="AJ121" s="211">
        <f>SUMIFS('Key Inputs_BY Techs'!AD:AD,'Key Inputs_BY Techs'!$A:$A,'RSD_BY Techs'!$L121,'Key Inputs_BY Techs'!$C:$C,'RSD_BY Techs'!$B121)/8760</f>
        <v>8.3333333333333329E-2</v>
      </c>
      <c r="AK121" s="211">
        <f>SUMIFS('Key Inputs_BY Techs'!AE:AE,'Key Inputs_BY Techs'!$A:$A,'RSD_BY Techs'!$L121,'Key Inputs_BY Techs'!$C:$C,'RSD_BY Techs'!$B121)/8760</f>
        <v>8.3333333333333329E-2</v>
      </c>
      <c r="AL121" s="211">
        <f>SUMIFS('Key Inputs_BY Techs'!AF:AF,'Key Inputs_BY Techs'!$A:$A,'RSD_BY Techs'!$L121,'Key Inputs_BY Techs'!$C:$C,'RSD_BY Techs'!$B121)/8760</f>
        <v>8.3333333333333329E-2</v>
      </c>
      <c r="AM121" s="211">
        <f>SUMIFS('Key Inputs_BY Techs'!AG:AG,'Key Inputs_BY Techs'!$A:$A,'RSD_BY Techs'!$L121,'Key Inputs_BY Techs'!$C:$C,'RSD_BY Techs'!$B121)/8760</f>
        <v>8.3333333333333329E-2</v>
      </c>
      <c r="AN121" s="211">
        <f>SUMIFS('Key Inputs_BY Techs'!AH:AH,'Key Inputs_BY Techs'!$A:$A,'RSD_BY Techs'!$L121,'Key Inputs_BY Techs'!$C:$C,'RSD_BY Techs'!$B121)/8760</f>
        <v>8.3333333333333329E-2</v>
      </c>
      <c r="AO121" s="211">
        <f>SUMIFS('Key Inputs_BY Techs'!AI:AI,'Key Inputs_BY Techs'!$A:$A,'RSD_BY Techs'!$L121,'Key Inputs_BY Techs'!$C:$C,'RSD_BY Techs'!$B121)/8760</f>
        <v>8.3333333333333329E-2</v>
      </c>
      <c r="AP121" s="211">
        <f>SUMIFS('Key Inputs_BY Techs'!AJ:AJ,'Key Inputs_BY Techs'!$A:$A,'RSD_BY Techs'!$L121,'Key Inputs_BY Techs'!$C:$C,'RSD_BY Techs'!$B121)/8760</f>
        <v>8.3333333333333329E-2</v>
      </c>
    </row>
    <row r="122" spans="1:42" x14ac:dyDescent="0.25">
      <c r="A122" s="281" t="s">
        <v>119</v>
      </c>
      <c r="B122" s="281" t="s">
        <v>118</v>
      </c>
      <c r="C122" s="281" t="str">
        <f>Legend!$A$74</f>
        <v>Solar</v>
      </c>
      <c r="D122" s="281" t="str">
        <f>Legend!$B$74</f>
        <v>RSDSOL</v>
      </c>
      <c r="E122" s="281" t="str">
        <f t="shared" si="31"/>
        <v>RSDSOL</v>
      </c>
      <c r="F122" s="254"/>
      <c r="G122" s="254"/>
      <c r="I122" s="215" t="str">
        <f t="shared" si="28"/>
        <v>R-CK_SOL00</v>
      </c>
      <c r="J122" s="215" t="str">
        <f t="shared" si="28"/>
        <v>RSD Cooking technology: Solar - Existing</v>
      </c>
      <c r="K122" s="215"/>
      <c r="L122" s="215" t="s">
        <v>191</v>
      </c>
      <c r="M122" s="215" t="s">
        <v>174</v>
      </c>
      <c r="N122" s="215"/>
      <c r="O122" s="215">
        <f>SUMIFS('Key Inputs_BY Techs'!I:I,'Key Inputs_BY Techs'!$A:$A,'RSD_BY Techs'!$L122,'Key Inputs_BY Techs'!$C:$C,'RSD_BY Techs'!$B122)/8760</f>
        <v>8.3333333333333329E-2</v>
      </c>
      <c r="P122" s="215">
        <f>SUMIFS('Key Inputs_BY Techs'!J:J,'Key Inputs_BY Techs'!$A:$A,'RSD_BY Techs'!$L122,'Key Inputs_BY Techs'!$C:$C,'RSD_BY Techs'!$B122)/8760</f>
        <v>8.3333333333333329E-2</v>
      </c>
      <c r="Q122" s="215">
        <f>SUMIFS('Key Inputs_BY Techs'!K:K,'Key Inputs_BY Techs'!$A:$A,'RSD_BY Techs'!$L122,'Key Inputs_BY Techs'!$C:$C,'RSD_BY Techs'!$B122)/8760</f>
        <v>8.3333333333333329E-2</v>
      </c>
      <c r="R122" s="215">
        <f>SUMIFS('Key Inputs_BY Techs'!L:L,'Key Inputs_BY Techs'!$A:$A,'RSD_BY Techs'!$L122,'Key Inputs_BY Techs'!$C:$C,'RSD_BY Techs'!$B122)/8760</f>
        <v>8.3333333333333329E-2</v>
      </c>
      <c r="S122" s="215">
        <f>SUMIFS('Key Inputs_BY Techs'!M:M,'Key Inputs_BY Techs'!$A:$A,'RSD_BY Techs'!$L122,'Key Inputs_BY Techs'!$C:$C,'RSD_BY Techs'!$B122)/8760</f>
        <v>8.3333333333333329E-2</v>
      </c>
      <c r="T122" s="215">
        <f>SUMIFS('Key Inputs_BY Techs'!N:N,'Key Inputs_BY Techs'!$A:$A,'RSD_BY Techs'!$L122,'Key Inputs_BY Techs'!$C:$C,'RSD_BY Techs'!$B122)/8760</f>
        <v>8.3333333333333329E-2</v>
      </c>
      <c r="U122" s="215">
        <f>SUMIFS('Key Inputs_BY Techs'!O:O,'Key Inputs_BY Techs'!$A:$A,'RSD_BY Techs'!$L122,'Key Inputs_BY Techs'!$C:$C,'RSD_BY Techs'!$B122)/8760</f>
        <v>8.3333333333333329E-2</v>
      </c>
      <c r="V122" s="215">
        <f>SUMIFS('Key Inputs_BY Techs'!P:P,'Key Inputs_BY Techs'!$A:$A,'RSD_BY Techs'!$L122,'Key Inputs_BY Techs'!$C:$C,'RSD_BY Techs'!$B122)/8760</f>
        <v>8.3333333333333329E-2</v>
      </c>
      <c r="W122" s="215">
        <f>SUMIFS('Key Inputs_BY Techs'!Q:Q,'Key Inputs_BY Techs'!$A:$A,'RSD_BY Techs'!$L122,'Key Inputs_BY Techs'!$C:$C,'RSD_BY Techs'!$B122)/8760</f>
        <v>8.3333333333333329E-2</v>
      </c>
      <c r="X122" s="215">
        <f>SUMIFS('Key Inputs_BY Techs'!R:R,'Key Inputs_BY Techs'!$A:$A,'RSD_BY Techs'!$L122,'Key Inputs_BY Techs'!$C:$C,'RSD_BY Techs'!$B122)/8760</f>
        <v>8.3333333333333329E-2</v>
      </c>
      <c r="Y122" s="215">
        <f>SUMIFS('Key Inputs_BY Techs'!S:S,'Key Inputs_BY Techs'!$A:$A,'RSD_BY Techs'!$L122,'Key Inputs_BY Techs'!$C:$C,'RSD_BY Techs'!$B122)/8760</f>
        <v>8.3333333333333329E-2</v>
      </c>
      <c r="Z122" s="215">
        <f>SUMIFS('Key Inputs_BY Techs'!T:T,'Key Inputs_BY Techs'!$A:$A,'RSD_BY Techs'!$L122,'Key Inputs_BY Techs'!$C:$C,'RSD_BY Techs'!$B122)/8760</f>
        <v>8.3333333333333329E-2</v>
      </c>
      <c r="AA122" s="215">
        <f>SUMIFS('Key Inputs_BY Techs'!U:U,'Key Inputs_BY Techs'!$A:$A,'RSD_BY Techs'!$L122,'Key Inputs_BY Techs'!$C:$C,'RSD_BY Techs'!$B122)/8760</f>
        <v>8.3333333333333329E-2</v>
      </c>
      <c r="AB122" s="215">
        <f>SUMIFS('Key Inputs_BY Techs'!V:V,'Key Inputs_BY Techs'!$A:$A,'RSD_BY Techs'!$L122,'Key Inputs_BY Techs'!$C:$C,'RSD_BY Techs'!$B122)/8760</f>
        <v>8.3333333333333329E-2</v>
      </c>
      <c r="AC122" s="215">
        <f>SUMIFS('Key Inputs_BY Techs'!W:W,'Key Inputs_BY Techs'!$A:$A,'RSD_BY Techs'!$L122,'Key Inputs_BY Techs'!$C:$C,'RSD_BY Techs'!$B122)/8760</f>
        <v>8.3333333333333329E-2</v>
      </c>
      <c r="AD122" s="215">
        <f>SUMIFS('Key Inputs_BY Techs'!X:X,'Key Inputs_BY Techs'!$A:$A,'RSD_BY Techs'!$L122,'Key Inputs_BY Techs'!$C:$C,'RSD_BY Techs'!$B122)/8760</f>
        <v>8.3333333333333329E-2</v>
      </c>
      <c r="AE122" s="215">
        <f>SUMIFS('Key Inputs_BY Techs'!Y:Y,'Key Inputs_BY Techs'!$A:$A,'RSD_BY Techs'!$L122,'Key Inputs_BY Techs'!$C:$C,'RSD_BY Techs'!$B122)/8760</f>
        <v>8.3333333333333329E-2</v>
      </c>
      <c r="AF122" s="215">
        <f>SUMIFS('Key Inputs_BY Techs'!Z:Z,'Key Inputs_BY Techs'!$A:$A,'RSD_BY Techs'!$L122,'Key Inputs_BY Techs'!$C:$C,'RSD_BY Techs'!$B122)/8760</f>
        <v>8.3333333333333329E-2</v>
      </c>
      <c r="AG122" s="215">
        <f>SUMIFS('Key Inputs_BY Techs'!AA:AA,'Key Inputs_BY Techs'!$A:$A,'RSD_BY Techs'!$L122,'Key Inputs_BY Techs'!$C:$C,'RSD_BY Techs'!$B122)/8760</f>
        <v>8.3333333333333329E-2</v>
      </c>
      <c r="AH122" s="215">
        <f>SUMIFS('Key Inputs_BY Techs'!AB:AB,'Key Inputs_BY Techs'!$A:$A,'RSD_BY Techs'!$L122,'Key Inputs_BY Techs'!$C:$C,'RSD_BY Techs'!$B122)/8760</f>
        <v>8.3333333333333329E-2</v>
      </c>
      <c r="AI122" s="215">
        <f>SUMIFS('Key Inputs_BY Techs'!AC:AC,'Key Inputs_BY Techs'!$A:$A,'RSD_BY Techs'!$L122,'Key Inputs_BY Techs'!$C:$C,'RSD_BY Techs'!$B122)/8760</f>
        <v>8.3333333333333329E-2</v>
      </c>
      <c r="AJ122" s="215">
        <f>SUMIFS('Key Inputs_BY Techs'!AD:AD,'Key Inputs_BY Techs'!$A:$A,'RSD_BY Techs'!$L122,'Key Inputs_BY Techs'!$C:$C,'RSD_BY Techs'!$B122)/8760</f>
        <v>8.3333333333333329E-2</v>
      </c>
      <c r="AK122" s="215">
        <f>SUMIFS('Key Inputs_BY Techs'!AE:AE,'Key Inputs_BY Techs'!$A:$A,'RSD_BY Techs'!$L122,'Key Inputs_BY Techs'!$C:$C,'RSD_BY Techs'!$B122)/8760</f>
        <v>8.3333333333333329E-2</v>
      </c>
      <c r="AL122" s="215">
        <f>SUMIFS('Key Inputs_BY Techs'!AF:AF,'Key Inputs_BY Techs'!$A:$A,'RSD_BY Techs'!$L122,'Key Inputs_BY Techs'!$C:$C,'RSD_BY Techs'!$B122)/8760</f>
        <v>8.3333333333333329E-2</v>
      </c>
      <c r="AM122" s="215">
        <f>SUMIFS('Key Inputs_BY Techs'!AG:AG,'Key Inputs_BY Techs'!$A:$A,'RSD_BY Techs'!$L122,'Key Inputs_BY Techs'!$C:$C,'RSD_BY Techs'!$B122)/8760</f>
        <v>8.3333333333333329E-2</v>
      </c>
      <c r="AN122" s="215">
        <f>SUMIFS('Key Inputs_BY Techs'!AH:AH,'Key Inputs_BY Techs'!$A:$A,'RSD_BY Techs'!$L122,'Key Inputs_BY Techs'!$C:$C,'RSD_BY Techs'!$B122)/8760</f>
        <v>8.3333333333333329E-2</v>
      </c>
      <c r="AO122" s="215">
        <f>SUMIFS('Key Inputs_BY Techs'!AI:AI,'Key Inputs_BY Techs'!$A:$A,'RSD_BY Techs'!$L122,'Key Inputs_BY Techs'!$C:$C,'RSD_BY Techs'!$B122)/8760</f>
        <v>8.3333333333333329E-2</v>
      </c>
      <c r="AP122" s="215">
        <f>SUMIFS('Key Inputs_BY Techs'!AJ:AJ,'Key Inputs_BY Techs'!$A:$A,'RSD_BY Techs'!$L122,'Key Inputs_BY Techs'!$C:$C,'RSD_BY Techs'!$B122)/8760</f>
        <v>8.3333333333333329E-2</v>
      </c>
    </row>
    <row r="123" spans="1:42" x14ac:dyDescent="0.25">
      <c r="A123" s="282" t="s">
        <v>94</v>
      </c>
      <c r="B123" s="282" t="s">
        <v>125</v>
      </c>
      <c r="C123" s="283" t="str">
        <f>Legend!A$66</f>
        <v>Electricity</v>
      </c>
      <c r="D123" s="283" t="str">
        <f>Legend!B$66</f>
        <v>RSDELC</v>
      </c>
      <c r="E123" s="283" t="str">
        <f>LEFT(D123,6)</f>
        <v>RSDELC</v>
      </c>
      <c r="F123" s="254"/>
      <c r="G123" s="254"/>
      <c r="I123" s="86" t="str">
        <f t="shared" ref="I123:J125" si="32">I37</f>
        <v>R-LIG_ELC00</v>
      </c>
      <c r="J123" s="86" t="str">
        <f t="shared" si="32"/>
        <v>RSD Lighting technology: Electricity - Existing</v>
      </c>
      <c r="K123" s="86"/>
      <c r="L123" s="86" t="s">
        <v>191</v>
      </c>
      <c r="M123" s="86" t="s">
        <v>174</v>
      </c>
      <c r="N123" s="215"/>
      <c r="O123" s="215">
        <f>SUMIFS('Key Inputs_BY Techs'!I:I,'Key Inputs_BY Techs'!$A:$A,'RSD_BY Techs'!$L123,'Key Inputs_BY Techs'!$C:$C,'RSD_BY Techs'!$B123)</f>
        <v>1</v>
      </c>
      <c r="P123" s="215">
        <f>SUMIFS('Key Inputs_BY Techs'!J:J,'Key Inputs_BY Techs'!$A:$A,'RSD_BY Techs'!$L123,'Key Inputs_BY Techs'!$C:$C,'RSD_BY Techs'!$B123)</f>
        <v>1</v>
      </c>
      <c r="Q123" s="215">
        <f>SUMIFS('Key Inputs_BY Techs'!K:K,'Key Inputs_BY Techs'!$A:$A,'RSD_BY Techs'!$L123,'Key Inputs_BY Techs'!$C:$C,'RSD_BY Techs'!$B123)</f>
        <v>1</v>
      </c>
      <c r="R123" s="215">
        <f>SUMIFS('Key Inputs_BY Techs'!L:L,'Key Inputs_BY Techs'!$A:$A,'RSD_BY Techs'!$L123,'Key Inputs_BY Techs'!$C:$C,'RSD_BY Techs'!$B123)</f>
        <v>1</v>
      </c>
      <c r="S123" s="215">
        <f>SUMIFS('Key Inputs_BY Techs'!M:M,'Key Inputs_BY Techs'!$A:$A,'RSD_BY Techs'!$L123,'Key Inputs_BY Techs'!$C:$C,'RSD_BY Techs'!$B123)</f>
        <v>1</v>
      </c>
      <c r="T123" s="215">
        <f>SUMIFS('Key Inputs_BY Techs'!N:N,'Key Inputs_BY Techs'!$A:$A,'RSD_BY Techs'!$L123,'Key Inputs_BY Techs'!$C:$C,'RSD_BY Techs'!$B123)</f>
        <v>1</v>
      </c>
      <c r="U123" s="215">
        <f>SUMIFS('Key Inputs_BY Techs'!O:O,'Key Inputs_BY Techs'!$A:$A,'RSD_BY Techs'!$L123,'Key Inputs_BY Techs'!$C:$C,'RSD_BY Techs'!$B123)</f>
        <v>1</v>
      </c>
      <c r="V123" s="215">
        <f>SUMIFS('Key Inputs_BY Techs'!P:P,'Key Inputs_BY Techs'!$A:$A,'RSD_BY Techs'!$L123,'Key Inputs_BY Techs'!$C:$C,'RSD_BY Techs'!$B123)</f>
        <v>1</v>
      </c>
      <c r="W123" s="215">
        <f>SUMIFS('Key Inputs_BY Techs'!Q:Q,'Key Inputs_BY Techs'!$A:$A,'RSD_BY Techs'!$L123,'Key Inputs_BY Techs'!$C:$C,'RSD_BY Techs'!$B123)</f>
        <v>1</v>
      </c>
      <c r="X123" s="215">
        <f>SUMIFS('Key Inputs_BY Techs'!R:R,'Key Inputs_BY Techs'!$A:$A,'RSD_BY Techs'!$L123,'Key Inputs_BY Techs'!$C:$C,'RSD_BY Techs'!$B123)</f>
        <v>1</v>
      </c>
      <c r="Y123" s="215">
        <f>SUMIFS('Key Inputs_BY Techs'!S:S,'Key Inputs_BY Techs'!$A:$A,'RSD_BY Techs'!$L123,'Key Inputs_BY Techs'!$C:$C,'RSD_BY Techs'!$B123)</f>
        <v>1</v>
      </c>
      <c r="Z123" s="215">
        <f>SUMIFS('Key Inputs_BY Techs'!T:T,'Key Inputs_BY Techs'!$A:$A,'RSD_BY Techs'!$L123,'Key Inputs_BY Techs'!$C:$C,'RSD_BY Techs'!$B123)</f>
        <v>1</v>
      </c>
      <c r="AA123" s="215">
        <f>SUMIFS('Key Inputs_BY Techs'!U:U,'Key Inputs_BY Techs'!$A:$A,'RSD_BY Techs'!$L123,'Key Inputs_BY Techs'!$C:$C,'RSD_BY Techs'!$B123)</f>
        <v>1</v>
      </c>
      <c r="AB123" s="215">
        <f>SUMIFS('Key Inputs_BY Techs'!V:V,'Key Inputs_BY Techs'!$A:$A,'RSD_BY Techs'!$L123,'Key Inputs_BY Techs'!$C:$C,'RSD_BY Techs'!$B123)</f>
        <v>1</v>
      </c>
      <c r="AC123" s="215">
        <f>SUMIFS('Key Inputs_BY Techs'!W:W,'Key Inputs_BY Techs'!$A:$A,'RSD_BY Techs'!$L123,'Key Inputs_BY Techs'!$C:$C,'RSD_BY Techs'!$B123)</f>
        <v>1</v>
      </c>
      <c r="AD123" s="215">
        <f>SUMIFS('Key Inputs_BY Techs'!X:X,'Key Inputs_BY Techs'!$A:$A,'RSD_BY Techs'!$L123,'Key Inputs_BY Techs'!$C:$C,'RSD_BY Techs'!$B123)</f>
        <v>1</v>
      </c>
      <c r="AE123" s="215">
        <f>SUMIFS('Key Inputs_BY Techs'!Y:Y,'Key Inputs_BY Techs'!$A:$A,'RSD_BY Techs'!$L123,'Key Inputs_BY Techs'!$C:$C,'RSD_BY Techs'!$B123)</f>
        <v>1</v>
      </c>
      <c r="AF123" s="215">
        <f>SUMIFS('Key Inputs_BY Techs'!Z:Z,'Key Inputs_BY Techs'!$A:$A,'RSD_BY Techs'!$L123,'Key Inputs_BY Techs'!$C:$C,'RSD_BY Techs'!$B123)</f>
        <v>1</v>
      </c>
      <c r="AG123" s="215">
        <f>SUMIFS('Key Inputs_BY Techs'!AA:AA,'Key Inputs_BY Techs'!$A:$A,'RSD_BY Techs'!$L123,'Key Inputs_BY Techs'!$C:$C,'RSD_BY Techs'!$B123)</f>
        <v>1</v>
      </c>
      <c r="AH123" s="215">
        <f>SUMIFS('Key Inputs_BY Techs'!AB:AB,'Key Inputs_BY Techs'!$A:$A,'RSD_BY Techs'!$L123,'Key Inputs_BY Techs'!$C:$C,'RSD_BY Techs'!$B123)</f>
        <v>1</v>
      </c>
      <c r="AI123" s="215">
        <f>SUMIFS('Key Inputs_BY Techs'!AC:AC,'Key Inputs_BY Techs'!$A:$A,'RSD_BY Techs'!$L123,'Key Inputs_BY Techs'!$C:$C,'RSD_BY Techs'!$B123)</f>
        <v>1</v>
      </c>
      <c r="AJ123" s="215">
        <f>SUMIFS('Key Inputs_BY Techs'!AD:AD,'Key Inputs_BY Techs'!$A:$A,'RSD_BY Techs'!$L123,'Key Inputs_BY Techs'!$C:$C,'RSD_BY Techs'!$B123)</f>
        <v>1</v>
      </c>
      <c r="AK123" s="215">
        <f>SUMIFS('Key Inputs_BY Techs'!AE:AE,'Key Inputs_BY Techs'!$A:$A,'RSD_BY Techs'!$L123,'Key Inputs_BY Techs'!$C:$C,'RSD_BY Techs'!$B123)</f>
        <v>1</v>
      </c>
      <c r="AL123" s="215">
        <f>SUMIFS('Key Inputs_BY Techs'!AF:AF,'Key Inputs_BY Techs'!$A:$A,'RSD_BY Techs'!$L123,'Key Inputs_BY Techs'!$C:$C,'RSD_BY Techs'!$B123)</f>
        <v>1</v>
      </c>
      <c r="AM123" s="215">
        <f>SUMIFS('Key Inputs_BY Techs'!AG:AG,'Key Inputs_BY Techs'!$A:$A,'RSD_BY Techs'!$L123,'Key Inputs_BY Techs'!$C:$C,'RSD_BY Techs'!$B123)</f>
        <v>1</v>
      </c>
      <c r="AN123" s="215">
        <f>SUMIFS('Key Inputs_BY Techs'!AH:AH,'Key Inputs_BY Techs'!$A:$A,'RSD_BY Techs'!$L123,'Key Inputs_BY Techs'!$C:$C,'RSD_BY Techs'!$B123)</f>
        <v>1</v>
      </c>
      <c r="AO123" s="215">
        <f>SUMIFS('Key Inputs_BY Techs'!AI:AI,'Key Inputs_BY Techs'!$A:$A,'RSD_BY Techs'!$L123,'Key Inputs_BY Techs'!$C:$C,'RSD_BY Techs'!$B123)</f>
        <v>1</v>
      </c>
      <c r="AP123" s="215">
        <f>SUMIFS('Key Inputs_BY Techs'!AJ:AJ,'Key Inputs_BY Techs'!$A:$A,'RSD_BY Techs'!$L123,'Key Inputs_BY Techs'!$C:$C,'RSD_BY Techs'!$B123)</f>
        <v>1</v>
      </c>
    </row>
    <row r="124" spans="1:42" x14ac:dyDescent="0.25">
      <c r="A124" s="283" t="s">
        <v>148</v>
      </c>
      <c r="B124" s="283" t="s">
        <v>173</v>
      </c>
      <c r="C124" s="283" t="str">
        <f>Legend!A$66</f>
        <v>Electricity</v>
      </c>
      <c r="D124" s="283" t="str">
        <f>Legend!B$66</f>
        <v>RSDELC</v>
      </c>
      <c r="E124" s="283" t="str">
        <f>LEFT(D124,6)</f>
        <v>RSDELC</v>
      </c>
      <c r="F124" s="284"/>
      <c r="G124" s="284"/>
      <c r="I124" s="86" t="str">
        <f t="shared" si="32"/>
        <v>R-EAP_ELC00</v>
      </c>
      <c r="J124" s="86" t="str">
        <f t="shared" si="32"/>
        <v>RSD Electric Appliances technology: Electricity - Existing</v>
      </c>
      <c r="K124" s="86"/>
      <c r="L124" s="86" t="s">
        <v>191</v>
      </c>
      <c r="M124" s="86" t="s">
        <v>174</v>
      </c>
      <c r="N124" s="86"/>
      <c r="O124" s="215">
        <f>SUMIFS('Key Inputs_BY Techs'!I:I,'Key Inputs_BY Techs'!$A:$A,'RSD_BY Techs'!$L124,'Key Inputs_BY Techs'!$C:$C,'RSD_BY Techs'!$B124)/8760</f>
        <v>0.5</v>
      </c>
      <c r="P124" s="215">
        <f>SUMIFS('Key Inputs_BY Techs'!J:J,'Key Inputs_BY Techs'!$A:$A,'RSD_BY Techs'!$L124,'Key Inputs_BY Techs'!$C:$C,'RSD_BY Techs'!$B124)/8760</f>
        <v>0.5</v>
      </c>
      <c r="Q124" s="215">
        <f>SUMIFS('Key Inputs_BY Techs'!K:K,'Key Inputs_BY Techs'!$A:$A,'RSD_BY Techs'!$L124,'Key Inputs_BY Techs'!$C:$C,'RSD_BY Techs'!$B124)/8760</f>
        <v>0.5</v>
      </c>
      <c r="R124" s="215">
        <f>SUMIFS('Key Inputs_BY Techs'!L:L,'Key Inputs_BY Techs'!$A:$A,'RSD_BY Techs'!$L124,'Key Inputs_BY Techs'!$C:$C,'RSD_BY Techs'!$B124)/8760</f>
        <v>0.5</v>
      </c>
      <c r="S124" s="215">
        <f>SUMIFS('Key Inputs_BY Techs'!M:M,'Key Inputs_BY Techs'!$A:$A,'RSD_BY Techs'!$L124,'Key Inputs_BY Techs'!$C:$C,'RSD_BY Techs'!$B124)/8760</f>
        <v>0.5</v>
      </c>
      <c r="T124" s="215">
        <f>SUMIFS('Key Inputs_BY Techs'!N:N,'Key Inputs_BY Techs'!$A:$A,'RSD_BY Techs'!$L124,'Key Inputs_BY Techs'!$C:$C,'RSD_BY Techs'!$B124)/8760</f>
        <v>0.5</v>
      </c>
      <c r="U124" s="215">
        <f>SUMIFS('Key Inputs_BY Techs'!O:O,'Key Inputs_BY Techs'!$A:$A,'RSD_BY Techs'!$L124,'Key Inputs_BY Techs'!$C:$C,'RSD_BY Techs'!$B124)/8760</f>
        <v>0.5</v>
      </c>
      <c r="V124" s="215">
        <f>SUMIFS('Key Inputs_BY Techs'!P:P,'Key Inputs_BY Techs'!$A:$A,'RSD_BY Techs'!$L124,'Key Inputs_BY Techs'!$C:$C,'RSD_BY Techs'!$B124)/8760</f>
        <v>0.5</v>
      </c>
      <c r="W124" s="215">
        <f>SUMIFS('Key Inputs_BY Techs'!Q:Q,'Key Inputs_BY Techs'!$A:$A,'RSD_BY Techs'!$L124,'Key Inputs_BY Techs'!$C:$C,'RSD_BY Techs'!$B124)/8760</f>
        <v>0.5</v>
      </c>
      <c r="X124" s="215">
        <f>SUMIFS('Key Inputs_BY Techs'!R:R,'Key Inputs_BY Techs'!$A:$A,'RSD_BY Techs'!$L124,'Key Inputs_BY Techs'!$C:$C,'RSD_BY Techs'!$B124)/8760</f>
        <v>0.5</v>
      </c>
      <c r="Y124" s="215">
        <f>SUMIFS('Key Inputs_BY Techs'!S:S,'Key Inputs_BY Techs'!$A:$A,'RSD_BY Techs'!$L124,'Key Inputs_BY Techs'!$C:$C,'RSD_BY Techs'!$B124)/8760</f>
        <v>0.5</v>
      </c>
      <c r="Z124" s="215">
        <f>SUMIFS('Key Inputs_BY Techs'!T:T,'Key Inputs_BY Techs'!$A:$A,'RSD_BY Techs'!$L124,'Key Inputs_BY Techs'!$C:$C,'RSD_BY Techs'!$B124)/8760</f>
        <v>0.5</v>
      </c>
      <c r="AA124" s="215">
        <f>SUMIFS('Key Inputs_BY Techs'!U:U,'Key Inputs_BY Techs'!$A:$A,'RSD_BY Techs'!$L124,'Key Inputs_BY Techs'!$C:$C,'RSD_BY Techs'!$B124)/8760</f>
        <v>0.5</v>
      </c>
      <c r="AB124" s="215">
        <f>SUMIFS('Key Inputs_BY Techs'!V:V,'Key Inputs_BY Techs'!$A:$A,'RSD_BY Techs'!$L124,'Key Inputs_BY Techs'!$C:$C,'RSD_BY Techs'!$B124)/8760</f>
        <v>0.5</v>
      </c>
      <c r="AC124" s="215">
        <f>SUMIFS('Key Inputs_BY Techs'!W:W,'Key Inputs_BY Techs'!$A:$A,'RSD_BY Techs'!$L124,'Key Inputs_BY Techs'!$C:$C,'RSD_BY Techs'!$B124)/8760</f>
        <v>0.5</v>
      </c>
      <c r="AD124" s="215">
        <f>SUMIFS('Key Inputs_BY Techs'!X:X,'Key Inputs_BY Techs'!$A:$A,'RSD_BY Techs'!$L124,'Key Inputs_BY Techs'!$C:$C,'RSD_BY Techs'!$B124)/8760</f>
        <v>0.5</v>
      </c>
      <c r="AE124" s="215">
        <f>SUMIFS('Key Inputs_BY Techs'!Y:Y,'Key Inputs_BY Techs'!$A:$A,'RSD_BY Techs'!$L124,'Key Inputs_BY Techs'!$C:$C,'RSD_BY Techs'!$B124)/8760</f>
        <v>0.5</v>
      </c>
      <c r="AF124" s="215">
        <f>SUMIFS('Key Inputs_BY Techs'!Z:Z,'Key Inputs_BY Techs'!$A:$A,'RSD_BY Techs'!$L124,'Key Inputs_BY Techs'!$C:$C,'RSD_BY Techs'!$B124)/8760</f>
        <v>0.5</v>
      </c>
      <c r="AG124" s="215">
        <f>SUMIFS('Key Inputs_BY Techs'!AA:AA,'Key Inputs_BY Techs'!$A:$A,'RSD_BY Techs'!$L124,'Key Inputs_BY Techs'!$C:$C,'RSD_BY Techs'!$B124)/8760</f>
        <v>0.5</v>
      </c>
      <c r="AH124" s="215">
        <f>SUMIFS('Key Inputs_BY Techs'!AB:AB,'Key Inputs_BY Techs'!$A:$A,'RSD_BY Techs'!$L124,'Key Inputs_BY Techs'!$C:$C,'RSD_BY Techs'!$B124)/8760</f>
        <v>0.5</v>
      </c>
      <c r="AI124" s="215">
        <f>SUMIFS('Key Inputs_BY Techs'!AC:AC,'Key Inputs_BY Techs'!$A:$A,'RSD_BY Techs'!$L124,'Key Inputs_BY Techs'!$C:$C,'RSD_BY Techs'!$B124)/8760</f>
        <v>0.5</v>
      </c>
      <c r="AJ124" s="215">
        <f>SUMIFS('Key Inputs_BY Techs'!AD:AD,'Key Inputs_BY Techs'!$A:$A,'RSD_BY Techs'!$L124,'Key Inputs_BY Techs'!$C:$C,'RSD_BY Techs'!$B124)/8760</f>
        <v>0.5</v>
      </c>
      <c r="AK124" s="215">
        <f>SUMIFS('Key Inputs_BY Techs'!AE:AE,'Key Inputs_BY Techs'!$A:$A,'RSD_BY Techs'!$L124,'Key Inputs_BY Techs'!$C:$C,'RSD_BY Techs'!$B124)/8760</f>
        <v>0.5</v>
      </c>
      <c r="AL124" s="215">
        <f>SUMIFS('Key Inputs_BY Techs'!AF:AF,'Key Inputs_BY Techs'!$A:$A,'RSD_BY Techs'!$L124,'Key Inputs_BY Techs'!$C:$C,'RSD_BY Techs'!$B124)/8760</f>
        <v>0.5</v>
      </c>
      <c r="AM124" s="215">
        <f>SUMIFS('Key Inputs_BY Techs'!AG:AG,'Key Inputs_BY Techs'!$A:$A,'RSD_BY Techs'!$L124,'Key Inputs_BY Techs'!$C:$C,'RSD_BY Techs'!$B124)/8760</f>
        <v>0.5</v>
      </c>
      <c r="AN124" s="215">
        <f>SUMIFS('Key Inputs_BY Techs'!AH:AH,'Key Inputs_BY Techs'!$A:$A,'RSD_BY Techs'!$L124,'Key Inputs_BY Techs'!$C:$C,'RSD_BY Techs'!$B124)/8760</f>
        <v>0.5</v>
      </c>
      <c r="AO124" s="215">
        <f>SUMIFS('Key Inputs_BY Techs'!AI:AI,'Key Inputs_BY Techs'!$A:$A,'RSD_BY Techs'!$L124,'Key Inputs_BY Techs'!$C:$C,'RSD_BY Techs'!$B124)/8760</f>
        <v>0.5</v>
      </c>
      <c r="AP124" s="215">
        <f>SUMIFS('Key Inputs_BY Techs'!AJ:AJ,'Key Inputs_BY Techs'!$A:$A,'RSD_BY Techs'!$L124,'Key Inputs_BY Techs'!$C:$C,'RSD_BY Techs'!$B124)/8760</f>
        <v>0.5</v>
      </c>
    </row>
    <row r="125" spans="1:42" x14ac:dyDescent="0.25">
      <c r="A125" s="282" t="s">
        <v>169</v>
      </c>
      <c r="B125" s="282" t="s">
        <v>120</v>
      </c>
      <c r="C125" s="282"/>
      <c r="D125" s="282"/>
      <c r="E125" s="282" t="str">
        <f t="shared" ref="E125" si="33">LEFT(D125,6)</f>
        <v/>
      </c>
      <c r="F125" s="254"/>
      <c r="G125" s="254"/>
      <c r="I125" s="86" t="str">
        <f t="shared" si="32"/>
        <v>R-OTH_00</v>
      </c>
      <c r="J125" s="86" t="str">
        <f t="shared" si="32"/>
        <v>RSD Other uses - Existing</v>
      </c>
      <c r="K125" s="86"/>
      <c r="L125" s="86" t="s">
        <v>191</v>
      </c>
      <c r="M125" s="86" t="s">
        <v>174</v>
      </c>
      <c r="N125" s="86"/>
      <c r="O125" s="215">
        <f>SUMIFS('Key Inputs_BY Techs'!I:I,'Key Inputs_BY Techs'!$A:$A,'RSD_BY Techs'!$L125,'Key Inputs_BY Techs'!$C:$C,'RSD_BY Techs'!$B125)/8760</f>
        <v>1</v>
      </c>
      <c r="P125" s="215">
        <f>SUMIFS('Key Inputs_BY Techs'!J:J,'Key Inputs_BY Techs'!$A:$A,'RSD_BY Techs'!$L125,'Key Inputs_BY Techs'!$C:$C,'RSD_BY Techs'!$B125)/8760</f>
        <v>1</v>
      </c>
      <c r="Q125" s="215">
        <f>SUMIFS('Key Inputs_BY Techs'!K:K,'Key Inputs_BY Techs'!$A:$A,'RSD_BY Techs'!$L125,'Key Inputs_BY Techs'!$C:$C,'RSD_BY Techs'!$B125)/8760</f>
        <v>1</v>
      </c>
      <c r="R125" s="215">
        <f>SUMIFS('Key Inputs_BY Techs'!L:L,'Key Inputs_BY Techs'!$A:$A,'RSD_BY Techs'!$L125,'Key Inputs_BY Techs'!$C:$C,'RSD_BY Techs'!$B125)/8760</f>
        <v>1</v>
      </c>
      <c r="S125" s="215">
        <f>SUMIFS('Key Inputs_BY Techs'!M:M,'Key Inputs_BY Techs'!$A:$A,'RSD_BY Techs'!$L125,'Key Inputs_BY Techs'!$C:$C,'RSD_BY Techs'!$B125)/8760</f>
        <v>1</v>
      </c>
      <c r="T125" s="215">
        <f>SUMIFS('Key Inputs_BY Techs'!N:N,'Key Inputs_BY Techs'!$A:$A,'RSD_BY Techs'!$L125,'Key Inputs_BY Techs'!$C:$C,'RSD_BY Techs'!$B125)/8760</f>
        <v>1</v>
      </c>
      <c r="U125" s="215">
        <f>SUMIFS('Key Inputs_BY Techs'!O:O,'Key Inputs_BY Techs'!$A:$A,'RSD_BY Techs'!$L125,'Key Inputs_BY Techs'!$C:$C,'RSD_BY Techs'!$B125)/8760</f>
        <v>1</v>
      </c>
      <c r="V125" s="215">
        <f>SUMIFS('Key Inputs_BY Techs'!P:P,'Key Inputs_BY Techs'!$A:$A,'RSD_BY Techs'!$L125,'Key Inputs_BY Techs'!$C:$C,'RSD_BY Techs'!$B125)/8760</f>
        <v>1</v>
      </c>
      <c r="W125" s="215">
        <f>SUMIFS('Key Inputs_BY Techs'!Q:Q,'Key Inputs_BY Techs'!$A:$A,'RSD_BY Techs'!$L125,'Key Inputs_BY Techs'!$C:$C,'RSD_BY Techs'!$B125)/8760</f>
        <v>1</v>
      </c>
      <c r="X125" s="215">
        <f>SUMIFS('Key Inputs_BY Techs'!R:R,'Key Inputs_BY Techs'!$A:$A,'RSD_BY Techs'!$L125,'Key Inputs_BY Techs'!$C:$C,'RSD_BY Techs'!$B125)/8760</f>
        <v>1</v>
      </c>
      <c r="Y125" s="215">
        <f>SUMIFS('Key Inputs_BY Techs'!S:S,'Key Inputs_BY Techs'!$A:$A,'RSD_BY Techs'!$L125,'Key Inputs_BY Techs'!$C:$C,'RSD_BY Techs'!$B125)/8760</f>
        <v>1</v>
      </c>
      <c r="Z125" s="215">
        <f>SUMIFS('Key Inputs_BY Techs'!T:T,'Key Inputs_BY Techs'!$A:$A,'RSD_BY Techs'!$L125,'Key Inputs_BY Techs'!$C:$C,'RSD_BY Techs'!$B125)/8760</f>
        <v>1</v>
      </c>
      <c r="AA125" s="215">
        <f>SUMIFS('Key Inputs_BY Techs'!U:U,'Key Inputs_BY Techs'!$A:$A,'RSD_BY Techs'!$L125,'Key Inputs_BY Techs'!$C:$C,'RSD_BY Techs'!$B125)/8760</f>
        <v>1</v>
      </c>
      <c r="AB125" s="215">
        <f>SUMIFS('Key Inputs_BY Techs'!V:V,'Key Inputs_BY Techs'!$A:$A,'RSD_BY Techs'!$L125,'Key Inputs_BY Techs'!$C:$C,'RSD_BY Techs'!$B125)/8760</f>
        <v>1</v>
      </c>
      <c r="AC125" s="215">
        <f>SUMIFS('Key Inputs_BY Techs'!W:W,'Key Inputs_BY Techs'!$A:$A,'RSD_BY Techs'!$L125,'Key Inputs_BY Techs'!$C:$C,'RSD_BY Techs'!$B125)/8760</f>
        <v>1</v>
      </c>
      <c r="AD125" s="215">
        <f>SUMIFS('Key Inputs_BY Techs'!X:X,'Key Inputs_BY Techs'!$A:$A,'RSD_BY Techs'!$L125,'Key Inputs_BY Techs'!$C:$C,'RSD_BY Techs'!$B125)/8760</f>
        <v>1</v>
      </c>
      <c r="AE125" s="215">
        <f>SUMIFS('Key Inputs_BY Techs'!Y:Y,'Key Inputs_BY Techs'!$A:$A,'RSD_BY Techs'!$L125,'Key Inputs_BY Techs'!$C:$C,'RSD_BY Techs'!$B125)/8760</f>
        <v>1</v>
      </c>
      <c r="AF125" s="215">
        <f>SUMIFS('Key Inputs_BY Techs'!Z:Z,'Key Inputs_BY Techs'!$A:$A,'RSD_BY Techs'!$L125,'Key Inputs_BY Techs'!$C:$C,'RSD_BY Techs'!$B125)/8760</f>
        <v>1</v>
      </c>
      <c r="AG125" s="215">
        <f>SUMIFS('Key Inputs_BY Techs'!AA:AA,'Key Inputs_BY Techs'!$A:$A,'RSD_BY Techs'!$L125,'Key Inputs_BY Techs'!$C:$C,'RSD_BY Techs'!$B125)/8760</f>
        <v>1</v>
      </c>
      <c r="AH125" s="215">
        <f>SUMIFS('Key Inputs_BY Techs'!AB:AB,'Key Inputs_BY Techs'!$A:$A,'RSD_BY Techs'!$L125,'Key Inputs_BY Techs'!$C:$C,'RSD_BY Techs'!$B125)/8760</f>
        <v>1</v>
      </c>
      <c r="AI125" s="215">
        <f>SUMIFS('Key Inputs_BY Techs'!AC:AC,'Key Inputs_BY Techs'!$A:$A,'RSD_BY Techs'!$L125,'Key Inputs_BY Techs'!$C:$C,'RSD_BY Techs'!$B125)/8760</f>
        <v>1</v>
      </c>
      <c r="AJ125" s="215">
        <f>SUMIFS('Key Inputs_BY Techs'!AD:AD,'Key Inputs_BY Techs'!$A:$A,'RSD_BY Techs'!$L125,'Key Inputs_BY Techs'!$C:$C,'RSD_BY Techs'!$B125)/8760</f>
        <v>1</v>
      </c>
      <c r="AK125" s="215">
        <f>SUMIFS('Key Inputs_BY Techs'!AE:AE,'Key Inputs_BY Techs'!$A:$A,'RSD_BY Techs'!$L125,'Key Inputs_BY Techs'!$C:$C,'RSD_BY Techs'!$B125)/8760</f>
        <v>1</v>
      </c>
      <c r="AL125" s="215">
        <f>SUMIFS('Key Inputs_BY Techs'!AF:AF,'Key Inputs_BY Techs'!$A:$A,'RSD_BY Techs'!$L125,'Key Inputs_BY Techs'!$C:$C,'RSD_BY Techs'!$B125)/8760</f>
        <v>1</v>
      </c>
      <c r="AM125" s="215">
        <f>SUMIFS('Key Inputs_BY Techs'!AG:AG,'Key Inputs_BY Techs'!$A:$A,'RSD_BY Techs'!$L125,'Key Inputs_BY Techs'!$C:$C,'RSD_BY Techs'!$B125)/8760</f>
        <v>1</v>
      </c>
      <c r="AN125" s="215">
        <f>SUMIFS('Key Inputs_BY Techs'!AH:AH,'Key Inputs_BY Techs'!$A:$A,'RSD_BY Techs'!$L125,'Key Inputs_BY Techs'!$C:$C,'RSD_BY Techs'!$B125)/8760</f>
        <v>1</v>
      </c>
      <c r="AO125" s="215">
        <f>SUMIFS('Key Inputs_BY Techs'!AI:AI,'Key Inputs_BY Techs'!$A:$A,'RSD_BY Techs'!$L125,'Key Inputs_BY Techs'!$C:$C,'RSD_BY Techs'!$B125)/8760</f>
        <v>1</v>
      </c>
      <c r="AP125" s="215">
        <f>SUMIFS('Key Inputs_BY Techs'!AJ:AJ,'Key Inputs_BY Techs'!$A:$A,'RSD_BY Techs'!$L125,'Key Inputs_BY Techs'!$C:$C,'RSD_BY Techs'!$B125)/8760</f>
        <v>1</v>
      </c>
    </row>
    <row r="126" spans="1:42" x14ac:dyDescent="0.25">
      <c r="I126" s="231" t="str">
        <f>"*"&amp;L127</f>
        <v>*PRC_RESID</v>
      </c>
      <c r="J126" s="232"/>
      <c r="K126" s="232"/>
      <c r="L126" s="232"/>
      <c r="M126" s="232"/>
      <c r="N126" s="232"/>
      <c r="O126" s="232"/>
      <c r="P126" s="232"/>
      <c r="Q126" s="232"/>
      <c r="R126" s="232"/>
      <c r="S126" s="232"/>
      <c r="T126" s="232"/>
      <c r="U126" s="232"/>
      <c r="V126" s="232"/>
      <c r="W126" s="232"/>
      <c r="X126" s="232"/>
      <c r="Y126" s="232"/>
      <c r="Z126" s="232"/>
      <c r="AA126" s="232"/>
      <c r="AB126" s="232"/>
      <c r="AC126" s="232"/>
      <c r="AD126" s="232"/>
      <c r="AE126" s="232"/>
      <c r="AF126" s="232"/>
      <c r="AG126" s="232"/>
      <c r="AH126" s="232"/>
      <c r="AI126" s="232"/>
      <c r="AJ126" s="232"/>
      <c r="AK126" s="232"/>
      <c r="AL126" s="232"/>
      <c r="AM126" s="232"/>
      <c r="AN126" s="232"/>
      <c r="AO126" s="232"/>
      <c r="AP126" s="232"/>
    </row>
    <row r="127" spans="1:42" x14ac:dyDescent="0.25">
      <c r="A127" s="254" t="s">
        <v>122</v>
      </c>
      <c r="B127" s="254" t="s">
        <v>468</v>
      </c>
      <c r="C127" s="254" t="str">
        <f>Legend!A$64</f>
        <v>Biomass</v>
      </c>
      <c r="D127" s="254" t="str">
        <f>Legend!B$64</f>
        <v>RSDBIO</v>
      </c>
      <c r="E127" s="254" t="str">
        <f t="shared" ref="E127:E148" si="34">LEFT(D127,6)</f>
        <v>RSDBIO</v>
      </c>
      <c r="F127" s="254"/>
      <c r="G127" s="254"/>
      <c r="I127" s="209" t="str">
        <f t="shared" ref="I127:J146" si="35">I6</f>
        <v>R-THL-STV_BIO00</v>
      </c>
      <c r="J127" s="209" t="str">
        <f t="shared" si="35"/>
        <v>RSD Thermal uses technology: Biomass - Existing</v>
      </c>
      <c r="K127" s="209"/>
      <c r="L127" s="244" t="s">
        <v>377</v>
      </c>
      <c r="M127" s="208" t="str">
        <f>'Key Inputs_BY Techs'!F111</f>
        <v>GW</v>
      </c>
      <c r="N127" s="208"/>
      <c r="O127" s="241">
        <f>SUMIFS('Key Inputs_BY Techs'!I:I,'Key Inputs_BY Techs'!$A:$A,$L127,'Key Inputs_BY Techs'!$C:$C,'RSD_BY Techs'!$B127,'Key Inputs_BY Techs'!$E:$E,'RSD_BY Techs'!$D127)</f>
        <v>290.63712029583803</v>
      </c>
      <c r="P127" s="241">
        <f>SUMIFS('Key Inputs_BY Techs'!J:J,'Key Inputs_BY Techs'!$A:$A,$L127,'Key Inputs_BY Techs'!$C:$C,'RSD_BY Techs'!$B127,'Key Inputs_BY Techs'!$E:$E,'RSD_BY Techs'!$D127)</f>
        <v>13.678306844448697</v>
      </c>
      <c r="Q127" s="241">
        <f>SUMIFS('Key Inputs_BY Techs'!K:K,'Key Inputs_BY Techs'!$A:$A,$L127,'Key Inputs_BY Techs'!$C:$C,'RSD_BY Techs'!$B127,'Key Inputs_BY Techs'!$E:$E,'RSD_BY Techs'!$D127)</f>
        <v>221.99257173592284</v>
      </c>
      <c r="R127" s="241">
        <f>SUMIFS('Key Inputs_BY Techs'!L:L,'Key Inputs_BY Techs'!$A:$A,$L127,'Key Inputs_BY Techs'!$C:$C,'RSD_BY Techs'!$B127,'Key Inputs_BY Techs'!$E:$E,'RSD_BY Techs'!$D127)</f>
        <v>117.5952984544063</v>
      </c>
      <c r="S127" s="241">
        <f>SUMIFS('Key Inputs_BY Techs'!M:M,'Key Inputs_BY Techs'!$A:$A,$L127,'Key Inputs_BY Techs'!$C:$C,'RSD_BY Techs'!$B127,'Key Inputs_BY Techs'!$E:$E,'RSD_BY Techs'!$D127)</f>
        <v>6.3488335301505723</v>
      </c>
      <c r="T127" s="241">
        <f>SUMIFS('Key Inputs_BY Techs'!N:N,'Key Inputs_BY Techs'!$A:$A,$L127,'Key Inputs_BY Techs'!$C:$C,'RSD_BY Techs'!$B127,'Key Inputs_BY Techs'!$E:$E,'RSD_BY Techs'!$D127)</f>
        <v>31.879054528194651</v>
      </c>
      <c r="U127" s="241">
        <f>SUMIFS('Key Inputs_BY Techs'!O:O,'Key Inputs_BY Techs'!$A:$A,$L127,'Key Inputs_BY Techs'!$C:$C,'RSD_BY Techs'!$B127,'Key Inputs_BY Techs'!$E:$E,'RSD_BY Techs'!$D127)</f>
        <v>463.70848436969004</v>
      </c>
      <c r="V127" s="241">
        <f>SUMIFS('Key Inputs_BY Techs'!P:P,'Key Inputs_BY Techs'!$A:$A,$L127,'Key Inputs_BY Techs'!$C:$C,'RSD_BY Techs'!$B127,'Key Inputs_BY Techs'!$E:$E,'RSD_BY Techs'!$D127)</f>
        <v>776.17323171615544</v>
      </c>
      <c r="W127" s="241">
        <f>SUMIFS('Key Inputs_BY Techs'!Q:Q,'Key Inputs_BY Techs'!$A:$A,$L127,'Key Inputs_BY Techs'!$C:$C,'RSD_BY Techs'!$B127,'Key Inputs_BY Techs'!$E:$E,'RSD_BY Techs'!$D127)</f>
        <v>0</v>
      </c>
      <c r="X127" s="241">
        <f>SUMIFS('Key Inputs_BY Techs'!R:R,'Key Inputs_BY Techs'!$A:$A,$L127,'Key Inputs_BY Techs'!$C:$C,'RSD_BY Techs'!$B127,'Key Inputs_BY Techs'!$E:$E,'RSD_BY Techs'!$D127)</f>
        <v>17.999107763668139</v>
      </c>
      <c r="Y127" s="241">
        <f>SUMIFS('Key Inputs_BY Techs'!S:S,'Key Inputs_BY Techs'!$A:$A,$L127,'Key Inputs_BY Techs'!$C:$C,'RSD_BY Techs'!$B127,'Key Inputs_BY Techs'!$E:$E,'RSD_BY Techs'!$D127)</f>
        <v>28.685067245533322</v>
      </c>
      <c r="Z127" s="241">
        <f>SUMIFS('Key Inputs_BY Techs'!T:T,'Key Inputs_BY Techs'!$A:$A,$L127,'Key Inputs_BY Techs'!$C:$C,'RSD_BY Techs'!$B127,'Key Inputs_BY Techs'!$E:$E,'RSD_BY Techs'!$D127)</f>
        <v>169.73089266358087</v>
      </c>
      <c r="AA127" s="241">
        <f>SUMIFS('Key Inputs_BY Techs'!U:U,'Key Inputs_BY Techs'!$A:$A,$L127,'Key Inputs_BY Techs'!$C:$C,'RSD_BY Techs'!$B127,'Key Inputs_BY Techs'!$E:$E,'RSD_BY Techs'!$D127)</f>
        <v>70.204864206688598</v>
      </c>
      <c r="AB127" s="241">
        <f>SUMIFS('Key Inputs_BY Techs'!V:V,'Key Inputs_BY Techs'!$A:$A,$L127,'Key Inputs_BY Techs'!$C:$C,'RSD_BY Techs'!$B127,'Key Inputs_BY Techs'!$E:$E,'RSD_BY Techs'!$D127)</f>
        <v>14.385031972688623</v>
      </c>
      <c r="AC127" s="241">
        <f>SUMIFS('Key Inputs_BY Techs'!W:W,'Key Inputs_BY Techs'!$A:$A,$L127,'Key Inputs_BY Techs'!$C:$C,'RSD_BY Techs'!$B127,'Key Inputs_BY Techs'!$E:$E,'RSD_BY Techs'!$D127)</f>
        <v>188.22968306810699</v>
      </c>
      <c r="AD127" s="241">
        <f>SUMIFS('Key Inputs_BY Techs'!X:X,'Key Inputs_BY Techs'!$A:$A,$L127,'Key Inputs_BY Techs'!$C:$C,'RSD_BY Techs'!$B127,'Key Inputs_BY Techs'!$E:$E,'RSD_BY Techs'!$D127)</f>
        <v>208.15388561566087</v>
      </c>
      <c r="AE127" s="241">
        <f>SUMIFS('Key Inputs_BY Techs'!Y:Y,'Key Inputs_BY Techs'!$A:$A,$L127,'Key Inputs_BY Techs'!$C:$C,'RSD_BY Techs'!$B127,'Key Inputs_BY Techs'!$E:$E,'RSD_BY Techs'!$D127)</f>
        <v>157.82128920151521</v>
      </c>
      <c r="AF127" s="241">
        <f>SUMIFS('Key Inputs_BY Techs'!Z:Z,'Key Inputs_BY Techs'!$A:$A,$L127,'Key Inputs_BY Techs'!$C:$C,'RSD_BY Techs'!$B127,'Key Inputs_BY Techs'!$E:$E,'RSD_BY Techs'!$D127)</f>
        <v>594.1982458064349</v>
      </c>
      <c r="AG127" s="241">
        <f>SUMIFS('Key Inputs_BY Techs'!AA:AA,'Key Inputs_BY Techs'!$A:$A,$L127,'Key Inputs_BY Techs'!$C:$C,'RSD_BY Techs'!$B127,'Key Inputs_BY Techs'!$E:$E,'RSD_BY Techs'!$D127)</f>
        <v>2127.1087247101505</v>
      </c>
      <c r="AH127" s="241">
        <f>SUMIFS('Key Inputs_BY Techs'!AB:AB,'Key Inputs_BY Techs'!$A:$A,$L127,'Key Inputs_BY Techs'!$C:$C,'RSD_BY Techs'!$B127,'Key Inputs_BY Techs'!$E:$E,'RSD_BY Techs'!$D127)</f>
        <v>0.11919325677096393</v>
      </c>
      <c r="AI127" s="241">
        <f>SUMIFS('Key Inputs_BY Techs'!AC:AC,'Key Inputs_BY Techs'!$A:$A,$L127,'Key Inputs_BY Techs'!$C:$C,'RSD_BY Techs'!$B127,'Key Inputs_BY Techs'!$E:$E,'RSD_BY Techs'!$D127)</f>
        <v>0</v>
      </c>
      <c r="AJ127" s="241">
        <f>SUMIFS('Key Inputs_BY Techs'!AD:AD,'Key Inputs_BY Techs'!$A:$A,$L127,'Key Inputs_BY Techs'!$C:$C,'RSD_BY Techs'!$B127,'Key Inputs_BY Techs'!$E:$E,'RSD_BY Techs'!$D127)</f>
        <v>22.265924079177079</v>
      </c>
      <c r="AK127" s="241">
        <f>SUMIFS('Key Inputs_BY Techs'!AE:AE,'Key Inputs_BY Techs'!$A:$A,$L127,'Key Inputs_BY Techs'!$C:$C,'RSD_BY Techs'!$B127,'Key Inputs_BY Techs'!$E:$E,'RSD_BY Techs'!$D127)</f>
        <v>46.506290133575732</v>
      </c>
      <c r="AL127" s="241">
        <f>SUMIFS('Key Inputs_BY Techs'!AF:AF,'Key Inputs_BY Techs'!$A:$A,$L127,'Key Inputs_BY Techs'!$C:$C,'RSD_BY Techs'!$B127,'Key Inputs_BY Techs'!$E:$E,'RSD_BY Techs'!$D127)</f>
        <v>114.13673722400017</v>
      </c>
      <c r="AM127" s="241">
        <f>SUMIFS('Key Inputs_BY Techs'!AG:AG,'Key Inputs_BY Techs'!$A:$A,$L127,'Key Inputs_BY Techs'!$C:$C,'RSD_BY Techs'!$B127,'Key Inputs_BY Techs'!$E:$E,'RSD_BY Techs'!$D127)</f>
        <v>448.46109993486215</v>
      </c>
      <c r="AN127" s="241">
        <f>SUMIFS('Key Inputs_BY Techs'!AH:AH,'Key Inputs_BY Techs'!$A:$A,$L127,'Key Inputs_BY Techs'!$C:$C,'RSD_BY Techs'!$B127,'Key Inputs_BY Techs'!$E:$E,'RSD_BY Techs'!$D127)</f>
        <v>8.0087086423699549</v>
      </c>
      <c r="AO127" s="241">
        <f>SUMIFS('Key Inputs_BY Techs'!AI:AI,'Key Inputs_BY Techs'!$A:$A,$L127,'Key Inputs_BY Techs'!$C:$C,'RSD_BY Techs'!$B127,'Key Inputs_BY Techs'!$E:$E,'RSD_BY Techs'!$D127)</f>
        <v>0.95840218837333691</v>
      </c>
      <c r="AP127" s="241">
        <f>SUMIFS('Key Inputs_BY Techs'!AJ:AJ,'Key Inputs_BY Techs'!$A:$A,$L127,'Key Inputs_BY Techs'!$C:$C,'RSD_BY Techs'!$B127,'Key Inputs_BY Techs'!$E:$E,'RSD_BY Techs'!$D127)</f>
        <v>132.47359616722895</v>
      </c>
    </row>
    <row r="128" spans="1:42" x14ac:dyDescent="0.25">
      <c r="A128" s="254" t="s">
        <v>122</v>
      </c>
      <c r="B128" s="254" t="s">
        <v>468</v>
      </c>
      <c r="C128" s="254" t="str">
        <f>Legend!A$65</f>
        <v>Coal</v>
      </c>
      <c r="D128" s="254" t="str">
        <f>Legend!B$65</f>
        <v>RSDCOA</v>
      </c>
      <c r="E128" s="254" t="str">
        <f t="shared" si="34"/>
        <v>RSDCOA</v>
      </c>
      <c r="F128" s="254"/>
      <c r="G128" s="254"/>
      <c r="I128" s="81" t="str">
        <f t="shared" si="35"/>
        <v>R-THL-STV_COA00</v>
      </c>
      <c r="J128" s="81" t="str">
        <f t="shared" si="35"/>
        <v>RSD Thermal uses technology: Coal - Existing</v>
      </c>
      <c r="L128" s="81" t="s">
        <v>377</v>
      </c>
      <c r="M128" s="87" t="str">
        <f>'Key Inputs_BY Techs'!F112</f>
        <v>GW</v>
      </c>
      <c r="O128" s="242">
        <f>SUMIFS('Key Inputs_BY Techs'!I:I,'Key Inputs_BY Techs'!$A:$A,$L128,'Key Inputs_BY Techs'!$C:$C,'RSD_BY Techs'!$B128,'Key Inputs_BY Techs'!$E:$E,'RSD_BY Techs'!$D128)</f>
        <v>9.4379432251380832E-2</v>
      </c>
      <c r="P128" s="242">
        <f>SUMIFS('Key Inputs_BY Techs'!J:J,'Key Inputs_BY Techs'!$A:$A,$L128,'Key Inputs_BY Techs'!$C:$C,'RSD_BY Techs'!$B128,'Key Inputs_BY Techs'!$E:$E,'RSD_BY Techs'!$D128)</f>
        <v>5.4903621686293459E-2</v>
      </c>
      <c r="Q128" s="242">
        <f>SUMIFS('Key Inputs_BY Techs'!K:K,'Key Inputs_BY Techs'!$A:$A,$L128,'Key Inputs_BY Techs'!$C:$C,'RSD_BY Techs'!$B128,'Key Inputs_BY Techs'!$E:$E,'RSD_BY Techs'!$D128)</f>
        <v>0</v>
      </c>
      <c r="R128" s="242">
        <f>SUMIFS('Key Inputs_BY Techs'!L:L,'Key Inputs_BY Techs'!$A:$A,$L128,'Key Inputs_BY Techs'!$C:$C,'RSD_BY Techs'!$B128,'Key Inputs_BY Techs'!$E:$E,'RSD_BY Techs'!$D128)</f>
        <v>91.476010665531149</v>
      </c>
      <c r="S128" s="242">
        <f>SUMIFS('Key Inputs_BY Techs'!M:M,'Key Inputs_BY Techs'!$A:$A,$L128,'Key Inputs_BY Techs'!$C:$C,'RSD_BY Techs'!$B128,'Key Inputs_BY Techs'!$E:$E,'RSD_BY Techs'!$D128)</f>
        <v>0.10628778759445096</v>
      </c>
      <c r="T128" s="242">
        <f>SUMIFS('Key Inputs_BY Techs'!N:N,'Key Inputs_BY Techs'!$A:$A,$L128,'Key Inputs_BY Techs'!$C:$C,'RSD_BY Techs'!$B128,'Key Inputs_BY Techs'!$E:$E,'RSD_BY Techs'!$D128)</f>
        <v>63.364923462757758</v>
      </c>
      <c r="U128" s="242">
        <f>SUMIFS('Key Inputs_BY Techs'!O:O,'Key Inputs_BY Techs'!$A:$A,$L128,'Key Inputs_BY Techs'!$C:$C,'RSD_BY Techs'!$B128,'Key Inputs_BY Techs'!$E:$E,'RSD_BY Techs'!$D128)</f>
        <v>22.114724196841852</v>
      </c>
      <c r="V128" s="242">
        <f>SUMIFS('Key Inputs_BY Techs'!P:P,'Key Inputs_BY Techs'!$A:$A,$L128,'Key Inputs_BY Techs'!$C:$C,'RSD_BY Techs'!$B128,'Key Inputs_BY Techs'!$E:$E,'RSD_BY Techs'!$D128)</f>
        <v>4.1988620381887422E-2</v>
      </c>
      <c r="W128" s="242">
        <f>SUMIFS('Key Inputs_BY Techs'!Q:Q,'Key Inputs_BY Techs'!$A:$A,$L128,'Key Inputs_BY Techs'!$C:$C,'RSD_BY Techs'!$B128,'Key Inputs_BY Techs'!$E:$E,'RSD_BY Techs'!$D128)</f>
        <v>0</v>
      </c>
      <c r="X128" s="242">
        <f>SUMIFS('Key Inputs_BY Techs'!R:R,'Key Inputs_BY Techs'!$A:$A,$L128,'Key Inputs_BY Techs'!$C:$C,'RSD_BY Techs'!$B128,'Key Inputs_BY Techs'!$E:$E,'RSD_BY Techs'!$D128)</f>
        <v>0</v>
      </c>
      <c r="Y128" s="242">
        <f>SUMIFS('Key Inputs_BY Techs'!S:S,'Key Inputs_BY Techs'!$A:$A,$L128,'Key Inputs_BY Techs'!$C:$C,'RSD_BY Techs'!$B128,'Key Inputs_BY Techs'!$E:$E,'RSD_BY Techs'!$D128)</f>
        <v>0</v>
      </c>
      <c r="Z128" s="242">
        <f>SUMIFS('Key Inputs_BY Techs'!T:T,'Key Inputs_BY Techs'!$A:$A,$L128,'Key Inputs_BY Techs'!$C:$C,'RSD_BY Techs'!$B128,'Key Inputs_BY Techs'!$E:$E,'RSD_BY Techs'!$D128)</f>
        <v>275.93230467102757</v>
      </c>
      <c r="AA128" s="242">
        <f>SUMIFS('Key Inputs_BY Techs'!U:U,'Key Inputs_BY Techs'!$A:$A,$L128,'Key Inputs_BY Techs'!$C:$C,'RSD_BY Techs'!$B128,'Key Inputs_BY Techs'!$E:$E,'RSD_BY Techs'!$D128)</f>
        <v>6.3939510284234977</v>
      </c>
      <c r="AB128" s="242">
        <f>SUMIFS('Key Inputs_BY Techs'!V:V,'Key Inputs_BY Techs'!$A:$A,$L128,'Key Inputs_BY Techs'!$C:$C,'RSD_BY Techs'!$B128,'Key Inputs_BY Techs'!$E:$E,'RSD_BY Techs'!$D128)</f>
        <v>3.477442662096379</v>
      </c>
      <c r="AC128" s="242">
        <f>SUMIFS('Key Inputs_BY Techs'!W:W,'Key Inputs_BY Techs'!$A:$A,$L128,'Key Inputs_BY Techs'!$C:$C,'RSD_BY Techs'!$B128,'Key Inputs_BY Techs'!$E:$E,'RSD_BY Techs'!$D128)</f>
        <v>60.070758816272132</v>
      </c>
      <c r="AD128" s="242">
        <f>SUMIFS('Key Inputs_BY Techs'!X:X,'Key Inputs_BY Techs'!$A:$A,$L128,'Key Inputs_BY Techs'!$C:$C,'RSD_BY Techs'!$B128,'Key Inputs_BY Techs'!$E:$E,'RSD_BY Techs'!$D128)</f>
        <v>1.0176392703928931</v>
      </c>
      <c r="AE128" s="242">
        <f>SUMIFS('Key Inputs_BY Techs'!Y:Y,'Key Inputs_BY Techs'!$A:$A,$L128,'Key Inputs_BY Techs'!$C:$C,'RSD_BY Techs'!$B128,'Key Inputs_BY Techs'!$E:$E,'RSD_BY Techs'!$D128)</f>
        <v>8.5783366447192115</v>
      </c>
      <c r="AF128" s="242">
        <f>SUMIFS('Key Inputs_BY Techs'!Z:Z,'Key Inputs_BY Techs'!$A:$A,$L128,'Key Inputs_BY Techs'!$C:$C,'RSD_BY Techs'!$B128,'Key Inputs_BY Techs'!$E:$E,'RSD_BY Techs'!$D128)</f>
        <v>22.325097847358119</v>
      </c>
      <c r="AG128" s="242">
        <f>SUMIFS('Key Inputs_BY Techs'!AA:AA,'Key Inputs_BY Techs'!$A:$A,$L128,'Key Inputs_BY Techs'!$C:$C,'RSD_BY Techs'!$B128,'Key Inputs_BY Techs'!$E:$E,'RSD_BY Techs'!$D128)</f>
        <v>3.8731245923026756</v>
      </c>
      <c r="AH128" s="242">
        <f>SUMIFS('Key Inputs_BY Techs'!AB:AB,'Key Inputs_BY Techs'!$A:$A,$L128,'Key Inputs_BY Techs'!$C:$C,'RSD_BY Techs'!$B128,'Key Inputs_BY Techs'!$E:$E,'RSD_BY Techs'!$D128)</f>
        <v>0</v>
      </c>
      <c r="AI128" s="242">
        <f>SUMIFS('Key Inputs_BY Techs'!AC:AC,'Key Inputs_BY Techs'!$A:$A,$L128,'Key Inputs_BY Techs'!$C:$C,'RSD_BY Techs'!$B128,'Key Inputs_BY Techs'!$E:$E,'RSD_BY Techs'!$D128)</f>
        <v>2.1531190988422888</v>
      </c>
      <c r="AJ128" s="242">
        <f>SUMIFS('Key Inputs_BY Techs'!AD:AD,'Key Inputs_BY Techs'!$A:$A,$L128,'Key Inputs_BY Techs'!$C:$C,'RSD_BY Techs'!$B128,'Key Inputs_BY Techs'!$E:$E,'RSD_BY Techs'!$D128)</f>
        <v>11.884172263353127</v>
      </c>
      <c r="AK128" s="242">
        <f>SUMIFS('Key Inputs_BY Techs'!AE:AE,'Key Inputs_BY Techs'!$A:$A,$L128,'Key Inputs_BY Techs'!$C:$C,'RSD_BY Techs'!$B128,'Key Inputs_BY Techs'!$E:$E,'RSD_BY Techs'!$D128)</f>
        <v>0.22192731839911756</v>
      </c>
      <c r="AL128" s="242">
        <f>SUMIFS('Key Inputs_BY Techs'!AF:AF,'Key Inputs_BY Techs'!$A:$A,$L128,'Key Inputs_BY Techs'!$C:$C,'RSD_BY Techs'!$B128,'Key Inputs_BY Techs'!$E:$E,'RSD_BY Techs'!$D128)</f>
        <v>0</v>
      </c>
      <c r="AM128" s="242">
        <f>SUMIFS('Key Inputs_BY Techs'!AG:AG,'Key Inputs_BY Techs'!$A:$A,$L128,'Key Inputs_BY Techs'!$C:$C,'RSD_BY Techs'!$B128,'Key Inputs_BY Techs'!$E:$E,'RSD_BY Techs'!$D128)</f>
        <v>0</v>
      </c>
      <c r="AN128" s="242">
        <f>SUMIFS('Key Inputs_BY Techs'!AH:AH,'Key Inputs_BY Techs'!$A:$A,$L128,'Key Inputs_BY Techs'!$C:$C,'RSD_BY Techs'!$B128,'Key Inputs_BY Techs'!$E:$E,'RSD_BY Techs'!$D128)</f>
        <v>11.144572027461171</v>
      </c>
      <c r="AO128" s="242">
        <f>SUMIFS('Key Inputs_BY Techs'!AI:AI,'Key Inputs_BY Techs'!$A:$A,$L128,'Key Inputs_BY Techs'!$C:$C,'RSD_BY Techs'!$B128,'Key Inputs_BY Techs'!$E:$E,'RSD_BY Techs'!$D128)</f>
        <v>2.0382971438073416</v>
      </c>
      <c r="AP128" s="242">
        <f>SUMIFS('Key Inputs_BY Techs'!AJ:AJ,'Key Inputs_BY Techs'!$A:$A,$L128,'Key Inputs_BY Techs'!$C:$C,'RSD_BY Techs'!$B128,'Key Inputs_BY Techs'!$E:$E,'RSD_BY Techs'!$D128)</f>
        <v>0</v>
      </c>
    </row>
    <row r="129" spans="1:42" x14ac:dyDescent="0.25">
      <c r="A129" s="254" t="s">
        <v>122</v>
      </c>
      <c r="B129" s="254" t="s">
        <v>468</v>
      </c>
      <c r="C129" s="254" t="str">
        <f>Legend!A$66</f>
        <v>Electricity</v>
      </c>
      <c r="D129" s="254" t="str">
        <f>Legend!B$66</f>
        <v>RSDELC</v>
      </c>
      <c r="E129" s="254" t="str">
        <f t="shared" si="34"/>
        <v>RSDELC</v>
      </c>
      <c r="F129" s="254"/>
      <c r="G129" s="254"/>
      <c r="I129" s="81" t="str">
        <f t="shared" si="35"/>
        <v>R-THL-RST_ELC00</v>
      </c>
      <c r="J129" s="81" t="str">
        <f t="shared" si="35"/>
        <v>RSD Thermal uses technology: Electricity - Existing</v>
      </c>
      <c r="L129" s="81" t="s">
        <v>377</v>
      </c>
      <c r="M129" s="87" t="str">
        <f>'Key Inputs_BY Techs'!F113</f>
        <v>GW</v>
      </c>
      <c r="O129" s="242">
        <f>'Key Inputs_BY Techs'!I113</f>
        <v>0.78819258161365202</v>
      </c>
      <c r="P129" s="242">
        <f>'Key Inputs_BY Techs'!J113</f>
        <v>4.0888783061121527</v>
      </c>
      <c r="Q129" s="242">
        <f>'Key Inputs_BY Techs'!K113</f>
        <v>0.81427259460872348</v>
      </c>
      <c r="R129" s="242">
        <f>'Key Inputs_BY Techs'!L113</f>
        <v>2.3027315029926125</v>
      </c>
      <c r="S129" s="242">
        <f>'Key Inputs_BY Techs'!M113</f>
        <v>43.852364715351321</v>
      </c>
      <c r="T129" s="242">
        <f>'Key Inputs_BY Techs'!N113</f>
        <v>14.395364840592926</v>
      </c>
      <c r="U129" s="242">
        <f>'Key Inputs_BY Techs'!O113</f>
        <v>33.974414566030298</v>
      </c>
      <c r="V129" s="242">
        <f>'Key Inputs_BY Techs'!P113</f>
        <v>31.005136844678638</v>
      </c>
      <c r="W129" s="242">
        <f>'Key Inputs_BY Techs'!Q113</f>
        <v>49.643237784776922</v>
      </c>
      <c r="X129" s="242">
        <f>'Key Inputs_BY Techs'!R113</f>
        <v>68.684972775851421</v>
      </c>
      <c r="Y129" s="242">
        <f>'Key Inputs_BY Techs'!S113</f>
        <v>1.8111814392066727</v>
      </c>
      <c r="Z129" s="242">
        <f>'Key Inputs_BY Techs'!T113</f>
        <v>215.17666237394999</v>
      </c>
      <c r="AA129" s="242">
        <f>'Key Inputs_BY Techs'!U113</f>
        <v>17.630145974335829</v>
      </c>
      <c r="AB129" s="242">
        <f>'Key Inputs_BY Techs'!V113</f>
        <v>39.867644943648763</v>
      </c>
      <c r="AC129" s="242">
        <f>'Key Inputs_BY Techs'!W113</f>
        <v>26.461829264079341</v>
      </c>
      <c r="AD129" s="242">
        <f>'Key Inputs_BY Techs'!X113</f>
        <v>117.88081177340565</v>
      </c>
      <c r="AE129" s="242">
        <f>'Key Inputs_BY Techs'!Y113</f>
        <v>84.417379253408882</v>
      </c>
      <c r="AF129" s="242">
        <f>'Key Inputs_BY Techs'!Z113</f>
        <v>66.102539899443315</v>
      </c>
      <c r="AG129" s="242">
        <f>'Key Inputs_BY Techs'!AA113</f>
        <v>100.58656005980708</v>
      </c>
      <c r="AH129" s="242">
        <f>'Key Inputs_BY Techs'!AB113</f>
        <v>114.99405912819306</v>
      </c>
      <c r="AI129" s="242">
        <f>'Key Inputs_BY Techs'!AC113</f>
        <v>11.831169038227667</v>
      </c>
      <c r="AJ129" s="242">
        <f>'Key Inputs_BY Techs'!AD113</f>
        <v>26.204686853622274</v>
      </c>
      <c r="AK129" s="242">
        <f>'Key Inputs_BY Techs'!AE113</f>
        <v>159.43601534635798</v>
      </c>
      <c r="AL129" s="242">
        <f>'Key Inputs_BY Techs'!AF113</f>
        <v>35.435107577390099</v>
      </c>
      <c r="AM129" s="242">
        <f>'Key Inputs_BY Techs'!AG113</f>
        <v>0.59384547905325347</v>
      </c>
      <c r="AN129" s="242">
        <f>'Key Inputs_BY Techs'!AH113</f>
        <v>18.699692280196292</v>
      </c>
      <c r="AO129" s="242">
        <f>'Key Inputs_BY Techs'!AI113</f>
        <v>9.1168616937901348</v>
      </c>
      <c r="AP129" s="242">
        <f>'Key Inputs_BY Techs'!AJ113</f>
        <v>440.12334699800817</v>
      </c>
    </row>
    <row r="130" spans="1:42" x14ac:dyDescent="0.25">
      <c r="A130" s="254" t="s">
        <v>122</v>
      </c>
      <c r="B130" s="254" t="s">
        <v>468</v>
      </c>
      <c r="C130" s="254" t="str">
        <f>Legend!A$66&amp;" (Heat Pump)"</f>
        <v>Electricity (Heat Pump)</v>
      </c>
      <c r="D130" s="254" t="str">
        <f>Legend!B$66</f>
        <v>RSDELC</v>
      </c>
      <c r="E130" s="254" t="str">
        <f t="shared" si="34"/>
        <v>RSDELC</v>
      </c>
      <c r="F130" s="254"/>
      <c r="G130" s="254"/>
      <c r="I130" s="81" t="str">
        <f t="shared" si="35"/>
        <v>R-THL-HPA_ELC00</v>
      </c>
      <c r="J130" s="81" t="str">
        <f t="shared" si="35"/>
        <v>RSD Thermal uses technology: Electricity (Heat Pump) - Existing</v>
      </c>
      <c r="L130" s="81" t="s">
        <v>377</v>
      </c>
      <c r="M130" s="87" t="str">
        <f>'Key Inputs_BY Techs'!F114</f>
        <v>GW</v>
      </c>
      <c r="O130" s="242">
        <f>'Key Inputs_BY Techs'!I114</f>
        <v>0.235803158871981</v>
      </c>
      <c r="P130" s="242">
        <f>'Key Inputs_BY Techs'!J114</f>
        <v>1.2232675659677388</v>
      </c>
      <c r="Q130" s="242">
        <f>'Key Inputs_BY Techs'!K114</f>
        <v>0.24360550260258287</v>
      </c>
      <c r="R130" s="242">
        <f>'Key Inputs_BY Techs'!L114</f>
        <v>0.68890696906589322</v>
      </c>
      <c r="S130" s="242">
        <f>'Key Inputs_BY Techs'!M114</f>
        <v>11.713650732046705</v>
      </c>
      <c r="T130" s="242">
        <f>'Key Inputs_BY Techs'!N114</f>
        <v>3.1915380141534526</v>
      </c>
      <c r="U130" s="242">
        <f>'Key Inputs_BY Techs'!O114</f>
        <v>7.5323298017661342</v>
      </c>
      <c r="V130" s="242">
        <f>'Key Inputs_BY Techs'!P114</f>
        <v>8.2819557452676946</v>
      </c>
      <c r="W130" s="242">
        <f>'Key Inputs_BY Techs'!Q114</f>
        <v>14.851741261403072</v>
      </c>
      <c r="X130" s="242">
        <f>'Key Inputs_BY Techs'!R114</f>
        <v>18.346827744840223</v>
      </c>
      <c r="Y130" s="242">
        <f>'Key Inputs_BY Techs'!S114</f>
        <v>0.54185019577433313</v>
      </c>
      <c r="Z130" s="242">
        <f>'Key Inputs_BY Techs'!T114</f>
        <v>47.705945999270568</v>
      </c>
      <c r="AA130" s="242">
        <f>'Key Inputs_BY Techs'!U114</f>
        <v>5.2744014712895151</v>
      </c>
      <c r="AB130" s="242">
        <f>'Key Inputs_BY Techs'!V114</f>
        <v>11.927182307720557</v>
      </c>
      <c r="AC130" s="242">
        <f>'Key Inputs_BY Techs'!W114</f>
        <v>7.9165715023939258</v>
      </c>
      <c r="AD130" s="242">
        <f>'Key Inputs_BY Techs'!X114</f>
        <v>26.134877169156624</v>
      </c>
      <c r="AE130" s="242">
        <f>'Key Inputs_BY Techs'!Y114</f>
        <v>18.715835126507738</v>
      </c>
      <c r="AF130" s="242">
        <f>'Key Inputs_BY Techs'!Z114</f>
        <v>14.655326298244704</v>
      </c>
      <c r="AG130" s="242">
        <f>'Key Inputs_BY Techs'!AA114</f>
        <v>26.868239387468108</v>
      </c>
      <c r="AH130" s="242">
        <f>'Key Inputs_BY Techs'!AB114</f>
        <v>30.71670715208748</v>
      </c>
      <c r="AI130" s="242">
        <f>'Key Inputs_BY Techs'!AC114</f>
        <v>3.5395246002580998</v>
      </c>
      <c r="AJ130" s="242">
        <f>'Key Inputs_BY Techs'!AD114</f>
        <v>7.8396423430993876</v>
      </c>
      <c r="AK130" s="242">
        <f>'Key Inputs_BY Techs'!AE114</f>
        <v>47.698388609119171</v>
      </c>
      <c r="AL130" s="242">
        <f>'Key Inputs_BY Techs'!AF114</f>
        <v>10.601102442007974</v>
      </c>
      <c r="AM130" s="242">
        <f>'Key Inputs_BY Techs'!AG114</f>
        <v>0.17766043871653786</v>
      </c>
      <c r="AN130" s="242">
        <f>'Key Inputs_BY Techs'!AH114</f>
        <v>5.5943770754311144</v>
      </c>
      <c r="AO130" s="242">
        <f>'Key Inputs_BY Techs'!AI114</f>
        <v>2.0212624680037075</v>
      </c>
      <c r="AP130" s="242">
        <f>'Key Inputs_BY Techs'!AJ114</f>
        <v>97.577964047122919</v>
      </c>
    </row>
    <row r="131" spans="1:42" x14ac:dyDescent="0.25">
      <c r="A131" s="254" t="s">
        <v>122</v>
      </c>
      <c r="B131" s="254" t="s">
        <v>468</v>
      </c>
      <c r="C131" s="254" t="str">
        <f>Legend!$A$71&amp;", "&amp;Legend!$A$63&amp;", "&amp;Legend!$A$72</f>
        <v>Natural gas, Biogas, Manufactured gas</v>
      </c>
      <c r="D131" s="254" t="str">
        <f>Legend!$B$71&amp;", "&amp;Legend!$B$63&amp;", "&amp;Legend!$B$72</f>
        <v>RSDGAS, RSDBGS, RSDGAM</v>
      </c>
      <c r="E131" s="254" t="str">
        <f t="shared" si="34"/>
        <v>RSDGAS</v>
      </c>
      <c r="F131" s="254"/>
      <c r="G131" s="254"/>
      <c r="I131" s="81" t="str">
        <f t="shared" si="35"/>
        <v>R-THL-BLR_GAS00</v>
      </c>
      <c r="J131" s="81" t="str">
        <f t="shared" si="35"/>
        <v>RSD Thermal uses technology: Natural gas, Biogas, Manufactured gas - Existing</v>
      </c>
      <c r="L131" s="81" t="s">
        <v>377</v>
      </c>
      <c r="M131" s="87" t="str">
        <f>'Key Inputs_BY Techs'!F115</f>
        <v>GW</v>
      </c>
      <c r="O131" s="242">
        <f>SUMIFS('Key Inputs_BY Techs'!I:I,'Key Inputs_BY Techs'!$A:$A,$L131,'Key Inputs_BY Techs'!$C:$C,'RSD_BY Techs'!$B131,'Key Inputs_BY Techs'!$E:$E,'RSD_BY Techs'!$D131)</f>
        <v>0</v>
      </c>
      <c r="P131" s="242">
        <f>SUMIFS('Key Inputs_BY Techs'!J:J,'Key Inputs_BY Techs'!$A:$A,$L131,'Key Inputs_BY Techs'!$C:$C,'RSD_BY Techs'!$B131,'Key Inputs_BY Techs'!$E:$E,'RSD_BY Techs'!$D131)</f>
        <v>245.83381703025785</v>
      </c>
      <c r="Q131" s="242">
        <f>SUMIFS('Key Inputs_BY Techs'!K:K,'Key Inputs_BY Techs'!$A:$A,$L131,'Key Inputs_BY Techs'!$C:$C,'RSD_BY Techs'!$B131,'Key Inputs_BY Techs'!$E:$E,'RSD_BY Techs'!$D131)</f>
        <v>0</v>
      </c>
      <c r="R131" s="242">
        <f>SUMIFS('Key Inputs_BY Techs'!L:L,'Key Inputs_BY Techs'!$A:$A,$L131,'Key Inputs_BY Techs'!$C:$C,'RSD_BY Techs'!$B131,'Key Inputs_BY Techs'!$E:$E,'RSD_BY Techs'!$D131)</f>
        <v>0.1109439465722914</v>
      </c>
      <c r="S131" s="242">
        <f>SUMIFS('Key Inputs_BY Techs'!M:M,'Key Inputs_BY Techs'!$A:$A,$L131,'Key Inputs_BY Techs'!$C:$C,'RSD_BY Techs'!$B131,'Key Inputs_BY Techs'!$E:$E,'RSD_BY Techs'!$D131)</f>
        <v>80.490117369298034</v>
      </c>
      <c r="T131" s="242">
        <f>SUMIFS('Key Inputs_BY Techs'!N:N,'Key Inputs_BY Techs'!$A:$A,$L131,'Key Inputs_BY Techs'!$C:$C,'RSD_BY Techs'!$B131,'Key Inputs_BY Techs'!$E:$E,'RSD_BY Techs'!$D131)</f>
        <v>212.88855825225741</v>
      </c>
      <c r="U131" s="242">
        <f>SUMIFS('Key Inputs_BY Techs'!O:O,'Key Inputs_BY Techs'!$A:$A,$L131,'Key Inputs_BY Techs'!$C:$C,'RSD_BY Techs'!$B131,'Key Inputs_BY Techs'!$E:$E,'RSD_BY Techs'!$D131)</f>
        <v>1.5933218695914166</v>
      </c>
      <c r="V131" s="242">
        <f>SUMIFS('Key Inputs_BY Techs'!P:P,'Key Inputs_BY Techs'!$A:$A,$L131,'Key Inputs_BY Techs'!$C:$C,'RSD_BY Techs'!$B131,'Key Inputs_BY Techs'!$E:$E,'RSD_BY Techs'!$D131)</f>
        <v>227.26609629979501</v>
      </c>
      <c r="W131" s="242">
        <f>SUMIFS('Key Inputs_BY Techs'!Q:Q,'Key Inputs_BY Techs'!$A:$A,$L131,'Key Inputs_BY Techs'!$C:$C,'RSD_BY Techs'!$B131,'Key Inputs_BY Techs'!$E:$E,'RSD_BY Techs'!$D131)</f>
        <v>4.24095894541703</v>
      </c>
      <c r="X131" s="242">
        <f>SUMIFS('Key Inputs_BY Techs'!R:R,'Key Inputs_BY Techs'!$A:$A,$L131,'Key Inputs_BY Techs'!$C:$C,'RSD_BY Techs'!$B131,'Key Inputs_BY Techs'!$E:$E,'RSD_BY Techs'!$D131)</f>
        <v>117.33402587971077</v>
      </c>
      <c r="Y131" s="242">
        <f>SUMIFS('Key Inputs_BY Techs'!S:S,'Key Inputs_BY Techs'!$A:$A,$L131,'Key Inputs_BY Techs'!$C:$C,'RSD_BY Techs'!$B131,'Key Inputs_BY Techs'!$E:$E,'RSD_BY Techs'!$D131)</f>
        <v>8.4718763385230975</v>
      </c>
      <c r="Z131" s="242">
        <f>SUMIFS('Key Inputs_BY Techs'!T:T,'Key Inputs_BY Techs'!$A:$A,$L131,'Key Inputs_BY Techs'!$C:$C,'RSD_BY Techs'!$B131,'Key Inputs_BY Techs'!$E:$E,'RSD_BY Techs'!$D131)</f>
        <v>257.99883076092976</v>
      </c>
      <c r="AA131" s="242">
        <f>SUMIFS('Key Inputs_BY Techs'!U:U,'Key Inputs_BY Techs'!$A:$A,$L131,'Key Inputs_BY Techs'!$C:$C,'RSD_BY Techs'!$B131,'Key Inputs_BY Techs'!$E:$E,'RSD_BY Techs'!$D131)</f>
        <v>101.44998130414113</v>
      </c>
      <c r="AB131" s="242">
        <f>SUMIFS('Key Inputs_BY Techs'!V:V,'Key Inputs_BY Techs'!$A:$A,$L131,'Key Inputs_BY Techs'!$C:$C,'RSD_BY Techs'!$B131,'Key Inputs_BY Techs'!$E:$E,'RSD_BY Techs'!$D131)</f>
        <v>255.97513714867813</v>
      </c>
      <c r="AC131" s="242">
        <f>SUMIFS('Key Inputs_BY Techs'!W:W,'Key Inputs_BY Techs'!$A:$A,$L131,'Key Inputs_BY Techs'!$C:$C,'RSD_BY Techs'!$B131,'Key Inputs_BY Techs'!$E:$E,'RSD_BY Techs'!$D131)</f>
        <v>161.16508035673948</v>
      </c>
      <c r="AD131" s="242">
        <f>SUMIFS('Key Inputs_BY Techs'!X:X,'Key Inputs_BY Techs'!$A:$A,$L131,'Key Inputs_BY Techs'!$C:$C,'RSD_BY Techs'!$B131,'Key Inputs_BY Techs'!$E:$E,'RSD_BY Techs'!$D131)</f>
        <v>419.83735149292647</v>
      </c>
      <c r="AE131" s="242">
        <f>SUMIFS('Key Inputs_BY Techs'!Y:Y,'Key Inputs_BY Techs'!$A:$A,$L131,'Key Inputs_BY Techs'!$C:$C,'RSD_BY Techs'!$B131,'Key Inputs_BY Techs'!$E:$E,'RSD_BY Techs'!$D131)</f>
        <v>583.32465727588874</v>
      </c>
      <c r="AF131" s="242">
        <f>SUMIFS('Key Inputs_BY Techs'!Z:Z,'Key Inputs_BY Techs'!$A:$A,$L131,'Key Inputs_BY Techs'!$C:$C,'RSD_BY Techs'!$B131,'Key Inputs_BY Techs'!$E:$E,'RSD_BY Techs'!$D131)</f>
        <v>0.66464606078021027</v>
      </c>
      <c r="AG131" s="242">
        <f>SUMIFS('Key Inputs_BY Techs'!AA:AA,'Key Inputs_BY Techs'!$A:$A,$L131,'Key Inputs_BY Techs'!$C:$C,'RSD_BY Techs'!$B131,'Key Inputs_BY Techs'!$E:$E,'RSD_BY Techs'!$D131)</f>
        <v>29.618183931045102</v>
      </c>
      <c r="AH131" s="242">
        <f>SUMIFS('Key Inputs_BY Techs'!AB:AB,'Key Inputs_BY Techs'!$A:$A,$L131,'Key Inputs_BY Techs'!$C:$C,'RSD_BY Techs'!$B131,'Key Inputs_BY Techs'!$E:$E,'RSD_BY Techs'!$D131)</f>
        <v>158.45279811011235</v>
      </c>
      <c r="AI131" s="242">
        <f>SUMIFS('Key Inputs_BY Techs'!AC:AC,'Key Inputs_BY Techs'!$A:$A,$L131,'Key Inputs_BY Techs'!$C:$C,'RSD_BY Techs'!$B131,'Key Inputs_BY Techs'!$E:$E,'RSD_BY Techs'!$D131)</f>
        <v>223.24580295015929</v>
      </c>
      <c r="AJ131" s="242">
        <f>SUMIFS('Key Inputs_BY Techs'!AD:AD,'Key Inputs_BY Techs'!$A:$A,$L131,'Key Inputs_BY Techs'!$C:$C,'RSD_BY Techs'!$B131,'Key Inputs_BY Techs'!$E:$E,'RSD_BY Techs'!$D131)</f>
        <v>167.70880686578661</v>
      </c>
      <c r="AK131" s="242">
        <f>SUMIFS('Key Inputs_BY Techs'!AE:AE,'Key Inputs_BY Techs'!$A:$A,$L131,'Key Inputs_BY Techs'!$C:$C,'RSD_BY Techs'!$B131,'Key Inputs_BY Techs'!$E:$E,'RSD_BY Techs'!$D131)</f>
        <v>1023.3487129899273</v>
      </c>
      <c r="AL131" s="242">
        <f>SUMIFS('Key Inputs_BY Techs'!AF:AF,'Key Inputs_BY Techs'!$A:$A,$L131,'Key Inputs_BY Techs'!$C:$C,'RSD_BY Techs'!$B131,'Key Inputs_BY Techs'!$E:$E,'RSD_BY Techs'!$D131)</f>
        <v>13.936332407154023</v>
      </c>
      <c r="AM131" s="242">
        <f>SUMIFS('Key Inputs_BY Techs'!AG:AG,'Key Inputs_BY Techs'!$A:$A,$L131,'Key Inputs_BY Techs'!$C:$C,'RSD_BY Techs'!$B131,'Key Inputs_BY Techs'!$E:$E,'RSD_BY Techs'!$D131)</f>
        <v>0</v>
      </c>
      <c r="AN131" s="242">
        <f>SUMIFS('Key Inputs_BY Techs'!AH:AH,'Key Inputs_BY Techs'!$A:$A,$L131,'Key Inputs_BY Techs'!$C:$C,'RSD_BY Techs'!$B131,'Key Inputs_BY Techs'!$E:$E,'RSD_BY Techs'!$D131)</f>
        <v>494.82377630582806</v>
      </c>
      <c r="AO131" s="242">
        <f>SUMIFS('Key Inputs_BY Techs'!AI:AI,'Key Inputs_BY Techs'!$A:$A,$L131,'Key Inputs_BY Techs'!$C:$C,'RSD_BY Techs'!$B131,'Key Inputs_BY Techs'!$E:$E,'RSD_BY Techs'!$D131)</f>
        <v>74.040978712654493</v>
      </c>
      <c r="AP131" s="242">
        <f>SUMIFS('Key Inputs_BY Techs'!AJ:AJ,'Key Inputs_BY Techs'!$A:$A,$L131,'Key Inputs_BY Techs'!$C:$C,'RSD_BY Techs'!$B131,'Key Inputs_BY Techs'!$E:$E,'RSD_BY Techs'!$D131)</f>
        <v>1425.5987164243086</v>
      </c>
    </row>
    <row r="132" spans="1:42" x14ac:dyDescent="0.25">
      <c r="A132" s="254" t="s">
        <v>122</v>
      </c>
      <c r="B132" s="254" t="s">
        <v>468</v>
      </c>
      <c r="C132" s="254" t="str">
        <f>Legend!$A$67</f>
        <v>Geothermal</v>
      </c>
      <c r="D132" s="254" t="str">
        <f>Legend!$B$67</f>
        <v>RSDGEO</v>
      </c>
      <c r="E132" s="254" t="str">
        <f t="shared" si="34"/>
        <v>RSDGEO</v>
      </c>
      <c r="F132" s="254"/>
      <c r="G132" s="254"/>
      <c r="I132" s="81" t="str">
        <f t="shared" si="35"/>
        <v>R-THL-HEX_GEO00</v>
      </c>
      <c r="J132" s="81" t="str">
        <f t="shared" si="35"/>
        <v>RSD Thermal uses technology: Geothermal - Existing</v>
      </c>
      <c r="L132" s="81" t="s">
        <v>377</v>
      </c>
      <c r="M132" s="87" t="str">
        <f>'Key Inputs_BY Techs'!F116</f>
        <v>GW</v>
      </c>
      <c r="O132" s="242">
        <f>SUMIFS('Key Inputs_BY Techs'!I:I,'Key Inputs_BY Techs'!$A:$A,$L132,'Key Inputs_BY Techs'!$C:$C,'RSD_BY Techs'!$B132,'Key Inputs_BY Techs'!$E:$E,'RSD_BY Techs'!$D132)</f>
        <v>0</v>
      </c>
      <c r="P132" s="242">
        <f>SUMIFS('Key Inputs_BY Techs'!J:J,'Key Inputs_BY Techs'!$A:$A,$L132,'Key Inputs_BY Techs'!$C:$C,'RSD_BY Techs'!$B132,'Key Inputs_BY Techs'!$E:$E,'RSD_BY Techs'!$D132)</f>
        <v>0</v>
      </c>
      <c r="Q132" s="242">
        <f>SUMIFS('Key Inputs_BY Techs'!K:K,'Key Inputs_BY Techs'!$A:$A,$L132,'Key Inputs_BY Techs'!$C:$C,'RSD_BY Techs'!$B132,'Key Inputs_BY Techs'!$E:$E,'RSD_BY Techs'!$D132)</f>
        <v>0</v>
      </c>
      <c r="R132" s="242">
        <f>SUMIFS('Key Inputs_BY Techs'!L:L,'Key Inputs_BY Techs'!$A:$A,$L132,'Key Inputs_BY Techs'!$C:$C,'RSD_BY Techs'!$B132,'Key Inputs_BY Techs'!$E:$E,'RSD_BY Techs'!$D132)</f>
        <v>0</v>
      </c>
      <c r="S132" s="242">
        <f>SUMIFS('Key Inputs_BY Techs'!M:M,'Key Inputs_BY Techs'!$A:$A,$L132,'Key Inputs_BY Techs'!$C:$C,'RSD_BY Techs'!$B132,'Key Inputs_BY Techs'!$E:$E,'RSD_BY Techs'!$D132)</f>
        <v>9.4045314858419105E-2</v>
      </c>
      <c r="T132" s="242">
        <f>SUMIFS('Key Inputs_BY Techs'!N:N,'Key Inputs_BY Techs'!$A:$A,$L132,'Key Inputs_BY Techs'!$C:$C,'RSD_BY Techs'!$B132,'Key Inputs_BY Techs'!$E:$E,'RSD_BY Techs'!$D132)</f>
        <v>0.10465134315581193</v>
      </c>
      <c r="U132" s="242">
        <f>SUMIFS('Key Inputs_BY Techs'!O:O,'Key Inputs_BY Techs'!$A:$A,$L132,'Key Inputs_BY Techs'!$C:$C,'RSD_BY Techs'!$B132,'Key Inputs_BY Techs'!$E:$E,'RSD_BY Techs'!$D132)</f>
        <v>0</v>
      </c>
      <c r="V132" s="242">
        <f>SUMIFS('Key Inputs_BY Techs'!P:P,'Key Inputs_BY Techs'!$A:$A,$L132,'Key Inputs_BY Techs'!$C:$C,'RSD_BY Techs'!$B132,'Key Inputs_BY Techs'!$E:$E,'RSD_BY Techs'!$D132)</f>
        <v>0</v>
      </c>
      <c r="W132" s="242">
        <f>SUMIFS('Key Inputs_BY Techs'!Q:Q,'Key Inputs_BY Techs'!$A:$A,$L132,'Key Inputs_BY Techs'!$C:$C,'RSD_BY Techs'!$B132,'Key Inputs_BY Techs'!$E:$E,'RSD_BY Techs'!$D132)</f>
        <v>0</v>
      </c>
      <c r="X132" s="242">
        <f>SUMIFS('Key Inputs_BY Techs'!R:R,'Key Inputs_BY Techs'!$A:$A,$L132,'Key Inputs_BY Techs'!$C:$C,'RSD_BY Techs'!$B132,'Key Inputs_BY Techs'!$E:$E,'RSD_BY Techs'!$D132)</f>
        <v>0</v>
      </c>
      <c r="Y132" s="242">
        <f>SUMIFS('Key Inputs_BY Techs'!S:S,'Key Inputs_BY Techs'!$A:$A,$L132,'Key Inputs_BY Techs'!$C:$C,'RSD_BY Techs'!$B132,'Key Inputs_BY Techs'!$E:$E,'RSD_BY Techs'!$D132)</f>
        <v>0</v>
      </c>
      <c r="Z132" s="242">
        <f>SUMIFS('Key Inputs_BY Techs'!T:T,'Key Inputs_BY Techs'!$A:$A,$L132,'Key Inputs_BY Techs'!$C:$C,'RSD_BY Techs'!$B132,'Key Inputs_BY Techs'!$E:$E,'RSD_BY Techs'!$D132)</f>
        <v>0</v>
      </c>
      <c r="AA132" s="242">
        <f>SUMIFS('Key Inputs_BY Techs'!U:U,'Key Inputs_BY Techs'!$A:$A,$L132,'Key Inputs_BY Techs'!$C:$C,'RSD_BY Techs'!$B132,'Key Inputs_BY Techs'!$E:$E,'RSD_BY Techs'!$D132)</f>
        <v>0</v>
      </c>
      <c r="AB132" s="242">
        <f>SUMIFS('Key Inputs_BY Techs'!V:V,'Key Inputs_BY Techs'!$A:$A,$L132,'Key Inputs_BY Techs'!$C:$C,'RSD_BY Techs'!$B132,'Key Inputs_BY Techs'!$E:$E,'RSD_BY Techs'!$D132)</f>
        <v>0.11114597995557264</v>
      </c>
      <c r="AC132" s="242">
        <f>SUMIFS('Key Inputs_BY Techs'!W:W,'Key Inputs_BY Techs'!$A:$A,$L132,'Key Inputs_BY Techs'!$C:$C,'RSD_BY Techs'!$B132,'Key Inputs_BY Techs'!$E:$E,'RSD_BY Techs'!$D132)</f>
        <v>0.27567384837573994</v>
      </c>
      <c r="AD132" s="242">
        <f>SUMIFS('Key Inputs_BY Techs'!X:X,'Key Inputs_BY Techs'!$A:$A,$L132,'Key Inputs_BY Techs'!$C:$C,'RSD_BY Techs'!$B132,'Key Inputs_BY Techs'!$E:$E,'RSD_BY Techs'!$D132)</f>
        <v>1.4186440054149319E-2</v>
      </c>
      <c r="AE132" s="242">
        <f>SUMIFS('Key Inputs_BY Techs'!Y:Y,'Key Inputs_BY Techs'!$A:$A,$L132,'Key Inputs_BY Techs'!$C:$C,'RSD_BY Techs'!$B132,'Key Inputs_BY Techs'!$E:$E,'RSD_BY Techs'!$D132)</f>
        <v>0.35844432533566145</v>
      </c>
      <c r="AF132" s="242">
        <f>SUMIFS('Key Inputs_BY Techs'!Z:Z,'Key Inputs_BY Techs'!$A:$A,$L132,'Key Inputs_BY Techs'!$C:$C,'RSD_BY Techs'!$B132,'Key Inputs_BY Techs'!$E:$E,'RSD_BY Techs'!$D132)</f>
        <v>0</v>
      </c>
      <c r="AG132" s="242">
        <f>SUMIFS('Key Inputs_BY Techs'!AA:AA,'Key Inputs_BY Techs'!$A:$A,$L132,'Key Inputs_BY Techs'!$C:$C,'RSD_BY Techs'!$B132,'Key Inputs_BY Techs'!$E:$E,'RSD_BY Techs'!$D132)</f>
        <v>0</v>
      </c>
      <c r="AH132" s="242">
        <f>SUMIFS('Key Inputs_BY Techs'!AB:AB,'Key Inputs_BY Techs'!$A:$A,$L132,'Key Inputs_BY Techs'!$C:$C,'RSD_BY Techs'!$B132,'Key Inputs_BY Techs'!$E:$E,'RSD_BY Techs'!$D132)</f>
        <v>1.064913412612515</v>
      </c>
      <c r="AI132" s="242">
        <f>SUMIFS('Key Inputs_BY Techs'!AC:AC,'Key Inputs_BY Techs'!$A:$A,$L132,'Key Inputs_BY Techs'!$C:$C,'RSD_BY Techs'!$B132,'Key Inputs_BY Techs'!$E:$E,'RSD_BY Techs'!$D132)</f>
        <v>0</v>
      </c>
      <c r="AJ132" s="242">
        <f>SUMIFS('Key Inputs_BY Techs'!AD:AD,'Key Inputs_BY Techs'!$A:$A,$L132,'Key Inputs_BY Techs'!$C:$C,'RSD_BY Techs'!$B132,'Key Inputs_BY Techs'!$E:$E,'RSD_BY Techs'!$D132)</f>
        <v>17.413894304206689</v>
      </c>
      <c r="AK132" s="242">
        <f>SUMIFS('Key Inputs_BY Techs'!AE:AE,'Key Inputs_BY Techs'!$A:$A,$L132,'Key Inputs_BY Techs'!$C:$C,'RSD_BY Techs'!$B132,'Key Inputs_BY Techs'!$E:$E,'RSD_BY Techs'!$D132)</f>
        <v>0</v>
      </c>
      <c r="AL132" s="242">
        <f>SUMIFS('Key Inputs_BY Techs'!AF:AF,'Key Inputs_BY Techs'!$A:$A,$L132,'Key Inputs_BY Techs'!$C:$C,'RSD_BY Techs'!$B132,'Key Inputs_BY Techs'!$E:$E,'RSD_BY Techs'!$D132)</f>
        <v>0</v>
      </c>
      <c r="AM132" s="242">
        <f>SUMIFS('Key Inputs_BY Techs'!AG:AG,'Key Inputs_BY Techs'!$A:$A,$L132,'Key Inputs_BY Techs'!$C:$C,'RSD_BY Techs'!$B132,'Key Inputs_BY Techs'!$E:$E,'RSD_BY Techs'!$D132)</f>
        <v>0</v>
      </c>
      <c r="AN132" s="242">
        <f>SUMIFS('Key Inputs_BY Techs'!AH:AH,'Key Inputs_BY Techs'!$A:$A,$L132,'Key Inputs_BY Techs'!$C:$C,'RSD_BY Techs'!$B132,'Key Inputs_BY Techs'!$E:$E,'RSD_BY Techs'!$D132)</f>
        <v>0</v>
      </c>
      <c r="AO132" s="242">
        <f>SUMIFS('Key Inputs_BY Techs'!AI:AI,'Key Inputs_BY Techs'!$A:$A,$L132,'Key Inputs_BY Techs'!$C:$C,'RSD_BY Techs'!$B132,'Key Inputs_BY Techs'!$E:$E,'RSD_BY Techs'!$D132)</f>
        <v>0.32981551891511551</v>
      </c>
      <c r="AP132" s="242">
        <f>SUMIFS('Key Inputs_BY Techs'!AJ:AJ,'Key Inputs_BY Techs'!$A:$A,$L132,'Key Inputs_BY Techs'!$C:$C,'RSD_BY Techs'!$B132,'Key Inputs_BY Techs'!$E:$E,'RSD_BY Techs'!$D132)</f>
        <v>3.6367323745325377</v>
      </c>
    </row>
    <row r="133" spans="1:42" x14ac:dyDescent="0.25">
      <c r="A133" s="254" t="s">
        <v>122</v>
      </c>
      <c r="B133" s="254" t="s">
        <v>468</v>
      </c>
      <c r="C133" s="254" t="str">
        <f>Legend!$A$68</f>
        <v>Heat</v>
      </c>
      <c r="D133" s="254" t="str">
        <f>Legend!$B$68</f>
        <v>RSDHET</v>
      </c>
      <c r="E133" s="254" t="str">
        <f t="shared" si="34"/>
        <v>RSDHET</v>
      </c>
      <c r="F133" s="254"/>
      <c r="G133" s="254"/>
      <c r="I133" s="81" t="str">
        <f t="shared" si="35"/>
        <v>R-THL-HEX_HET00</v>
      </c>
      <c r="J133" s="81" t="str">
        <f t="shared" si="35"/>
        <v>RSD Thermal uses technology: Heat - Existing</v>
      </c>
      <c r="L133" s="81" t="s">
        <v>377</v>
      </c>
      <c r="M133" s="87" t="str">
        <f>'Key Inputs_BY Techs'!F117</f>
        <v>GW</v>
      </c>
      <c r="O133" s="242">
        <f>SUMIFS('Key Inputs_BY Techs'!I:I,'Key Inputs_BY Techs'!$A:$A,$L133,'Key Inputs_BY Techs'!$C:$C,'RSD_BY Techs'!$B133,'Key Inputs_BY Techs'!$E:$E,'RSD_BY Techs'!$D133)</f>
        <v>0</v>
      </c>
      <c r="P133" s="242">
        <f>SUMIFS('Key Inputs_BY Techs'!J:J,'Key Inputs_BY Techs'!$A:$A,$L133,'Key Inputs_BY Techs'!$C:$C,'RSD_BY Techs'!$B133,'Key Inputs_BY Techs'!$E:$E,'RSD_BY Techs'!$D133)</f>
        <v>0</v>
      </c>
      <c r="Q133" s="242">
        <f>SUMIFS('Key Inputs_BY Techs'!K:K,'Key Inputs_BY Techs'!$A:$A,$L133,'Key Inputs_BY Techs'!$C:$C,'RSD_BY Techs'!$B133,'Key Inputs_BY Techs'!$E:$E,'RSD_BY Techs'!$D133)</f>
        <v>0</v>
      </c>
      <c r="R133" s="242">
        <f>SUMIFS('Key Inputs_BY Techs'!L:L,'Key Inputs_BY Techs'!$A:$A,$L133,'Key Inputs_BY Techs'!$C:$C,'RSD_BY Techs'!$B133,'Key Inputs_BY Techs'!$E:$E,'RSD_BY Techs'!$D133)</f>
        <v>0</v>
      </c>
      <c r="S133" s="242">
        <f>SUMIFS('Key Inputs_BY Techs'!M:M,'Key Inputs_BY Techs'!$A:$A,$L133,'Key Inputs_BY Techs'!$C:$C,'RSD_BY Techs'!$B133,'Key Inputs_BY Techs'!$E:$E,'RSD_BY Techs'!$D133)</f>
        <v>0</v>
      </c>
      <c r="T133" s="242">
        <f>SUMIFS('Key Inputs_BY Techs'!N:N,'Key Inputs_BY Techs'!$A:$A,$L133,'Key Inputs_BY Techs'!$C:$C,'RSD_BY Techs'!$B133,'Key Inputs_BY Techs'!$E:$E,'RSD_BY Techs'!$D133)</f>
        <v>49.348044682076441</v>
      </c>
      <c r="U133" s="242">
        <f>SUMIFS('Key Inputs_BY Techs'!O:O,'Key Inputs_BY Techs'!$A:$A,$L133,'Key Inputs_BY Techs'!$C:$C,'RSD_BY Techs'!$B133,'Key Inputs_BY Techs'!$E:$E,'RSD_BY Techs'!$D133)</f>
        <v>0</v>
      </c>
      <c r="V133" s="242">
        <f>SUMIFS('Key Inputs_BY Techs'!P:P,'Key Inputs_BY Techs'!$A:$A,$L133,'Key Inputs_BY Techs'!$C:$C,'RSD_BY Techs'!$B133,'Key Inputs_BY Techs'!$E:$E,'RSD_BY Techs'!$D133)</f>
        <v>0</v>
      </c>
      <c r="W133" s="242">
        <f>SUMIFS('Key Inputs_BY Techs'!Q:Q,'Key Inputs_BY Techs'!$A:$A,$L133,'Key Inputs_BY Techs'!$C:$C,'RSD_BY Techs'!$B133,'Key Inputs_BY Techs'!$E:$E,'RSD_BY Techs'!$D133)</f>
        <v>0</v>
      </c>
      <c r="X133" s="242">
        <f>SUMIFS('Key Inputs_BY Techs'!R:R,'Key Inputs_BY Techs'!$A:$A,$L133,'Key Inputs_BY Techs'!$C:$C,'RSD_BY Techs'!$B133,'Key Inputs_BY Techs'!$E:$E,'RSD_BY Techs'!$D133)</f>
        <v>0</v>
      </c>
      <c r="Y133" s="242">
        <f>SUMIFS('Key Inputs_BY Techs'!S:S,'Key Inputs_BY Techs'!$A:$A,$L133,'Key Inputs_BY Techs'!$C:$C,'RSD_BY Techs'!$B133,'Key Inputs_BY Techs'!$E:$E,'RSD_BY Techs'!$D133)</f>
        <v>0</v>
      </c>
      <c r="Z133" s="242">
        <f>SUMIFS('Key Inputs_BY Techs'!T:T,'Key Inputs_BY Techs'!$A:$A,$L133,'Key Inputs_BY Techs'!$C:$C,'RSD_BY Techs'!$B133,'Key Inputs_BY Techs'!$E:$E,'RSD_BY Techs'!$D133)</f>
        <v>335.06138602112003</v>
      </c>
      <c r="AA133" s="242">
        <f>SUMIFS('Key Inputs_BY Techs'!U:U,'Key Inputs_BY Techs'!$A:$A,$L133,'Key Inputs_BY Techs'!$C:$C,'RSD_BY Techs'!$B133,'Key Inputs_BY Techs'!$E:$E,'RSD_BY Techs'!$D133)</f>
        <v>56.241389442813194</v>
      </c>
      <c r="AB133" s="242">
        <f>SUMIFS('Key Inputs_BY Techs'!V:V,'Key Inputs_BY Techs'!$A:$A,$L133,'Key Inputs_BY Techs'!$C:$C,'RSD_BY Techs'!$B133,'Key Inputs_BY Techs'!$E:$E,'RSD_BY Techs'!$D133)</f>
        <v>8.9604105484339929</v>
      </c>
      <c r="AC133" s="242">
        <f>SUMIFS('Key Inputs_BY Techs'!W:W,'Key Inputs_BY Techs'!$A:$A,$L133,'Key Inputs_BY Techs'!$C:$C,'RSD_BY Techs'!$B133,'Key Inputs_BY Techs'!$E:$E,'RSD_BY Techs'!$D133)</f>
        <v>96.026880865910087</v>
      </c>
      <c r="AD133" s="242">
        <f>SUMIFS('Key Inputs_BY Techs'!X:X,'Key Inputs_BY Techs'!$A:$A,$L133,'Key Inputs_BY Techs'!$C:$C,'RSD_BY Techs'!$B133,'Key Inputs_BY Techs'!$E:$E,'RSD_BY Techs'!$D133)</f>
        <v>30.095565317601352</v>
      </c>
      <c r="AE133" s="242">
        <f>SUMIFS('Key Inputs_BY Techs'!Y:Y,'Key Inputs_BY Techs'!$A:$A,$L133,'Key Inputs_BY Techs'!$C:$C,'RSD_BY Techs'!$B133,'Key Inputs_BY Techs'!$E:$E,'RSD_BY Techs'!$D133)</f>
        <v>153.53117288193306</v>
      </c>
      <c r="AF133" s="242">
        <f>SUMIFS('Key Inputs_BY Techs'!Z:Z,'Key Inputs_BY Techs'!$A:$A,$L133,'Key Inputs_BY Techs'!$C:$C,'RSD_BY Techs'!$B133,'Key Inputs_BY Techs'!$E:$E,'RSD_BY Techs'!$D133)</f>
        <v>0</v>
      </c>
      <c r="AG133" s="242">
        <f>SUMIFS('Key Inputs_BY Techs'!AA:AA,'Key Inputs_BY Techs'!$A:$A,$L133,'Key Inputs_BY Techs'!$C:$C,'RSD_BY Techs'!$B133,'Key Inputs_BY Techs'!$E:$E,'RSD_BY Techs'!$D133)</f>
        <v>0</v>
      </c>
      <c r="AH133" s="242">
        <f>SUMIFS('Key Inputs_BY Techs'!AB:AB,'Key Inputs_BY Techs'!$A:$A,$L133,'Key Inputs_BY Techs'!$C:$C,'RSD_BY Techs'!$B133,'Key Inputs_BY Techs'!$E:$E,'RSD_BY Techs'!$D133)</f>
        <v>0.46490139658843888</v>
      </c>
      <c r="AI133" s="242">
        <f>SUMIFS('Key Inputs_BY Techs'!AC:AC,'Key Inputs_BY Techs'!$A:$A,$L133,'Key Inputs_BY Techs'!$C:$C,'RSD_BY Techs'!$B133,'Key Inputs_BY Techs'!$E:$E,'RSD_BY Techs'!$D133)</f>
        <v>0</v>
      </c>
      <c r="AJ133" s="242">
        <f>SUMIFS('Key Inputs_BY Techs'!AD:AD,'Key Inputs_BY Techs'!$A:$A,$L133,'Key Inputs_BY Techs'!$C:$C,'RSD_BY Techs'!$B133,'Key Inputs_BY Techs'!$E:$E,'RSD_BY Techs'!$D133)</f>
        <v>0.92869505972685651</v>
      </c>
      <c r="AK133" s="242">
        <f>SUMIFS('Key Inputs_BY Techs'!AE:AE,'Key Inputs_BY Techs'!$A:$A,$L133,'Key Inputs_BY Techs'!$C:$C,'RSD_BY Techs'!$B133,'Key Inputs_BY Techs'!$E:$E,'RSD_BY Techs'!$D133)</f>
        <v>0</v>
      </c>
      <c r="AL133" s="242">
        <f>SUMIFS('Key Inputs_BY Techs'!AF:AF,'Key Inputs_BY Techs'!$A:$A,$L133,'Key Inputs_BY Techs'!$C:$C,'RSD_BY Techs'!$B133,'Key Inputs_BY Techs'!$E:$E,'RSD_BY Techs'!$D133)</f>
        <v>0</v>
      </c>
      <c r="AM133" s="242">
        <f>SUMIFS('Key Inputs_BY Techs'!AG:AG,'Key Inputs_BY Techs'!$A:$A,$L133,'Key Inputs_BY Techs'!$C:$C,'RSD_BY Techs'!$B133,'Key Inputs_BY Techs'!$E:$E,'RSD_BY Techs'!$D133)</f>
        <v>0</v>
      </c>
      <c r="AN133" s="242">
        <f>SUMIFS('Key Inputs_BY Techs'!AH:AH,'Key Inputs_BY Techs'!$A:$A,$L133,'Key Inputs_BY Techs'!$C:$C,'RSD_BY Techs'!$B133,'Key Inputs_BY Techs'!$E:$E,'RSD_BY Techs'!$D133)</f>
        <v>393.76395487550906</v>
      </c>
      <c r="AO133" s="242">
        <f>SUMIFS('Key Inputs_BY Techs'!AI:AI,'Key Inputs_BY Techs'!$A:$A,$L133,'Key Inputs_BY Techs'!$C:$C,'RSD_BY Techs'!$B133,'Key Inputs_BY Techs'!$E:$E,'RSD_BY Techs'!$D133)</f>
        <v>18.186472114339175</v>
      </c>
      <c r="AP133" s="242">
        <f>SUMIFS('Key Inputs_BY Techs'!AJ:AJ,'Key Inputs_BY Techs'!$A:$A,$L133,'Key Inputs_BY Techs'!$C:$C,'RSD_BY Techs'!$B133,'Key Inputs_BY Techs'!$E:$E,'RSD_BY Techs'!$D133)</f>
        <v>0</v>
      </c>
    </row>
    <row r="134" spans="1:42" x14ac:dyDescent="0.25">
      <c r="A134" s="254" t="s">
        <v>122</v>
      </c>
      <c r="B134" s="254" t="s">
        <v>468</v>
      </c>
      <c r="C134" s="254" t="str">
        <f>Legend!$A$70</f>
        <v>LPG</v>
      </c>
      <c r="D134" s="254" t="str">
        <f>Legend!$B$70</f>
        <v>RSDLPG</v>
      </c>
      <c r="E134" s="254" t="str">
        <f t="shared" si="34"/>
        <v>RSDLPG</v>
      </c>
      <c r="F134" s="254"/>
      <c r="G134" s="254"/>
      <c r="I134" s="81" t="str">
        <f t="shared" si="35"/>
        <v>R-THL-BLR_LPG00</v>
      </c>
      <c r="J134" s="81" t="str">
        <f t="shared" si="35"/>
        <v>RSD Thermal uses technology: LPG - Existing</v>
      </c>
      <c r="L134" s="81" t="s">
        <v>377</v>
      </c>
      <c r="M134" s="87" t="str">
        <f>'Key Inputs_BY Techs'!F118</f>
        <v>GW</v>
      </c>
      <c r="O134" s="242">
        <f>SUMIFS('Key Inputs_BY Techs'!I:I,'Key Inputs_BY Techs'!$A:$A,$L134,'Key Inputs_BY Techs'!$C:$C,'RSD_BY Techs'!$B134,'Key Inputs_BY Techs'!$E:$E,'RSD_BY Techs'!$D134)</f>
        <v>4.0677679795643185</v>
      </c>
      <c r="P134" s="242">
        <f>SUMIFS('Key Inputs_BY Techs'!J:J,'Key Inputs_BY Techs'!$A:$A,$L134,'Key Inputs_BY Techs'!$C:$C,'RSD_BY Techs'!$B134,'Key Inputs_BY Techs'!$E:$E,'RSD_BY Techs'!$D134)</f>
        <v>48.869760721167445</v>
      </c>
      <c r="Q134" s="242">
        <f>SUMIFS('Key Inputs_BY Techs'!K:K,'Key Inputs_BY Techs'!$A:$A,$L134,'Key Inputs_BY Techs'!$C:$C,'RSD_BY Techs'!$B134,'Key Inputs_BY Techs'!$E:$E,'RSD_BY Techs'!$D134)</f>
        <v>6.0166093395200475</v>
      </c>
      <c r="R134" s="242">
        <f>SUMIFS('Key Inputs_BY Techs'!L:L,'Key Inputs_BY Techs'!$A:$A,$L134,'Key Inputs_BY Techs'!$C:$C,'RSD_BY Techs'!$B134,'Key Inputs_BY Techs'!$E:$E,'RSD_BY Techs'!$D134)</f>
        <v>3.6547885775752982</v>
      </c>
      <c r="S134" s="242">
        <f>SUMIFS('Key Inputs_BY Techs'!M:M,'Key Inputs_BY Techs'!$A:$A,$L134,'Key Inputs_BY Techs'!$C:$C,'RSD_BY Techs'!$B134,'Key Inputs_BY Techs'!$E:$E,'RSD_BY Techs'!$D134)</f>
        <v>8.4965912109722943</v>
      </c>
      <c r="T134" s="242">
        <f>SUMIFS('Key Inputs_BY Techs'!N:N,'Key Inputs_BY Techs'!$A:$A,$L134,'Key Inputs_BY Techs'!$C:$C,'RSD_BY Techs'!$B134,'Key Inputs_BY Techs'!$E:$E,'RSD_BY Techs'!$D134)</f>
        <v>0.81182644727743469</v>
      </c>
      <c r="U134" s="242">
        <f>SUMIFS('Key Inputs_BY Techs'!O:O,'Key Inputs_BY Techs'!$A:$A,$L134,'Key Inputs_BY Techs'!$C:$C,'RSD_BY Techs'!$B134,'Key Inputs_BY Techs'!$E:$E,'RSD_BY Techs'!$D134)</f>
        <v>1.322564418440517</v>
      </c>
      <c r="V134" s="242">
        <f>SUMIFS('Key Inputs_BY Techs'!P:P,'Key Inputs_BY Techs'!$A:$A,$L134,'Key Inputs_BY Techs'!$C:$C,'RSD_BY Techs'!$B134,'Key Inputs_BY Techs'!$E:$E,'RSD_BY Techs'!$D134)</f>
        <v>0.57057594827754443</v>
      </c>
      <c r="W134" s="242">
        <f>SUMIFS('Key Inputs_BY Techs'!Q:Q,'Key Inputs_BY Techs'!$A:$A,$L134,'Key Inputs_BY Techs'!$C:$C,'RSD_BY Techs'!$B134,'Key Inputs_BY Techs'!$E:$E,'RSD_BY Techs'!$D134)</f>
        <v>19.406181014837962</v>
      </c>
      <c r="X134" s="242">
        <f>SUMIFS('Key Inputs_BY Techs'!R:R,'Key Inputs_BY Techs'!$A:$A,$L134,'Key Inputs_BY Techs'!$C:$C,'RSD_BY Techs'!$B134,'Key Inputs_BY Techs'!$E:$E,'RSD_BY Techs'!$D134)</f>
        <v>3.0627162743266756</v>
      </c>
      <c r="Y134" s="242">
        <f>SUMIFS('Key Inputs_BY Techs'!S:S,'Key Inputs_BY Techs'!$A:$A,$L134,'Key Inputs_BY Techs'!$C:$C,'RSD_BY Techs'!$B134,'Key Inputs_BY Techs'!$E:$E,'RSD_BY Techs'!$D134)</f>
        <v>16.876895025490008</v>
      </c>
      <c r="Z134" s="242">
        <f>SUMIFS('Key Inputs_BY Techs'!T:T,'Key Inputs_BY Techs'!$A:$A,$L134,'Key Inputs_BY Techs'!$C:$C,'RSD_BY Techs'!$B134,'Key Inputs_BY Techs'!$E:$E,'RSD_BY Techs'!$D134)</f>
        <v>157.9424011848819</v>
      </c>
      <c r="AA134" s="242">
        <f>SUMIFS('Key Inputs_BY Techs'!U:U,'Key Inputs_BY Techs'!$A:$A,$L134,'Key Inputs_BY Techs'!$C:$C,'RSD_BY Techs'!$B134,'Key Inputs_BY Techs'!$E:$E,'RSD_BY Techs'!$D134)</f>
        <v>1.1152769051238154</v>
      </c>
      <c r="AB134" s="242">
        <f>SUMIFS('Key Inputs_BY Techs'!V:V,'Key Inputs_BY Techs'!$A:$A,$L134,'Key Inputs_BY Techs'!$C:$C,'RSD_BY Techs'!$B134,'Key Inputs_BY Techs'!$E:$E,'RSD_BY Techs'!$D134)</f>
        <v>2.8659548813400941</v>
      </c>
      <c r="AC134" s="242">
        <f>SUMIFS('Key Inputs_BY Techs'!W:W,'Key Inputs_BY Techs'!$A:$A,$L134,'Key Inputs_BY Techs'!$C:$C,'RSD_BY Techs'!$B134,'Key Inputs_BY Techs'!$E:$E,'RSD_BY Techs'!$D134)</f>
        <v>6.5908989383623577</v>
      </c>
      <c r="AD134" s="242">
        <f>SUMIFS('Key Inputs_BY Techs'!X:X,'Key Inputs_BY Techs'!$A:$A,$L134,'Key Inputs_BY Techs'!$C:$C,'RSD_BY Techs'!$B134,'Key Inputs_BY Techs'!$E:$E,'RSD_BY Techs'!$D134)</f>
        <v>51.727877301392475</v>
      </c>
      <c r="AE134" s="242">
        <f>SUMIFS('Key Inputs_BY Techs'!Y:Y,'Key Inputs_BY Techs'!$A:$A,$L134,'Key Inputs_BY Techs'!$C:$C,'RSD_BY Techs'!$B134,'Key Inputs_BY Techs'!$E:$E,'RSD_BY Techs'!$D134)</f>
        <v>17.968420266322493</v>
      </c>
      <c r="AF134" s="242">
        <f>SUMIFS('Key Inputs_BY Techs'!Z:Z,'Key Inputs_BY Techs'!$A:$A,$L134,'Key Inputs_BY Techs'!$C:$C,'RSD_BY Techs'!$B134,'Key Inputs_BY Techs'!$E:$E,'RSD_BY Techs'!$D134)</f>
        <v>4.8280584810126514</v>
      </c>
      <c r="AG134" s="242">
        <f>SUMIFS('Key Inputs_BY Techs'!AA:AA,'Key Inputs_BY Techs'!$A:$A,$L134,'Key Inputs_BY Techs'!$C:$C,'RSD_BY Techs'!$B134,'Key Inputs_BY Techs'!$E:$E,'RSD_BY Techs'!$D134)</f>
        <v>12.874255518178121</v>
      </c>
      <c r="AH134" s="242">
        <f>SUMIFS('Key Inputs_BY Techs'!AB:AB,'Key Inputs_BY Techs'!$A:$A,$L134,'Key Inputs_BY Techs'!$C:$C,'RSD_BY Techs'!$B134,'Key Inputs_BY Techs'!$E:$E,'RSD_BY Techs'!$D134)</f>
        <v>96.209278269316727</v>
      </c>
      <c r="AI134" s="242">
        <f>SUMIFS('Key Inputs_BY Techs'!AC:AC,'Key Inputs_BY Techs'!$A:$A,$L134,'Key Inputs_BY Techs'!$C:$C,'RSD_BY Techs'!$B134,'Key Inputs_BY Techs'!$E:$E,'RSD_BY Techs'!$D134)</f>
        <v>68.635206390202953</v>
      </c>
      <c r="AJ134" s="242">
        <f>SUMIFS('Key Inputs_BY Techs'!AD:AD,'Key Inputs_BY Techs'!$A:$A,$L134,'Key Inputs_BY Techs'!$C:$C,'RSD_BY Techs'!$B134,'Key Inputs_BY Techs'!$E:$E,'RSD_BY Techs'!$D134)</f>
        <v>9.6580612165946427</v>
      </c>
      <c r="AK134" s="242">
        <f>SUMIFS('Key Inputs_BY Techs'!AE:AE,'Key Inputs_BY Techs'!$A:$A,$L134,'Key Inputs_BY Techs'!$C:$C,'RSD_BY Techs'!$B134,'Key Inputs_BY Techs'!$E:$E,'RSD_BY Techs'!$D134)</f>
        <v>72.214038569118486</v>
      </c>
      <c r="AL134" s="242">
        <f>SUMIFS('Key Inputs_BY Techs'!AF:AF,'Key Inputs_BY Techs'!$A:$A,$L134,'Key Inputs_BY Techs'!$C:$C,'RSD_BY Techs'!$B134,'Key Inputs_BY Techs'!$E:$E,'RSD_BY Techs'!$D134)</f>
        <v>123.00553149621098</v>
      </c>
      <c r="AM134" s="242">
        <f>SUMIFS('Key Inputs_BY Techs'!AG:AG,'Key Inputs_BY Techs'!$A:$A,$L134,'Key Inputs_BY Techs'!$C:$C,'RSD_BY Techs'!$B134,'Key Inputs_BY Techs'!$E:$E,'RSD_BY Techs'!$D134)</f>
        <v>2.1371534144498483</v>
      </c>
      <c r="AN134" s="242">
        <f>SUMIFS('Key Inputs_BY Techs'!AH:AH,'Key Inputs_BY Techs'!$A:$A,$L134,'Key Inputs_BY Techs'!$C:$C,'RSD_BY Techs'!$B134,'Key Inputs_BY Techs'!$E:$E,'RSD_BY Techs'!$D134)</f>
        <v>2.1950453328229704</v>
      </c>
      <c r="AO134" s="242">
        <f>SUMIFS('Key Inputs_BY Techs'!AI:AI,'Key Inputs_BY Techs'!$A:$A,$L134,'Key Inputs_BY Techs'!$C:$C,'RSD_BY Techs'!$B134,'Key Inputs_BY Techs'!$E:$E,'RSD_BY Techs'!$D134)</f>
        <v>6.9433284910253263</v>
      </c>
      <c r="AP134" s="242">
        <f>SUMIFS('Key Inputs_BY Techs'!AJ:AJ,'Key Inputs_BY Techs'!$A:$A,$L134,'Key Inputs_BY Techs'!$C:$C,'RSD_BY Techs'!$B134,'Key Inputs_BY Techs'!$E:$E,'RSD_BY Techs'!$D134)</f>
        <v>57.133473625984458</v>
      </c>
    </row>
    <row r="135" spans="1:42" x14ac:dyDescent="0.25">
      <c r="A135" s="254" t="s">
        <v>122</v>
      </c>
      <c r="B135" s="254" t="s">
        <v>468</v>
      </c>
      <c r="C135" s="254" t="str">
        <f>Legend!$A$73&amp;", "&amp;Legend!$A$69</f>
        <v>Oil, Liquid biofuels</v>
      </c>
      <c r="D135" s="254" t="str">
        <f>Legend!$B$73&amp;", "&amp;Legend!$B$69</f>
        <v>RSDOIL, RSDBLQ</v>
      </c>
      <c r="E135" s="254" t="str">
        <f t="shared" si="34"/>
        <v>RSDOIL</v>
      </c>
      <c r="F135" s="254"/>
      <c r="G135" s="254"/>
      <c r="I135" s="81" t="str">
        <f t="shared" si="35"/>
        <v>R-THL-BLR_OIL00</v>
      </c>
      <c r="J135" s="81" t="str">
        <f t="shared" si="35"/>
        <v>RSD Thermal uses technology: Oil, Liquid biofuels - Existing</v>
      </c>
      <c r="L135" s="81" t="s">
        <v>377</v>
      </c>
      <c r="M135" s="87" t="str">
        <f>'Key Inputs_BY Techs'!F119</f>
        <v>GW</v>
      </c>
      <c r="O135" s="242">
        <f>SUMIFS('Key Inputs_BY Techs'!I:I,'Key Inputs_BY Techs'!$A:$A,$L135,'Key Inputs_BY Techs'!$C:$C,'RSD_BY Techs'!$B135,'Key Inputs_BY Techs'!$E:$E,'RSD_BY Techs'!$D135)</f>
        <v>1.3023672944807267</v>
      </c>
      <c r="P135" s="242">
        <f>SUMIFS('Key Inputs_BY Techs'!J:J,'Key Inputs_BY Techs'!$A:$A,$L135,'Key Inputs_BY Techs'!$C:$C,'RSD_BY Techs'!$B135,'Key Inputs_BY Techs'!$E:$E,'RSD_BY Techs'!$D135)</f>
        <v>0.60755363037391474</v>
      </c>
      <c r="Q135" s="242">
        <f>SUMIFS('Key Inputs_BY Techs'!K:K,'Key Inputs_BY Techs'!$A:$A,$L135,'Key Inputs_BY Techs'!$C:$C,'RSD_BY Techs'!$B135,'Key Inputs_BY Techs'!$E:$E,'RSD_BY Techs'!$D135)</f>
        <v>1.8598145922216283</v>
      </c>
      <c r="R135" s="242">
        <f>SUMIFS('Key Inputs_BY Techs'!L:L,'Key Inputs_BY Techs'!$A:$A,$L135,'Key Inputs_BY Techs'!$C:$C,'RSD_BY Techs'!$B135,'Key Inputs_BY Techs'!$E:$E,'RSD_BY Techs'!$D135)</f>
        <v>3.3697489736502027</v>
      </c>
      <c r="S135" s="242">
        <f>SUMIFS('Key Inputs_BY Techs'!M:M,'Key Inputs_BY Techs'!$A:$A,$L135,'Key Inputs_BY Techs'!$C:$C,'RSD_BY Techs'!$B135,'Key Inputs_BY Techs'!$E:$E,'RSD_BY Techs'!$D135)</f>
        <v>5.6800217136168778E-2</v>
      </c>
      <c r="T135" s="242">
        <f>SUMIFS('Key Inputs_BY Techs'!N:N,'Key Inputs_BY Techs'!$A:$A,$L135,'Key Inputs_BY Techs'!$C:$C,'RSD_BY Techs'!$B135,'Key Inputs_BY Techs'!$E:$E,'RSD_BY Techs'!$D135)</f>
        <v>0.76651634713126848</v>
      </c>
      <c r="U135" s="242">
        <f>SUMIFS('Key Inputs_BY Techs'!O:O,'Key Inputs_BY Techs'!$A:$A,$L135,'Key Inputs_BY Techs'!$C:$C,'RSD_BY Techs'!$B135,'Key Inputs_BY Techs'!$E:$E,'RSD_BY Techs'!$D135)</f>
        <v>0.29877431467221943</v>
      </c>
      <c r="V135" s="242">
        <f>SUMIFS('Key Inputs_BY Techs'!P:P,'Key Inputs_BY Techs'!$A:$A,$L135,'Key Inputs_BY Techs'!$C:$C,'RSD_BY Techs'!$B135,'Key Inputs_BY Techs'!$E:$E,'RSD_BY Techs'!$D135)</f>
        <v>0.23401121155566773</v>
      </c>
      <c r="W135" s="242">
        <f>SUMIFS('Key Inputs_BY Techs'!Q:Q,'Key Inputs_BY Techs'!$A:$A,$L135,'Key Inputs_BY Techs'!$C:$C,'RSD_BY Techs'!$B135,'Key Inputs_BY Techs'!$E:$E,'RSD_BY Techs'!$D135)</f>
        <v>6.3626119818921724E-3</v>
      </c>
      <c r="X135" s="242">
        <f>SUMIFS('Key Inputs_BY Techs'!R:R,'Key Inputs_BY Techs'!$A:$A,$L135,'Key Inputs_BY Techs'!$C:$C,'RSD_BY Techs'!$B135,'Key Inputs_BY Techs'!$E:$E,'RSD_BY Techs'!$D135)</f>
        <v>10.93425918158005</v>
      </c>
      <c r="Y135" s="242">
        <f>SUMIFS('Key Inputs_BY Techs'!S:S,'Key Inputs_BY Techs'!$A:$A,$L135,'Key Inputs_BY Techs'!$C:$C,'RSD_BY Techs'!$B135,'Key Inputs_BY Techs'!$E:$E,'RSD_BY Techs'!$D135)</f>
        <v>1.6893185464703799</v>
      </c>
      <c r="Z135" s="242">
        <f>SUMIFS('Key Inputs_BY Techs'!T:T,'Key Inputs_BY Techs'!$A:$A,$L135,'Key Inputs_BY Techs'!$C:$C,'RSD_BY Techs'!$B135,'Key Inputs_BY Techs'!$E:$E,'RSD_BY Techs'!$D135)</f>
        <v>246.98382909379521</v>
      </c>
      <c r="AA135" s="242">
        <f>SUMIFS('Key Inputs_BY Techs'!U:U,'Key Inputs_BY Techs'!$A:$A,$L135,'Key Inputs_BY Techs'!$C:$C,'RSD_BY Techs'!$B135,'Key Inputs_BY Techs'!$E:$E,'RSD_BY Techs'!$D135)</f>
        <v>5.4608662021128421E-2</v>
      </c>
      <c r="AB135" s="242">
        <f>SUMIFS('Key Inputs_BY Techs'!V:V,'Key Inputs_BY Techs'!$A:$A,$L135,'Key Inputs_BY Techs'!$C:$C,'RSD_BY Techs'!$B135,'Key Inputs_BY Techs'!$E:$E,'RSD_BY Techs'!$D135)</f>
        <v>43.446128225443225</v>
      </c>
      <c r="AC135" s="242">
        <f>SUMIFS('Key Inputs_BY Techs'!W:W,'Key Inputs_BY Techs'!$A:$A,$L135,'Key Inputs_BY Techs'!$C:$C,'RSD_BY Techs'!$B135,'Key Inputs_BY Techs'!$E:$E,'RSD_BY Techs'!$D135)</f>
        <v>1.7825308416589221</v>
      </c>
      <c r="AD135" s="242">
        <f>SUMIFS('Key Inputs_BY Techs'!X:X,'Key Inputs_BY Techs'!$A:$A,$L135,'Key Inputs_BY Techs'!$C:$C,'RSD_BY Techs'!$B135,'Key Inputs_BY Techs'!$E:$E,'RSD_BY Techs'!$D135)</f>
        <v>111.88075487993068</v>
      </c>
      <c r="AE135" s="242">
        <f>SUMIFS('Key Inputs_BY Techs'!Y:Y,'Key Inputs_BY Techs'!$A:$A,$L135,'Key Inputs_BY Techs'!$C:$C,'RSD_BY Techs'!$B135,'Key Inputs_BY Techs'!$E:$E,'RSD_BY Techs'!$D135)</f>
        <v>266.49696564258176</v>
      </c>
      <c r="AF135" s="242">
        <f>SUMIFS('Key Inputs_BY Techs'!Z:Z,'Key Inputs_BY Techs'!$A:$A,$L135,'Key Inputs_BY Techs'!$C:$C,'RSD_BY Techs'!$B135,'Key Inputs_BY Techs'!$E:$E,'RSD_BY Techs'!$D135)</f>
        <v>8.9290502529718783</v>
      </c>
      <c r="AG135" s="242">
        <f>SUMIFS('Key Inputs_BY Techs'!AA:AA,'Key Inputs_BY Techs'!$A:$A,$L135,'Key Inputs_BY Techs'!$C:$C,'RSD_BY Techs'!$B135,'Key Inputs_BY Techs'!$E:$E,'RSD_BY Techs'!$D135)</f>
        <v>1.1462465406623878</v>
      </c>
      <c r="AH135" s="242">
        <f>SUMIFS('Key Inputs_BY Techs'!AB:AB,'Key Inputs_BY Techs'!$A:$A,$L135,'Key Inputs_BY Techs'!$C:$C,'RSD_BY Techs'!$B135,'Key Inputs_BY Techs'!$E:$E,'RSD_BY Techs'!$D135)</f>
        <v>146.26500900955529</v>
      </c>
      <c r="AI135" s="242">
        <f>SUMIFS('Key Inputs_BY Techs'!AC:AC,'Key Inputs_BY Techs'!$A:$A,$L135,'Key Inputs_BY Techs'!$C:$C,'RSD_BY Techs'!$B135,'Key Inputs_BY Techs'!$E:$E,'RSD_BY Techs'!$D135)</f>
        <v>3.776455823547781</v>
      </c>
      <c r="AJ135" s="242">
        <f>SUMIFS('Key Inputs_BY Techs'!AD:AD,'Key Inputs_BY Techs'!$A:$A,$L135,'Key Inputs_BY Techs'!$C:$C,'RSD_BY Techs'!$B135,'Key Inputs_BY Techs'!$E:$E,'RSD_BY Techs'!$D135)</f>
        <v>6.0364118444602797</v>
      </c>
      <c r="AK135" s="242">
        <f>SUMIFS('Key Inputs_BY Techs'!AE:AE,'Key Inputs_BY Techs'!$A:$A,$L135,'Key Inputs_BY Techs'!$C:$C,'RSD_BY Techs'!$B135,'Key Inputs_BY Techs'!$E:$E,'RSD_BY Techs'!$D135)</f>
        <v>47.547484274434154</v>
      </c>
      <c r="AL135" s="242">
        <f>SUMIFS('Key Inputs_BY Techs'!AF:AF,'Key Inputs_BY Techs'!$A:$A,$L135,'Key Inputs_BY Techs'!$C:$C,'RSD_BY Techs'!$B135,'Key Inputs_BY Techs'!$E:$E,'RSD_BY Techs'!$D135)</f>
        <v>0</v>
      </c>
      <c r="AM135" s="242">
        <f>SUMIFS('Key Inputs_BY Techs'!AG:AG,'Key Inputs_BY Techs'!$A:$A,$L135,'Key Inputs_BY Techs'!$C:$C,'RSD_BY Techs'!$B135,'Key Inputs_BY Techs'!$E:$E,'RSD_BY Techs'!$D135)</f>
        <v>3.037618148261481</v>
      </c>
      <c r="AN135" s="242">
        <f>SUMIFS('Key Inputs_BY Techs'!AH:AH,'Key Inputs_BY Techs'!$A:$A,$L135,'Key Inputs_BY Techs'!$C:$C,'RSD_BY Techs'!$B135,'Key Inputs_BY Techs'!$E:$E,'RSD_BY Techs'!$D135)</f>
        <v>0.44356693981060025</v>
      </c>
      <c r="AO135" s="242">
        <f>SUMIFS('Key Inputs_BY Techs'!AI:AI,'Key Inputs_BY Techs'!$A:$A,$L135,'Key Inputs_BY Techs'!$C:$C,'RSD_BY Techs'!$B135,'Key Inputs_BY Techs'!$E:$E,'RSD_BY Techs'!$D135)</f>
        <v>23.002853952318951</v>
      </c>
      <c r="AP135" s="242">
        <f>SUMIFS('Key Inputs_BY Techs'!AJ:AJ,'Key Inputs_BY Techs'!$A:$A,$L135,'Key Inputs_BY Techs'!$C:$C,'RSD_BY Techs'!$B135,'Key Inputs_BY Techs'!$E:$E,'RSD_BY Techs'!$D135)</f>
        <v>136.38632784917112</v>
      </c>
    </row>
    <row r="136" spans="1:42" x14ac:dyDescent="0.25">
      <c r="A136" s="281" t="s">
        <v>122</v>
      </c>
      <c r="B136" s="281" t="s">
        <v>468</v>
      </c>
      <c r="C136" s="281" t="str">
        <f>Legend!$A$74</f>
        <v>Solar</v>
      </c>
      <c r="D136" s="281" t="str">
        <f>Legend!$B$74</f>
        <v>RSDSOL</v>
      </c>
      <c r="E136" s="281" t="str">
        <f t="shared" si="34"/>
        <v>RSDSOL</v>
      </c>
      <c r="F136" s="281"/>
      <c r="G136" s="254"/>
      <c r="I136" s="84" t="str">
        <f t="shared" si="35"/>
        <v>R-THL-HEX_SOL00</v>
      </c>
      <c r="J136" s="84" t="str">
        <f t="shared" si="35"/>
        <v>RSD Thermal uses technology: Solar - Existing</v>
      </c>
      <c r="K136" s="84"/>
      <c r="L136" s="84" t="s">
        <v>377</v>
      </c>
      <c r="M136" s="92" t="str">
        <f>'Key Inputs_BY Techs'!F120</f>
        <v>GW</v>
      </c>
      <c r="N136" s="84"/>
      <c r="O136" s="243">
        <f>SUMIFS('Key Inputs_BY Techs'!I:I,'Key Inputs_BY Techs'!$A:$A,$L136,'Key Inputs_BY Techs'!$C:$C,'RSD_BY Techs'!$B136,'Key Inputs_BY Techs'!$E:$E,'RSD_BY Techs'!$D136)</f>
        <v>0</v>
      </c>
      <c r="P136" s="243">
        <f>SUMIFS('Key Inputs_BY Techs'!J:J,'Key Inputs_BY Techs'!$A:$A,$L136,'Key Inputs_BY Techs'!$C:$C,'RSD_BY Techs'!$B136,'Key Inputs_BY Techs'!$E:$E,'RSD_BY Techs'!$D136)</f>
        <v>1.7330455801084952</v>
      </c>
      <c r="Q136" s="243">
        <f>SUMIFS('Key Inputs_BY Techs'!K:K,'Key Inputs_BY Techs'!$A:$A,$L136,'Key Inputs_BY Techs'!$C:$C,'RSD_BY Techs'!$B136,'Key Inputs_BY Techs'!$E:$E,'RSD_BY Techs'!$D136)</f>
        <v>0</v>
      </c>
      <c r="R136" s="243">
        <f>SUMIFS('Key Inputs_BY Techs'!L:L,'Key Inputs_BY Techs'!$A:$A,$L136,'Key Inputs_BY Techs'!$C:$C,'RSD_BY Techs'!$B136,'Key Inputs_BY Techs'!$E:$E,'RSD_BY Techs'!$D136)</f>
        <v>0</v>
      </c>
      <c r="S136" s="243">
        <f>SUMIFS('Key Inputs_BY Techs'!M:M,'Key Inputs_BY Techs'!$A:$A,$L136,'Key Inputs_BY Techs'!$C:$C,'RSD_BY Techs'!$B136,'Key Inputs_BY Techs'!$E:$E,'RSD_BY Techs'!$D136)</f>
        <v>10.870129819125033</v>
      </c>
      <c r="T136" s="243">
        <f>SUMIFS('Key Inputs_BY Techs'!N:N,'Key Inputs_BY Techs'!$A:$A,$L136,'Key Inputs_BY Techs'!$C:$C,'RSD_BY Techs'!$B136,'Key Inputs_BY Techs'!$E:$E,'RSD_BY Techs'!$D136)</f>
        <v>9.9381733450352172E-2</v>
      </c>
      <c r="U136" s="243">
        <f>SUMIFS('Key Inputs_BY Techs'!O:O,'Key Inputs_BY Techs'!$A:$A,$L136,'Key Inputs_BY Techs'!$C:$C,'RSD_BY Techs'!$B136,'Key Inputs_BY Techs'!$E:$E,'RSD_BY Techs'!$D136)</f>
        <v>7.1605929749820399E-2</v>
      </c>
      <c r="V136" s="243">
        <f>SUMIFS('Key Inputs_BY Techs'!P:P,'Key Inputs_BY Techs'!$A:$A,$L136,'Key Inputs_BY Techs'!$C:$C,'RSD_BY Techs'!$B136,'Key Inputs_BY Techs'!$E:$E,'RSD_BY Techs'!$D136)</f>
        <v>0</v>
      </c>
      <c r="W136" s="243">
        <f>SUMIFS('Key Inputs_BY Techs'!Q:Q,'Key Inputs_BY Techs'!$A:$A,$L136,'Key Inputs_BY Techs'!$C:$C,'RSD_BY Techs'!$B136,'Key Inputs_BY Techs'!$E:$E,'RSD_BY Techs'!$D136)</f>
        <v>0</v>
      </c>
      <c r="X136" s="243">
        <f>SUMIFS('Key Inputs_BY Techs'!R:R,'Key Inputs_BY Techs'!$A:$A,$L136,'Key Inputs_BY Techs'!$C:$C,'RSD_BY Techs'!$B136,'Key Inputs_BY Techs'!$E:$E,'RSD_BY Techs'!$D136)</f>
        <v>0</v>
      </c>
      <c r="Y136" s="243">
        <f>SUMIFS('Key Inputs_BY Techs'!S:S,'Key Inputs_BY Techs'!$A:$A,$L136,'Key Inputs_BY Techs'!$C:$C,'RSD_BY Techs'!$B136,'Key Inputs_BY Techs'!$E:$E,'RSD_BY Techs'!$D136)</f>
        <v>0</v>
      </c>
      <c r="Z136" s="243">
        <f>SUMIFS('Key Inputs_BY Techs'!T:T,'Key Inputs_BY Techs'!$A:$A,$L136,'Key Inputs_BY Techs'!$C:$C,'RSD_BY Techs'!$B136,'Key Inputs_BY Techs'!$E:$E,'RSD_BY Techs'!$D136)</f>
        <v>0</v>
      </c>
      <c r="AA136" s="243">
        <f>SUMIFS('Key Inputs_BY Techs'!U:U,'Key Inputs_BY Techs'!$A:$A,$L136,'Key Inputs_BY Techs'!$C:$C,'RSD_BY Techs'!$B136,'Key Inputs_BY Techs'!$E:$E,'RSD_BY Techs'!$D136)</f>
        <v>0.12780818262375118</v>
      </c>
      <c r="AB136" s="243">
        <f>SUMIFS('Key Inputs_BY Techs'!V:V,'Key Inputs_BY Techs'!$A:$A,$L136,'Key Inputs_BY Techs'!$C:$C,'RSD_BY Techs'!$B136,'Key Inputs_BY Techs'!$E:$E,'RSD_BY Techs'!$D136)</f>
        <v>1.1067688430099103</v>
      </c>
      <c r="AC136" s="243">
        <f>SUMIFS('Key Inputs_BY Techs'!W:W,'Key Inputs_BY Techs'!$A:$A,$L136,'Key Inputs_BY Techs'!$C:$C,'RSD_BY Techs'!$B136,'Key Inputs_BY Techs'!$E:$E,'RSD_BY Techs'!$D136)</f>
        <v>2.2590190767201848</v>
      </c>
      <c r="AD136" s="243">
        <f>SUMIFS('Key Inputs_BY Techs'!X:X,'Key Inputs_BY Techs'!$A:$A,$L136,'Key Inputs_BY Techs'!$C:$C,'RSD_BY Techs'!$B136,'Key Inputs_BY Techs'!$E:$E,'RSD_BY Techs'!$D136)</f>
        <v>18.519254065533985</v>
      </c>
      <c r="AE136" s="243">
        <f>SUMIFS('Key Inputs_BY Techs'!Y:Y,'Key Inputs_BY Techs'!$A:$A,$L136,'Key Inputs_BY Techs'!$C:$C,'RSD_BY Techs'!$B136,'Key Inputs_BY Techs'!$E:$E,'RSD_BY Techs'!$D136)</f>
        <v>17.589736664560977</v>
      </c>
      <c r="AF136" s="243">
        <f>SUMIFS('Key Inputs_BY Techs'!Z:Z,'Key Inputs_BY Techs'!$A:$A,$L136,'Key Inputs_BY Techs'!$C:$C,'RSD_BY Techs'!$B136,'Key Inputs_BY Techs'!$E:$E,'RSD_BY Techs'!$D136)</f>
        <v>0</v>
      </c>
      <c r="AG136" s="243">
        <f>SUMIFS('Key Inputs_BY Techs'!AA:AA,'Key Inputs_BY Techs'!$A:$A,$L136,'Key Inputs_BY Techs'!$C:$C,'RSD_BY Techs'!$B136,'Key Inputs_BY Techs'!$E:$E,'RSD_BY Techs'!$D136)</f>
        <v>0</v>
      </c>
      <c r="AH136" s="243">
        <f>SUMIFS('Key Inputs_BY Techs'!AB:AB,'Key Inputs_BY Techs'!$A:$A,$L136,'Key Inputs_BY Techs'!$C:$C,'RSD_BY Techs'!$B136,'Key Inputs_BY Techs'!$E:$E,'RSD_BY Techs'!$D136)</f>
        <v>4.1601996437067532</v>
      </c>
      <c r="AI136" s="243">
        <f>SUMIFS('Key Inputs_BY Techs'!AC:AC,'Key Inputs_BY Techs'!$A:$A,$L136,'Key Inputs_BY Techs'!$C:$C,'RSD_BY Techs'!$B136,'Key Inputs_BY Techs'!$E:$E,'RSD_BY Techs'!$D136)</f>
        <v>0.6743970702422778</v>
      </c>
      <c r="AJ136" s="243">
        <f>SUMIFS('Key Inputs_BY Techs'!AD:AD,'Key Inputs_BY Techs'!$A:$A,$L136,'Key Inputs_BY Techs'!$C:$C,'RSD_BY Techs'!$B136,'Key Inputs_BY Techs'!$E:$E,'RSD_BY Techs'!$D136)</f>
        <v>19.549304102814681</v>
      </c>
      <c r="AK136" s="243">
        <f>SUMIFS('Key Inputs_BY Techs'!AE:AE,'Key Inputs_BY Techs'!$A:$A,$L136,'Key Inputs_BY Techs'!$C:$C,'RSD_BY Techs'!$B136,'Key Inputs_BY Techs'!$E:$E,'RSD_BY Techs'!$D136)</f>
        <v>0</v>
      </c>
      <c r="AL136" s="243">
        <f>SUMIFS('Key Inputs_BY Techs'!AF:AF,'Key Inputs_BY Techs'!$A:$A,$L136,'Key Inputs_BY Techs'!$C:$C,'RSD_BY Techs'!$B136,'Key Inputs_BY Techs'!$E:$E,'RSD_BY Techs'!$D136)</f>
        <v>5.045067347366972</v>
      </c>
      <c r="AM136" s="243">
        <f>SUMIFS('Key Inputs_BY Techs'!AG:AG,'Key Inputs_BY Techs'!$A:$A,$L136,'Key Inputs_BY Techs'!$C:$C,'RSD_BY Techs'!$B136,'Key Inputs_BY Techs'!$E:$E,'RSD_BY Techs'!$D136)</f>
        <v>0</v>
      </c>
      <c r="AN136" s="243">
        <f>SUMIFS('Key Inputs_BY Techs'!AH:AH,'Key Inputs_BY Techs'!$A:$A,$L136,'Key Inputs_BY Techs'!$C:$C,'RSD_BY Techs'!$B136,'Key Inputs_BY Techs'!$E:$E,'RSD_BY Techs'!$D136)</f>
        <v>0</v>
      </c>
      <c r="AO136" s="243">
        <f>SUMIFS('Key Inputs_BY Techs'!AI:AI,'Key Inputs_BY Techs'!$A:$A,$L136,'Key Inputs_BY Techs'!$C:$C,'RSD_BY Techs'!$B136,'Key Inputs_BY Techs'!$E:$E,'RSD_BY Techs'!$D136)</f>
        <v>0.25693927221088469</v>
      </c>
      <c r="AP136" s="243">
        <f>SUMIFS('Key Inputs_BY Techs'!AJ:AJ,'Key Inputs_BY Techs'!$A:$A,$L136,'Key Inputs_BY Techs'!$C:$C,'RSD_BY Techs'!$B136,'Key Inputs_BY Techs'!$E:$E,'RSD_BY Techs'!$D136)</f>
        <v>13.338505236781108</v>
      </c>
    </row>
    <row r="137" spans="1:42" x14ac:dyDescent="0.25">
      <c r="A137" s="254" t="s">
        <v>122</v>
      </c>
      <c r="B137" s="280" t="s">
        <v>469</v>
      </c>
      <c r="C137" s="254" t="str">
        <f>Legend!A$64</f>
        <v>Biomass</v>
      </c>
      <c r="D137" s="254" t="str">
        <f>Legend!B$64</f>
        <v>RSDBIO</v>
      </c>
      <c r="E137" s="254" t="str">
        <f t="shared" ref="E137:E146" si="36">LEFT(D137,6)</f>
        <v>RSDBIO</v>
      </c>
      <c r="F137" s="254"/>
      <c r="G137" s="254"/>
      <c r="I137" s="209" t="str">
        <f t="shared" si="35"/>
        <v>R-THH-STV_BIO00</v>
      </c>
      <c r="J137" s="209" t="str">
        <f t="shared" si="35"/>
        <v>RSD Thermal uses technology: Biomass - Existing</v>
      </c>
      <c r="K137" s="209"/>
      <c r="L137" s="244" t="s">
        <v>377</v>
      </c>
      <c r="M137" s="208" t="str">
        <f>'Key Inputs_BY Techs'!F121</f>
        <v>GW</v>
      </c>
      <c r="N137" s="208"/>
      <c r="O137" s="241">
        <f>SUMIFS('Key Inputs_BY Techs'!I:I,'Key Inputs_BY Techs'!$A:$A,$L137,'Key Inputs_BY Techs'!$C:$C,'RSD_BY Techs'!$B137,'Key Inputs_BY Techs'!$E:$E,'RSD_BY Techs'!$D137)</f>
        <v>2.1307516706528924</v>
      </c>
      <c r="P137" s="241">
        <f>SUMIFS('Key Inputs_BY Techs'!J:J,'Key Inputs_BY Techs'!$A:$A,$L137,'Key Inputs_BY Techs'!$C:$C,'RSD_BY Techs'!$B137,'Key Inputs_BY Techs'!$E:$E,'RSD_BY Techs'!$D137)</f>
        <v>0</v>
      </c>
      <c r="Q137" s="241">
        <f>SUMIFS('Key Inputs_BY Techs'!K:K,'Key Inputs_BY Techs'!$A:$A,$L137,'Key Inputs_BY Techs'!$C:$C,'RSD_BY Techs'!$B137,'Key Inputs_BY Techs'!$E:$E,'RSD_BY Techs'!$D137)</f>
        <v>7.5549404734708228</v>
      </c>
      <c r="R137" s="241">
        <f>SUMIFS('Key Inputs_BY Techs'!L:L,'Key Inputs_BY Techs'!$A:$A,$L137,'Key Inputs_BY Techs'!$C:$C,'RSD_BY Techs'!$B137,'Key Inputs_BY Techs'!$E:$E,'RSD_BY Techs'!$D137)</f>
        <v>0</v>
      </c>
      <c r="S137" s="241">
        <f>SUMIFS('Key Inputs_BY Techs'!M:M,'Key Inputs_BY Techs'!$A:$A,$L137,'Key Inputs_BY Techs'!$C:$C,'RSD_BY Techs'!$B137,'Key Inputs_BY Techs'!$E:$E,'RSD_BY Techs'!$D137)</f>
        <v>4.7768001458123313E-3</v>
      </c>
      <c r="T137" s="241">
        <f>SUMIFS('Key Inputs_BY Techs'!N:N,'Key Inputs_BY Techs'!$A:$A,$L137,'Key Inputs_BY Techs'!$C:$C,'RSD_BY Techs'!$B137,'Key Inputs_BY Techs'!$E:$E,'RSD_BY Techs'!$D137)</f>
        <v>0</v>
      </c>
      <c r="U137" s="241">
        <f>SUMIFS('Key Inputs_BY Techs'!O:O,'Key Inputs_BY Techs'!$A:$A,$L137,'Key Inputs_BY Techs'!$C:$C,'RSD_BY Techs'!$B137,'Key Inputs_BY Techs'!$E:$E,'RSD_BY Techs'!$D137)</f>
        <v>9.1714637192010375</v>
      </c>
      <c r="V137" s="241">
        <f>SUMIFS('Key Inputs_BY Techs'!P:P,'Key Inputs_BY Techs'!$A:$A,$L137,'Key Inputs_BY Techs'!$C:$C,'RSD_BY Techs'!$B137,'Key Inputs_BY Techs'!$E:$E,'RSD_BY Techs'!$D137)</f>
        <v>0</v>
      </c>
      <c r="W137" s="241">
        <f>SUMIFS('Key Inputs_BY Techs'!Q:Q,'Key Inputs_BY Techs'!$A:$A,$L137,'Key Inputs_BY Techs'!$C:$C,'RSD_BY Techs'!$B137,'Key Inputs_BY Techs'!$E:$E,'RSD_BY Techs'!$D137)</f>
        <v>0</v>
      </c>
      <c r="X137" s="241">
        <f>SUMIFS('Key Inputs_BY Techs'!R:R,'Key Inputs_BY Techs'!$A:$A,$L137,'Key Inputs_BY Techs'!$C:$C,'RSD_BY Techs'!$B137,'Key Inputs_BY Techs'!$E:$E,'RSD_BY Techs'!$D137)</f>
        <v>2.0195949855929323</v>
      </c>
      <c r="Y137" s="241">
        <f>SUMIFS('Key Inputs_BY Techs'!S:S,'Key Inputs_BY Techs'!$A:$A,$L137,'Key Inputs_BY Techs'!$C:$C,'RSD_BY Techs'!$B137,'Key Inputs_BY Techs'!$E:$E,'RSD_BY Techs'!$D137)</f>
        <v>0</v>
      </c>
      <c r="Z137" s="241">
        <f>SUMIFS('Key Inputs_BY Techs'!T:T,'Key Inputs_BY Techs'!$A:$A,$L137,'Key Inputs_BY Techs'!$C:$C,'RSD_BY Techs'!$B137,'Key Inputs_BY Techs'!$E:$E,'RSD_BY Techs'!$D137)</f>
        <v>16.288475085547898</v>
      </c>
      <c r="AA137" s="241">
        <f>SUMIFS('Key Inputs_BY Techs'!U:U,'Key Inputs_BY Techs'!$A:$A,$L137,'Key Inputs_BY Techs'!$C:$C,'RSD_BY Techs'!$B137,'Key Inputs_BY Techs'!$E:$E,'RSD_BY Techs'!$D137)</f>
        <v>0.13714193373008648</v>
      </c>
      <c r="AB137" s="241">
        <f>SUMIFS('Key Inputs_BY Techs'!V:V,'Key Inputs_BY Techs'!$A:$A,$L137,'Key Inputs_BY Techs'!$C:$C,'RSD_BY Techs'!$B137,'Key Inputs_BY Techs'!$E:$E,'RSD_BY Techs'!$D137)</f>
        <v>2.362633990513161</v>
      </c>
      <c r="AC137" s="241">
        <f>SUMIFS('Key Inputs_BY Techs'!W:W,'Key Inputs_BY Techs'!$A:$A,$L137,'Key Inputs_BY Techs'!$C:$C,'RSD_BY Techs'!$B137,'Key Inputs_BY Techs'!$E:$E,'RSD_BY Techs'!$D137)</f>
        <v>0.74284751443798991</v>
      </c>
      <c r="AD137" s="241">
        <f>SUMIFS('Key Inputs_BY Techs'!X:X,'Key Inputs_BY Techs'!$A:$A,$L137,'Key Inputs_BY Techs'!$C:$C,'RSD_BY Techs'!$B137,'Key Inputs_BY Techs'!$E:$E,'RSD_BY Techs'!$D137)</f>
        <v>13.269949563169831</v>
      </c>
      <c r="AE137" s="241">
        <f>SUMIFS('Key Inputs_BY Techs'!Y:Y,'Key Inputs_BY Techs'!$A:$A,$L137,'Key Inputs_BY Techs'!$C:$C,'RSD_BY Techs'!$B137,'Key Inputs_BY Techs'!$E:$E,'RSD_BY Techs'!$D137)</f>
        <v>2.2488563532441721</v>
      </c>
      <c r="AF137" s="241">
        <f>SUMIFS('Key Inputs_BY Techs'!Z:Z,'Key Inputs_BY Techs'!$A:$A,$L137,'Key Inputs_BY Techs'!$C:$C,'RSD_BY Techs'!$B137,'Key Inputs_BY Techs'!$E:$E,'RSD_BY Techs'!$D137)</f>
        <v>0</v>
      </c>
      <c r="AG137" s="241">
        <f>SUMIFS('Key Inputs_BY Techs'!AA:AA,'Key Inputs_BY Techs'!$A:$A,$L137,'Key Inputs_BY Techs'!$C:$C,'RSD_BY Techs'!$B137,'Key Inputs_BY Techs'!$E:$E,'RSD_BY Techs'!$D137)</f>
        <v>0</v>
      </c>
      <c r="AH137" s="241">
        <f>SUMIFS('Key Inputs_BY Techs'!AB:AB,'Key Inputs_BY Techs'!$A:$A,$L137,'Key Inputs_BY Techs'!$C:$C,'RSD_BY Techs'!$B137,'Key Inputs_BY Techs'!$E:$E,'RSD_BY Techs'!$D137)</f>
        <v>3.8191344262378671E-3</v>
      </c>
      <c r="AI137" s="241">
        <f>SUMIFS('Key Inputs_BY Techs'!AC:AC,'Key Inputs_BY Techs'!$A:$A,$L137,'Key Inputs_BY Techs'!$C:$C,'RSD_BY Techs'!$B137,'Key Inputs_BY Techs'!$E:$E,'RSD_BY Techs'!$D137)</f>
        <v>0</v>
      </c>
      <c r="AJ137" s="241">
        <f>SUMIFS('Key Inputs_BY Techs'!AD:AD,'Key Inputs_BY Techs'!$A:$A,$L137,'Key Inputs_BY Techs'!$C:$C,'RSD_BY Techs'!$B137,'Key Inputs_BY Techs'!$E:$E,'RSD_BY Techs'!$D137)</f>
        <v>0.75043128436750506</v>
      </c>
      <c r="AK137" s="241">
        <f>SUMIFS('Key Inputs_BY Techs'!AE:AE,'Key Inputs_BY Techs'!$A:$A,$L137,'Key Inputs_BY Techs'!$C:$C,'RSD_BY Techs'!$B137,'Key Inputs_BY Techs'!$E:$E,'RSD_BY Techs'!$D137)</f>
        <v>2.1929044506453527E-2</v>
      </c>
      <c r="AL137" s="241">
        <f>SUMIFS('Key Inputs_BY Techs'!AF:AF,'Key Inputs_BY Techs'!$A:$A,$L137,'Key Inputs_BY Techs'!$C:$C,'RSD_BY Techs'!$B137,'Key Inputs_BY Techs'!$E:$E,'RSD_BY Techs'!$D137)</f>
        <v>2.43232512970607</v>
      </c>
      <c r="AM137" s="241">
        <f>SUMIFS('Key Inputs_BY Techs'!AG:AG,'Key Inputs_BY Techs'!$A:$A,$L137,'Key Inputs_BY Techs'!$C:$C,'RSD_BY Techs'!$B137,'Key Inputs_BY Techs'!$E:$E,'RSD_BY Techs'!$D137)</f>
        <v>15.448258431509235</v>
      </c>
      <c r="AN137" s="241">
        <f>SUMIFS('Key Inputs_BY Techs'!AH:AH,'Key Inputs_BY Techs'!$A:$A,$L137,'Key Inputs_BY Techs'!$C:$C,'RSD_BY Techs'!$B137,'Key Inputs_BY Techs'!$E:$E,'RSD_BY Techs'!$D137)</f>
        <v>0.79707902781209616</v>
      </c>
      <c r="AO137" s="241">
        <f>SUMIFS('Key Inputs_BY Techs'!AI:AI,'Key Inputs_BY Techs'!$A:$A,$L137,'Key Inputs_BY Techs'!$C:$C,'RSD_BY Techs'!$B137,'Key Inputs_BY Techs'!$E:$E,'RSD_BY Techs'!$D137)</f>
        <v>0.2959005696688583</v>
      </c>
      <c r="AP137" s="241">
        <f>SUMIFS('Key Inputs_BY Techs'!AJ:AJ,'Key Inputs_BY Techs'!$A:$A,$L137,'Key Inputs_BY Techs'!$C:$C,'RSD_BY Techs'!$B137,'Key Inputs_BY Techs'!$E:$E,'RSD_BY Techs'!$D137)</f>
        <v>44.087257784185468</v>
      </c>
    </row>
    <row r="138" spans="1:42" x14ac:dyDescent="0.25">
      <c r="A138" s="254" t="s">
        <v>122</v>
      </c>
      <c r="B138" s="254" t="s">
        <v>469</v>
      </c>
      <c r="C138" s="254" t="str">
        <f>Legend!A$65</f>
        <v>Coal</v>
      </c>
      <c r="D138" s="254" t="str">
        <f>Legend!B$65</f>
        <v>RSDCOA</v>
      </c>
      <c r="E138" s="254" t="str">
        <f t="shared" si="36"/>
        <v>RSDCOA</v>
      </c>
      <c r="F138" s="254"/>
      <c r="G138" s="254"/>
      <c r="I138" s="81" t="str">
        <f t="shared" si="35"/>
        <v>R-THH-STV_COA00</v>
      </c>
      <c r="J138" s="81" t="str">
        <f t="shared" si="35"/>
        <v>RSD Thermal uses technology: Coal - Existing</v>
      </c>
      <c r="L138" s="81" t="s">
        <v>377</v>
      </c>
      <c r="M138" s="87" t="str">
        <f>'Key Inputs_BY Techs'!F122</f>
        <v>GW</v>
      </c>
      <c r="O138" s="242">
        <f>SUMIFS('Key Inputs_BY Techs'!I:I,'Key Inputs_BY Techs'!$A:$A,$L138,'Key Inputs_BY Techs'!$C:$C,'RSD_BY Techs'!$B138,'Key Inputs_BY Techs'!$E:$E,'RSD_BY Techs'!$D138)</f>
        <v>6.9192514961683013E-4</v>
      </c>
      <c r="P138" s="242">
        <f>SUMIFS('Key Inputs_BY Techs'!J:J,'Key Inputs_BY Techs'!$A:$A,$L138,'Key Inputs_BY Techs'!$C:$C,'RSD_BY Techs'!$B138,'Key Inputs_BY Techs'!$E:$E,'RSD_BY Techs'!$D138)</f>
        <v>0</v>
      </c>
      <c r="Q138" s="242">
        <f>SUMIFS('Key Inputs_BY Techs'!K:K,'Key Inputs_BY Techs'!$A:$A,$L138,'Key Inputs_BY Techs'!$C:$C,'RSD_BY Techs'!$B138,'Key Inputs_BY Techs'!$E:$E,'RSD_BY Techs'!$D138)</f>
        <v>0</v>
      </c>
      <c r="R138" s="242">
        <f>SUMIFS('Key Inputs_BY Techs'!L:L,'Key Inputs_BY Techs'!$A:$A,$L138,'Key Inputs_BY Techs'!$C:$C,'RSD_BY Techs'!$B138,'Key Inputs_BY Techs'!$E:$E,'RSD_BY Techs'!$D138)</f>
        <v>0</v>
      </c>
      <c r="S138" s="242">
        <f>SUMIFS('Key Inputs_BY Techs'!M:M,'Key Inputs_BY Techs'!$A:$A,$L138,'Key Inputs_BY Techs'!$C:$C,'RSD_BY Techs'!$B138,'Key Inputs_BY Techs'!$E:$E,'RSD_BY Techs'!$D138)</f>
        <v>7.9969890038562551E-5</v>
      </c>
      <c r="T138" s="242">
        <f>SUMIFS('Key Inputs_BY Techs'!N:N,'Key Inputs_BY Techs'!$A:$A,$L138,'Key Inputs_BY Techs'!$C:$C,'RSD_BY Techs'!$B138,'Key Inputs_BY Techs'!$E:$E,'RSD_BY Techs'!$D138)</f>
        <v>0</v>
      </c>
      <c r="U138" s="242">
        <f>SUMIFS('Key Inputs_BY Techs'!O:O,'Key Inputs_BY Techs'!$A:$A,$L138,'Key Inputs_BY Techs'!$C:$C,'RSD_BY Techs'!$B138,'Key Inputs_BY Techs'!$E:$E,'RSD_BY Techs'!$D138)</f>
        <v>0.43739633297235669</v>
      </c>
      <c r="V138" s="242">
        <f>SUMIFS('Key Inputs_BY Techs'!P:P,'Key Inputs_BY Techs'!$A:$A,$L138,'Key Inputs_BY Techs'!$C:$C,'RSD_BY Techs'!$B138,'Key Inputs_BY Techs'!$E:$E,'RSD_BY Techs'!$D138)</f>
        <v>0</v>
      </c>
      <c r="W138" s="242">
        <f>SUMIFS('Key Inputs_BY Techs'!Q:Q,'Key Inputs_BY Techs'!$A:$A,$L138,'Key Inputs_BY Techs'!$C:$C,'RSD_BY Techs'!$B138,'Key Inputs_BY Techs'!$E:$E,'RSD_BY Techs'!$D138)</f>
        <v>0</v>
      </c>
      <c r="X138" s="242">
        <f>SUMIFS('Key Inputs_BY Techs'!R:R,'Key Inputs_BY Techs'!$A:$A,$L138,'Key Inputs_BY Techs'!$C:$C,'RSD_BY Techs'!$B138,'Key Inputs_BY Techs'!$E:$E,'RSD_BY Techs'!$D138)</f>
        <v>0</v>
      </c>
      <c r="Y138" s="242">
        <f>SUMIFS('Key Inputs_BY Techs'!S:S,'Key Inputs_BY Techs'!$A:$A,$L138,'Key Inputs_BY Techs'!$C:$C,'RSD_BY Techs'!$B138,'Key Inputs_BY Techs'!$E:$E,'RSD_BY Techs'!$D138)</f>
        <v>0</v>
      </c>
      <c r="Z138" s="242">
        <f>SUMIFS('Key Inputs_BY Techs'!T:T,'Key Inputs_BY Techs'!$A:$A,$L138,'Key Inputs_BY Techs'!$C:$C,'RSD_BY Techs'!$B138,'Key Inputs_BY Techs'!$E:$E,'RSD_BY Techs'!$D138)</f>
        <v>26.480249996918982</v>
      </c>
      <c r="AA138" s="242">
        <f>SUMIFS('Key Inputs_BY Techs'!U:U,'Key Inputs_BY Techs'!$A:$A,$L138,'Key Inputs_BY Techs'!$C:$C,'RSD_BY Techs'!$B138,'Key Inputs_BY Techs'!$E:$E,'RSD_BY Techs'!$D138)</f>
        <v>1.2490285653596051E-2</v>
      </c>
      <c r="AB138" s="242">
        <f>SUMIFS('Key Inputs_BY Techs'!V:V,'Key Inputs_BY Techs'!$A:$A,$L138,'Key Inputs_BY Techs'!$C:$C,'RSD_BY Techs'!$B138,'Key Inputs_BY Techs'!$E:$E,'RSD_BY Techs'!$D138)</f>
        <v>0.57114396750234608</v>
      </c>
      <c r="AC138" s="242">
        <f>SUMIFS('Key Inputs_BY Techs'!W:W,'Key Inputs_BY Techs'!$A:$A,$L138,'Key Inputs_BY Techs'!$C:$C,'RSD_BY Techs'!$B138,'Key Inputs_BY Techs'!$E:$E,'RSD_BY Techs'!$D138)</f>
        <v>0.23706895293939811</v>
      </c>
      <c r="AD138" s="242">
        <f>SUMIFS('Key Inputs_BY Techs'!X:X,'Key Inputs_BY Techs'!$A:$A,$L138,'Key Inputs_BY Techs'!$C:$C,'RSD_BY Techs'!$B138,'Key Inputs_BY Techs'!$E:$E,'RSD_BY Techs'!$D138)</f>
        <v>6.4875184778191944E-2</v>
      </c>
      <c r="AE138" s="242">
        <f>SUMIFS('Key Inputs_BY Techs'!Y:Y,'Key Inputs_BY Techs'!$A:$A,$L138,'Key Inputs_BY Techs'!$C:$C,'RSD_BY Techs'!$B138,'Key Inputs_BY Techs'!$E:$E,'RSD_BY Techs'!$D138)</f>
        <v>0.12223602380482114</v>
      </c>
      <c r="AF138" s="242">
        <f>SUMIFS('Key Inputs_BY Techs'!Z:Z,'Key Inputs_BY Techs'!$A:$A,$L138,'Key Inputs_BY Techs'!$C:$C,'RSD_BY Techs'!$B138,'Key Inputs_BY Techs'!$E:$E,'RSD_BY Techs'!$D138)</f>
        <v>0</v>
      </c>
      <c r="AG138" s="242">
        <f>SUMIFS('Key Inputs_BY Techs'!AA:AA,'Key Inputs_BY Techs'!$A:$A,$L138,'Key Inputs_BY Techs'!$C:$C,'RSD_BY Techs'!$B138,'Key Inputs_BY Techs'!$E:$E,'RSD_BY Techs'!$D138)</f>
        <v>0</v>
      </c>
      <c r="AH138" s="242">
        <f>SUMIFS('Key Inputs_BY Techs'!AB:AB,'Key Inputs_BY Techs'!$A:$A,$L138,'Key Inputs_BY Techs'!$C:$C,'RSD_BY Techs'!$B138,'Key Inputs_BY Techs'!$E:$E,'RSD_BY Techs'!$D138)</f>
        <v>0</v>
      </c>
      <c r="AI138" s="242">
        <f>SUMIFS('Key Inputs_BY Techs'!AC:AC,'Key Inputs_BY Techs'!$A:$A,$L138,'Key Inputs_BY Techs'!$C:$C,'RSD_BY Techs'!$B138,'Key Inputs_BY Techs'!$E:$E,'RSD_BY Techs'!$D138)</f>
        <v>2.877340292661312E-2</v>
      </c>
      <c r="AJ138" s="242">
        <f>SUMIFS('Key Inputs_BY Techs'!AD:AD,'Key Inputs_BY Techs'!$A:$A,$L138,'Key Inputs_BY Techs'!$C:$C,'RSD_BY Techs'!$B138,'Key Inputs_BY Techs'!$E:$E,'RSD_BY Techs'!$D138)</f>
        <v>0.40053377634450155</v>
      </c>
      <c r="AK138" s="242">
        <f>SUMIFS('Key Inputs_BY Techs'!AE:AE,'Key Inputs_BY Techs'!$A:$A,$L138,'Key Inputs_BY Techs'!$C:$C,'RSD_BY Techs'!$B138,'Key Inputs_BY Techs'!$E:$E,'RSD_BY Techs'!$D138)</f>
        <v>1.0464507120206941E-4</v>
      </c>
      <c r="AL138" s="242">
        <f>SUMIFS('Key Inputs_BY Techs'!AF:AF,'Key Inputs_BY Techs'!$A:$A,$L138,'Key Inputs_BY Techs'!$C:$C,'RSD_BY Techs'!$B138,'Key Inputs_BY Techs'!$E:$E,'RSD_BY Techs'!$D138)</f>
        <v>0</v>
      </c>
      <c r="AM138" s="242">
        <f>SUMIFS('Key Inputs_BY Techs'!AG:AG,'Key Inputs_BY Techs'!$A:$A,$L138,'Key Inputs_BY Techs'!$C:$C,'RSD_BY Techs'!$B138,'Key Inputs_BY Techs'!$E:$E,'RSD_BY Techs'!$D138)</f>
        <v>0</v>
      </c>
      <c r="AN138" s="242">
        <f>SUMIFS('Key Inputs_BY Techs'!AH:AH,'Key Inputs_BY Techs'!$A:$A,$L138,'Key Inputs_BY Techs'!$C:$C,'RSD_BY Techs'!$B138,'Key Inputs_BY Techs'!$E:$E,'RSD_BY Techs'!$D138)</f>
        <v>1.1091806474310599</v>
      </c>
      <c r="AO138" s="242">
        <f>SUMIFS('Key Inputs_BY Techs'!AI:AI,'Key Inputs_BY Techs'!$A:$A,$L138,'Key Inputs_BY Techs'!$C:$C,'RSD_BY Techs'!$B138,'Key Inputs_BY Techs'!$E:$E,'RSD_BY Techs'!$D138)</f>
        <v>0.62931125713587532</v>
      </c>
      <c r="AP138" s="242">
        <f>SUMIFS('Key Inputs_BY Techs'!AJ:AJ,'Key Inputs_BY Techs'!$A:$A,$L138,'Key Inputs_BY Techs'!$C:$C,'RSD_BY Techs'!$B138,'Key Inputs_BY Techs'!$E:$E,'RSD_BY Techs'!$D138)</f>
        <v>0</v>
      </c>
    </row>
    <row r="139" spans="1:42" x14ac:dyDescent="0.25">
      <c r="A139" s="254" t="s">
        <v>122</v>
      </c>
      <c r="B139" s="254" t="s">
        <v>469</v>
      </c>
      <c r="C139" s="254" t="str">
        <f>Legend!A$66</f>
        <v>Electricity</v>
      </c>
      <c r="D139" s="254" t="str">
        <f>Legend!B$66</f>
        <v>RSDELC</v>
      </c>
      <c r="E139" s="254" t="str">
        <f t="shared" si="36"/>
        <v>RSDELC</v>
      </c>
      <c r="F139" s="254"/>
      <c r="G139" s="254"/>
      <c r="I139" s="81" t="str">
        <f t="shared" si="35"/>
        <v>R-THH-RST_ELC00</v>
      </c>
      <c r="J139" s="81" t="str">
        <f t="shared" si="35"/>
        <v>RSD Thermal uses technology: Electricity - Existing</v>
      </c>
      <c r="L139" s="81" t="s">
        <v>377</v>
      </c>
      <c r="M139" s="87" t="str">
        <f>'Key Inputs_BY Techs'!F123</f>
        <v>GW</v>
      </c>
      <c r="O139" s="242">
        <f>'Key Inputs_BY Techs'!I123</f>
        <v>5.7784864450901108E-3</v>
      </c>
      <c r="P139" s="242">
        <f>'Key Inputs_BY Techs'!J123</f>
        <v>0</v>
      </c>
      <c r="Q139" s="242">
        <f>'Key Inputs_BY Techs'!K123</f>
        <v>2.7711652391529382E-2</v>
      </c>
      <c r="R139" s="242">
        <f>'Key Inputs_BY Techs'!L123</f>
        <v>0</v>
      </c>
      <c r="S139" s="242">
        <f>'Key Inputs_BY Techs'!M123</f>
        <v>3.2994089571213747E-2</v>
      </c>
      <c r="T139" s="242">
        <f>'Key Inputs_BY Techs'!N123</f>
        <v>0</v>
      </c>
      <c r="U139" s="242">
        <f>'Key Inputs_BY Techs'!O123</f>
        <v>0.67196335861093315</v>
      </c>
      <c r="V139" s="242">
        <f>'Key Inputs_BY Techs'!P123</f>
        <v>0</v>
      </c>
      <c r="W139" s="242">
        <f>'Key Inputs_BY Techs'!Q123</f>
        <v>0.21286758669173611</v>
      </c>
      <c r="X139" s="242">
        <f>'Key Inputs_BY Techs'!R123</f>
        <v>7.7068168280929763</v>
      </c>
      <c r="Y139" s="242">
        <f>'Key Inputs_BY Techs'!S123</f>
        <v>0</v>
      </c>
      <c r="Z139" s="242">
        <f>'Key Inputs_BY Techs'!T123</f>
        <v>20.649745306038096</v>
      </c>
      <c r="AA139" s="242">
        <f>'Key Inputs_BY Techs'!U123</f>
        <v>3.4439669361740421E-2</v>
      </c>
      <c r="AB139" s="242">
        <f>'Key Inputs_BY Techs'!V123</f>
        <v>6.5479627187766205</v>
      </c>
      <c r="AC139" s="242">
        <f>'Key Inputs_BY Techs'!W123</f>
        <v>0.1044314784782982</v>
      </c>
      <c r="AD139" s="242">
        <f>'Key Inputs_BY Techs'!X123</f>
        <v>7.5149806695749506</v>
      </c>
      <c r="AE139" s="242">
        <f>'Key Inputs_BY Techs'!Y123</f>
        <v>1.2028957602535384</v>
      </c>
      <c r="AF139" s="242">
        <f>'Key Inputs_BY Techs'!Z123</f>
        <v>0</v>
      </c>
      <c r="AG139" s="242">
        <f>'Key Inputs_BY Techs'!AA123</f>
        <v>0</v>
      </c>
      <c r="AH139" s="242">
        <f>'Key Inputs_BY Techs'!AB123</f>
        <v>3.6845857049884847</v>
      </c>
      <c r="AI139" s="242">
        <f>'Key Inputs_BY Techs'!AC123</f>
        <v>0.15810690361384791</v>
      </c>
      <c r="AJ139" s="242">
        <f>'Key Inputs_BY Techs'!AD123</f>
        <v>0.88317990944747993</v>
      </c>
      <c r="AK139" s="242">
        <f>'Key Inputs_BY Techs'!AE123</f>
        <v>7.5178636404225924E-2</v>
      </c>
      <c r="AL139" s="242">
        <f>'Key Inputs_BY Techs'!AF123</f>
        <v>0.75514426582189398</v>
      </c>
      <c r="AM139" s="242">
        <f>'Key Inputs_BY Techs'!AG123</f>
        <v>2.0456352691750855E-2</v>
      </c>
      <c r="AN139" s="242">
        <f>'Key Inputs_BY Techs'!AH123</f>
        <v>1.8611155941207367</v>
      </c>
      <c r="AO139" s="242">
        <f>'Key Inputs_BY Techs'!AI123</f>
        <v>2.8147729643265742</v>
      </c>
      <c r="AP139" s="242">
        <f>'Key Inputs_BY Techs'!AJ123</f>
        <v>146.47319931924497</v>
      </c>
    </row>
    <row r="140" spans="1:42" x14ac:dyDescent="0.25">
      <c r="A140" s="254" t="s">
        <v>122</v>
      </c>
      <c r="B140" s="254" t="s">
        <v>469</v>
      </c>
      <c r="C140" s="254" t="str">
        <f>Legend!A$66&amp;" (Heat Pump)"</f>
        <v>Electricity (Heat Pump)</v>
      </c>
      <c r="D140" s="254" t="str">
        <f>Legend!B$66</f>
        <v>RSDELC</v>
      </c>
      <c r="E140" s="254" t="str">
        <f t="shared" si="36"/>
        <v>RSDELC</v>
      </c>
      <c r="F140" s="254"/>
      <c r="G140" s="254"/>
      <c r="I140" s="81" t="str">
        <f t="shared" si="35"/>
        <v>R-THH-HPA_ELC00</v>
      </c>
      <c r="J140" s="81" t="str">
        <f t="shared" si="35"/>
        <v>RSD Thermal uses technology: Electricity (Heat Pump) - Existing</v>
      </c>
      <c r="L140" s="81" t="s">
        <v>377</v>
      </c>
      <c r="M140" s="87" t="str">
        <f>'Key Inputs_BY Techs'!F124</f>
        <v>GW</v>
      </c>
      <c r="O140" s="242">
        <f>'Key Inputs_BY Techs'!I124</f>
        <v>1.7287467416422227E-3</v>
      </c>
      <c r="P140" s="242">
        <f>'Key Inputs_BY Techs'!J124</f>
        <v>0</v>
      </c>
      <c r="Q140" s="242">
        <f>'Key Inputs_BY Techs'!K124</f>
        <v>8.290480428154964E-3</v>
      </c>
      <c r="R140" s="242">
        <f>'Key Inputs_BY Techs'!L124</f>
        <v>0</v>
      </c>
      <c r="S140" s="242">
        <f>'Key Inputs_BY Techs'!M124</f>
        <v>8.8132360470806661E-3</v>
      </c>
      <c r="T140" s="242">
        <f>'Key Inputs_BY Techs'!N124</f>
        <v>0</v>
      </c>
      <c r="U140" s="242">
        <f>'Key Inputs_BY Techs'!O124</f>
        <v>0.14897827369248451</v>
      </c>
      <c r="V140" s="242">
        <f>'Key Inputs_BY Techs'!P124</f>
        <v>0</v>
      </c>
      <c r="W140" s="242">
        <f>'Key Inputs_BY Techs'!Q124</f>
        <v>6.3683483623512005E-2</v>
      </c>
      <c r="X140" s="242">
        <f>'Key Inputs_BY Techs'!R124</f>
        <v>2.0586110045860022</v>
      </c>
      <c r="Y140" s="242">
        <f>'Key Inputs_BY Techs'!S124</f>
        <v>0</v>
      </c>
      <c r="Z140" s="242">
        <f>'Key Inputs_BY Techs'!T124</f>
        <v>4.5781713667281307</v>
      </c>
      <c r="AA140" s="242">
        <f>'Key Inputs_BY Techs'!U124</f>
        <v>1.0303297716122926E-2</v>
      </c>
      <c r="AB140" s="242">
        <f>'Key Inputs_BY Techs'!V124</f>
        <v>1.9589505525444397</v>
      </c>
      <c r="AC140" s="242">
        <f>'Key Inputs_BY Techs'!W124</f>
        <v>3.1242710329040597E-2</v>
      </c>
      <c r="AD140" s="242">
        <f>'Key Inputs_BY Techs'!X124</f>
        <v>1.6661159163499841</v>
      </c>
      <c r="AE140" s="242">
        <f>'Key Inputs_BY Techs'!Y124</f>
        <v>0.26668914532040849</v>
      </c>
      <c r="AF140" s="242">
        <f>'Key Inputs_BY Techs'!Z124</f>
        <v>0</v>
      </c>
      <c r="AG140" s="242">
        <f>'Key Inputs_BY Techs'!AA124</f>
        <v>0</v>
      </c>
      <c r="AH140" s="242">
        <f>'Key Inputs_BY Techs'!AB124</f>
        <v>0.98421032299355715</v>
      </c>
      <c r="AI140" s="242">
        <f>'Key Inputs_BY Techs'!AC124</f>
        <v>4.7300758953206852E-2</v>
      </c>
      <c r="AJ140" s="242">
        <f>'Key Inputs_BY Techs'!AD124</f>
        <v>0.26422046763447843</v>
      </c>
      <c r="AK140" s="242">
        <f>'Key Inputs_BY Techs'!AE124</f>
        <v>2.2491152996532503E-2</v>
      </c>
      <c r="AL140" s="242">
        <f>'Key Inputs_BY Techs'!AF124</f>
        <v>0.22591611166945461</v>
      </c>
      <c r="AM140" s="242">
        <f>'Key Inputs_BY Techs'!AG124</f>
        <v>6.1199162441224562E-3</v>
      </c>
      <c r="AN140" s="242">
        <f>'Key Inputs_BY Techs'!AH124</f>
        <v>0.55678897055984677</v>
      </c>
      <c r="AO140" s="242">
        <f>'Key Inputs_BY Techs'!AI124</f>
        <v>0.62405190950961997</v>
      </c>
      <c r="AP140" s="242">
        <f>'Key Inputs_BY Techs'!AJ124</f>
        <v>32.473979566244282</v>
      </c>
    </row>
    <row r="141" spans="1:42" x14ac:dyDescent="0.25">
      <c r="A141" s="254" t="s">
        <v>122</v>
      </c>
      <c r="B141" s="254" t="s">
        <v>469</v>
      </c>
      <c r="C141" s="254" t="str">
        <f>Legend!$A$71&amp;", "&amp;Legend!$A$63&amp;", "&amp;Legend!$A$72</f>
        <v>Natural gas, Biogas, Manufactured gas</v>
      </c>
      <c r="D141" s="254" t="str">
        <f>Legend!$B$71&amp;", "&amp;Legend!$B$63&amp;", "&amp;Legend!$B$72</f>
        <v>RSDGAS, RSDBGS, RSDGAM</v>
      </c>
      <c r="E141" s="254" t="str">
        <f t="shared" si="36"/>
        <v>RSDGAS</v>
      </c>
      <c r="F141" s="254"/>
      <c r="G141" s="254"/>
      <c r="I141" s="81" t="str">
        <f t="shared" si="35"/>
        <v>R-THH-BLR_GAS00</v>
      </c>
      <c r="J141" s="81" t="str">
        <f t="shared" si="35"/>
        <v>RSD Thermal uses technology: Natural gas, Biogas, Manufactured gas - Existing</v>
      </c>
      <c r="L141" s="81" t="s">
        <v>377</v>
      </c>
      <c r="M141" s="87" t="str">
        <f>'Key Inputs_BY Techs'!F125</f>
        <v>GW</v>
      </c>
      <c r="O141" s="242">
        <f>SUMIFS('Key Inputs_BY Techs'!I:I,'Key Inputs_BY Techs'!$A:$A,$L141,'Key Inputs_BY Techs'!$C:$C,'RSD_BY Techs'!$B141,'Key Inputs_BY Techs'!$E:$E,'RSD_BY Techs'!$D141)</f>
        <v>0</v>
      </c>
      <c r="P141" s="242">
        <f>SUMIFS('Key Inputs_BY Techs'!J:J,'Key Inputs_BY Techs'!$A:$A,$L141,'Key Inputs_BY Techs'!$C:$C,'RSD_BY Techs'!$B141,'Key Inputs_BY Techs'!$E:$E,'RSD_BY Techs'!$D141)</f>
        <v>0</v>
      </c>
      <c r="Q141" s="242">
        <f>SUMIFS('Key Inputs_BY Techs'!K:K,'Key Inputs_BY Techs'!$A:$A,$L141,'Key Inputs_BY Techs'!$C:$C,'RSD_BY Techs'!$B141,'Key Inputs_BY Techs'!$E:$E,'RSD_BY Techs'!$D141)</f>
        <v>0</v>
      </c>
      <c r="R141" s="242">
        <f>SUMIFS('Key Inputs_BY Techs'!L:L,'Key Inputs_BY Techs'!$A:$A,$L141,'Key Inputs_BY Techs'!$C:$C,'RSD_BY Techs'!$B141,'Key Inputs_BY Techs'!$E:$E,'RSD_BY Techs'!$D141)</f>
        <v>0</v>
      </c>
      <c r="S141" s="242">
        <f>SUMIFS('Key Inputs_BY Techs'!M:M,'Key Inputs_BY Techs'!$A:$A,$L141,'Key Inputs_BY Techs'!$C:$C,'RSD_BY Techs'!$B141,'Key Inputs_BY Techs'!$E:$E,'RSD_BY Techs'!$D141)</f>
        <v>6.0559975712109179E-2</v>
      </c>
      <c r="T141" s="242">
        <f>SUMIFS('Key Inputs_BY Techs'!N:N,'Key Inputs_BY Techs'!$A:$A,$L141,'Key Inputs_BY Techs'!$C:$C,'RSD_BY Techs'!$B141,'Key Inputs_BY Techs'!$E:$E,'RSD_BY Techs'!$D141)</f>
        <v>0</v>
      </c>
      <c r="U141" s="242">
        <f>SUMIFS('Key Inputs_BY Techs'!O:O,'Key Inputs_BY Techs'!$A:$A,$L141,'Key Inputs_BY Techs'!$C:$C,'RSD_BY Techs'!$B141,'Key Inputs_BY Techs'!$E:$E,'RSD_BY Techs'!$D141)</f>
        <v>3.1513535362266636E-2</v>
      </c>
      <c r="V141" s="242">
        <f>SUMIFS('Key Inputs_BY Techs'!P:P,'Key Inputs_BY Techs'!$A:$A,$L141,'Key Inputs_BY Techs'!$C:$C,'RSD_BY Techs'!$B141,'Key Inputs_BY Techs'!$E:$E,'RSD_BY Techs'!$D141)</f>
        <v>0</v>
      </c>
      <c r="W141" s="242">
        <f>SUMIFS('Key Inputs_BY Techs'!Q:Q,'Key Inputs_BY Techs'!$A:$A,$L141,'Key Inputs_BY Techs'!$C:$C,'RSD_BY Techs'!$B141,'Key Inputs_BY Techs'!$E:$E,'RSD_BY Techs'!$D141)</f>
        <v>1.8185008396984597E-2</v>
      </c>
      <c r="X141" s="242">
        <f>SUMIFS('Key Inputs_BY Techs'!R:R,'Key Inputs_BY Techs'!$A:$A,$L141,'Key Inputs_BY Techs'!$C:$C,'RSD_BY Techs'!$B141,'Key Inputs_BY Techs'!$E:$E,'RSD_BY Techs'!$D141)</f>
        <v>13.165497613410714</v>
      </c>
      <c r="Y141" s="242">
        <f>SUMIFS('Key Inputs_BY Techs'!S:S,'Key Inputs_BY Techs'!$A:$A,$L141,'Key Inputs_BY Techs'!$C:$C,'RSD_BY Techs'!$B141,'Key Inputs_BY Techs'!$E:$E,'RSD_BY Techs'!$D141)</f>
        <v>0</v>
      </c>
      <c r="Z141" s="242">
        <f>SUMIFS('Key Inputs_BY Techs'!T:T,'Key Inputs_BY Techs'!$A:$A,$L141,'Key Inputs_BY Techs'!$C:$C,'RSD_BY Techs'!$B141,'Key Inputs_BY Techs'!$E:$E,'RSD_BY Techs'!$D141)</f>
        <v>24.759237761621673</v>
      </c>
      <c r="AA141" s="242">
        <f>SUMIFS('Key Inputs_BY Techs'!U:U,'Key Inputs_BY Techs'!$A:$A,$L141,'Key Inputs_BY Techs'!$C:$C,'RSD_BY Techs'!$B141,'Key Inputs_BY Techs'!$E:$E,'RSD_BY Techs'!$D141)</f>
        <v>0.19817781531447509</v>
      </c>
      <c r="AB141" s="242">
        <f>SUMIFS('Key Inputs_BY Techs'!V:V,'Key Inputs_BY Techs'!$A:$A,$L141,'Key Inputs_BY Techs'!$C:$C,'RSD_BY Techs'!$B141,'Key Inputs_BY Techs'!$E:$E,'RSD_BY Techs'!$D141)</f>
        <v>42.042003167039219</v>
      </c>
      <c r="AC141" s="242">
        <f>SUMIFS('Key Inputs_BY Techs'!W:W,'Key Inputs_BY Techs'!$A:$A,$L141,'Key Inputs_BY Techs'!$C:$C,'RSD_BY Techs'!$B141,'Key Inputs_BY Techs'!$E:$E,'RSD_BY Techs'!$D141)</f>
        <v>0.63603719352745702</v>
      </c>
      <c r="AD141" s="242">
        <f>SUMIFS('Key Inputs_BY Techs'!X:X,'Key Inputs_BY Techs'!$A:$A,$L141,'Key Inputs_BY Techs'!$C:$C,'RSD_BY Techs'!$B141,'Key Inputs_BY Techs'!$E:$E,'RSD_BY Techs'!$D141)</f>
        <v>26.764912231005535</v>
      </c>
      <c r="AE141" s="242">
        <f>SUMIFS('Key Inputs_BY Techs'!Y:Y,'Key Inputs_BY Techs'!$A:$A,$L141,'Key Inputs_BY Techs'!$C:$C,'RSD_BY Techs'!$B141,'Key Inputs_BY Techs'!$E:$E,'RSD_BY Techs'!$D141)</f>
        <v>8.3120177775500448</v>
      </c>
      <c r="AF141" s="242">
        <f>SUMIFS('Key Inputs_BY Techs'!Z:Z,'Key Inputs_BY Techs'!$A:$A,$L141,'Key Inputs_BY Techs'!$C:$C,'RSD_BY Techs'!$B141,'Key Inputs_BY Techs'!$E:$E,'RSD_BY Techs'!$D141)</f>
        <v>0</v>
      </c>
      <c r="AG141" s="242">
        <f>SUMIFS('Key Inputs_BY Techs'!AA:AA,'Key Inputs_BY Techs'!$A:$A,$L141,'Key Inputs_BY Techs'!$C:$C,'RSD_BY Techs'!$B141,'Key Inputs_BY Techs'!$E:$E,'RSD_BY Techs'!$D141)</f>
        <v>0</v>
      </c>
      <c r="AH141" s="242">
        <f>SUMIFS('Key Inputs_BY Techs'!AB:AB,'Key Inputs_BY Techs'!$A:$A,$L141,'Key Inputs_BY Techs'!$C:$C,'RSD_BY Techs'!$B141,'Key Inputs_BY Techs'!$E:$E,'RSD_BY Techs'!$D141)</f>
        <v>5.0770702352640757</v>
      </c>
      <c r="AI141" s="242">
        <f>SUMIFS('Key Inputs_BY Techs'!AC:AC,'Key Inputs_BY Techs'!$A:$A,$L141,'Key Inputs_BY Techs'!$C:$C,'RSD_BY Techs'!$B141,'Key Inputs_BY Techs'!$E:$E,'RSD_BY Techs'!$D141)</f>
        <v>2.9833655943203961</v>
      </c>
      <c r="AJ141" s="242">
        <f>SUMIFS('Key Inputs_BY Techs'!AD:AD,'Key Inputs_BY Techs'!$A:$A,$L141,'Key Inputs_BY Techs'!$C:$C,'RSD_BY Techs'!$B141,'Key Inputs_BY Techs'!$E:$E,'RSD_BY Techs'!$D141)</f>
        <v>5.6523113475326934</v>
      </c>
      <c r="AK141" s="242">
        <f>SUMIFS('Key Inputs_BY Techs'!AE:AE,'Key Inputs_BY Techs'!$A:$A,$L141,'Key Inputs_BY Techs'!$C:$C,'RSD_BY Techs'!$B141,'Key Inputs_BY Techs'!$E:$E,'RSD_BY Techs'!$D141)</f>
        <v>0.48253815577037285</v>
      </c>
      <c r="AL141" s="242">
        <f>SUMIFS('Key Inputs_BY Techs'!AF:AF,'Key Inputs_BY Techs'!$A:$A,$L141,'Key Inputs_BY Techs'!$C:$C,'RSD_BY Techs'!$B141,'Key Inputs_BY Techs'!$E:$E,'RSD_BY Techs'!$D141)</f>
        <v>0.29699194452467631</v>
      </c>
      <c r="AM141" s="242">
        <f>SUMIFS('Key Inputs_BY Techs'!AG:AG,'Key Inputs_BY Techs'!$A:$A,$L141,'Key Inputs_BY Techs'!$C:$C,'RSD_BY Techs'!$B141,'Key Inputs_BY Techs'!$E:$E,'RSD_BY Techs'!$D141)</f>
        <v>0</v>
      </c>
      <c r="AN141" s="242">
        <f>SUMIFS('Key Inputs_BY Techs'!AH:AH,'Key Inputs_BY Techs'!$A:$A,$L141,'Key Inputs_BY Techs'!$C:$C,'RSD_BY Techs'!$B141,'Key Inputs_BY Techs'!$E:$E,'RSD_BY Techs'!$D141)</f>
        <v>49.248096312246922</v>
      </c>
      <c r="AO141" s="242">
        <f>SUMIFS('Key Inputs_BY Techs'!AI:AI,'Key Inputs_BY Techs'!$A:$A,$L141,'Key Inputs_BY Techs'!$C:$C,'RSD_BY Techs'!$B141,'Key Inputs_BY Techs'!$E:$E,'RSD_BY Techs'!$D141)</f>
        <v>22.859680461601677</v>
      </c>
      <c r="AP141" s="242">
        <f>SUMIFS('Key Inputs_BY Techs'!AJ:AJ,'Key Inputs_BY Techs'!$A:$A,$L141,'Key Inputs_BY Techs'!$C:$C,'RSD_BY Techs'!$B141,'Key Inputs_BY Techs'!$E:$E,'RSD_BY Techs'!$D141)</f>
        <v>474.43973686999749</v>
      </c>
    </row>
    <row r="142" spans="1:42" x14ac:dyDescent="0.25">
      <c r="A142" s="254" t="s">
        <v>122</v>
      </c>
      <c r="B142" s="254" t="s">
        <v>469</v>
      </c>
      <c r="C142" s="254" t="str">
        <f>Legend!$A$67</f>
        <v>Geothermal</v>
      </c>
      <c r="D142" s="254" t="str">
        <f>Legend!$B$67</f>
        <v>RSDGEO</v>
      </c>
      <c r="E142" s="254" t="str">
        <f t="shared" si="36"/>
        <v>RSDGEO</v>
      </c>
      <c r="F142" s="254"/>
      <c r="G142" s="254"/>
      <c r="I142" s="81" t="str">
        <f t="shared" si="35"/>
        <v>R-THH-HEX_GEO00</v>
      </c>
      <c r="J142" s="81" t="str">
        <f t="shared" si="35"/>
        <v>RSD Thermal uses technology: Geothermal - Existing</v>
      </c>
      <c r="L142" s="81" t="s">
        <v>377</v>
      </c>
      <c r="M142" s="87" t="str">
        <f>'Key Inputs_BY Techs'!F126</f>
        <v>GW</v>
      </c>
      <c r="O142" s="242">
        <f>SUMIFS('Key Inputs_BY Techs'!I:I,'Key Inputs_BY Techs'!$A:$A,$L142,'Key Inputs_BY Techs'!$C:$C,'RSD_BY Techs'!$B142,'Key Inputs_BY Techs'!$E:$E,'RSD_BY Techs'!$D142)</f>
        <v>0</v>
      </c>
      <c r="P142" s="242">
        <f>SUMIFS('Key Inputs_BY Techs'!J:J,'Key Inputs_BY Techs'!$A:$A,$L142,'Key Inputs_BY Techs'!$C:$C,'RSD_BY Techs'!$B142,'Key Inputs_BY Techs'!$E:$E,'RSD_BY Techs'!$D142)</f>
        <v>0</v>
      </c>
      <c r="Q142" s="242">
        <f>SUMIFS('Key Inputs_BY Techs'!K:K,'Key Inputs_BY Techs'!$A:$A,$L142,'Key Inputs_BY Techs'!$C:$C,'RSD_BY Techs'!$B142,'Key Inputs_BY Techs'!$E:$E,'RSD_BY Techs'!$D142)</f>
        <v>0</v>
      </c>
      <c r="R142" s="242">
        <f>SUMIFS('Key Inputs_BY Techs'!L:L,'Key Inputs_BY Techs'!$A:$A,$L142,'Key Inputs_BY Techs'!$C:$C,'RSD_BY Techs'!$B142,'Key Inputs_BY Techs'!$E:$E,'RSD_BY Techs'!$D142)</f>
        <v>0</v>
      </c>
      <c r="S142" s="242">
        <f>SUMIFS('Key Inputs_BY Techs'!M:M,'Key Inputs_BY Techs'!$A:$A,$L142,'Key Inputs_BY Techs'!$C:$C,'RSD_BY Techs'!$B142,'Key Inputs_BY Techs'!$E:$E,'RSD_BY Techs'!$D142)</f>
        <v>7.075877349677961E-5</v>
      </c>
      <c r="T142" s="242">
        <f>SUMIFS('Key Inputs_BY Techs'!N:N,'Key Inputs_BY Techs'!$A:$A,$L142,'Key Inputs_BY Techs'!$C:$C,'RSD_BY Techs'!$B142,'Key Inputs_BY Techs'!$E:$E,'RSD_BY Techs'!$D142)</f>
        <v>0</v>
      </c>
      <c r="U142" s="242">
        <f>SUMIFS('Key Inputs_BY Techs'!O:O,'Key Inputs_BY Techs'!$A:$A,$L142,'Key Inputs_BY Techs'!$C:$C,'RSD_BY Techs'!$B142,'Key Inputs_BY Techs'!$E:$E,'RSD_BY Techs'!$D142)</f>
        <v>0</v>
      </c>
      <c r="V142" s="242">
        <f>SUMIFS('Key Inputs_BY Techs'!P:P,'Key Inputs_BY Techs'!$A:$A,$L142,'Key Inputs_BY Techs'!$C:$C,'RSD_BY Techs'!$B142,'Key Inputs_BY Techs'!$E:$E,'RSD_BY Techs'!$D142)</f>
        <v>0</v>
      </c>
      <c r="W142" s="242">
        <f>SUMIFS('Key Inputs_BY Techs'!Q:Q,'Key Inputs_BY Techs'!$A:$A,$L142,'Key Inputs_BY Techs'!$C:$C,'RSD_BY Techs'!$B142,'Key Inputs_BY Techs'!$E:$E,'RSD_BY Techs'!$D142)</f>
        <v>0</v>
      </c>
      <c r="X142" s="242">
        <f>SUMIFS('Key Inputs_BY Techs'!R:R,'Key Inputs_BY Techs'!$A:$A,$L142,'Key Inputs_BY Techs'!$C:$C,'RSD_BY Techs'!$B142,'Key Inputs_BY Techs'!$E:$E,'RSD_BY Techs'!$D142)</f>
        <v>0</v>
      </c>
      <c r="Y142" s="242">
        <f>SUMIFS('Key Inputs_BY Techs'!S:S,'Key Inputs_BY Techs'!$A:$A,$L142,'Key Inputs_BY Techs'!$C:$C,'RSD_BY Techs'!$B142,'Key Inputs_BY Techs'!$E:$E,'RSD_BY Techs'!$D142)</f>
        <v>0</v>
      </c>
      <c r="Z142" s="242">
        <f>SUMIFS('Key Inputs_BY Techs'!T:T,'Key Inputs_BY Techs'!$A:$A,$L142,'Key Inputs_BY Techs'!$C:$C,'RSD_BY Techs'!$B142,'Key Inputs_BY Techs'!$E:$E,'RSD_BY Techs'!$D142)</f>
        <v>0</v>
      </c>
      <c r="AA142" s="242">
        <f>SUMIFS('Key Inputs_BY Techs'!U:U,'Key Inputs_BY Techs'!$A:$A,$L142,'Key Inputs_BY Techs'!$C:$C,'RSD_BY Techs'!$B142,'Key Inputs_BY Techs'!$E:$E,'RSD_BY Techs'!$D142)</f>
        <v>0</v>
      </c>
      <c r="AB142" s="242">
        <f>SUMIFS('Key Inputs_BY Techs'!V:V,'Key Inputs_BY Techs'!$A:$A,$L142,'Key Inputs_BY Techs'!$C:$C,'RSD_BY Techs'!$B142,'Key Inputs_BY Techs'!$E:$E,'RSD_BY Techs'!$D142)</f>
        <v>1.8254896523726666E-2</v>
      </c>
      <c r="AC142" s="242">
        <f>SUMIFS('Key Inputs_BY Techs'!W:W,'Key Inputs_BY Techs'!$A:$A,$L142,'Key Inputs_BY Techs'!$C:$C,'RSD_BY Techs'!$B142,'Key Inputs_BY Techs'!$E:$E,'RSD_BY Techs'!$D142)</f>
        <v>1.0879454808802743E-3</v>
      </c>
      <c r="AD142" s="242">
        <f>SUMIFS('Key Inputs_BY Techs'!X:X,'Key Inputs_BY Techs'!$A:$A,$L142,'Key Inputs_BY Techs'!$C:$C,'RSD_BY Techs'!$B142,'Key Inputs_BY Techs'!$E:$E,'RSD_BY Techs'!$D142)</f>
        <v>9.0439505101090416E-4</v>
      </c>
      <c r="AE142" s="242">
        <f>SUMIFS('Key Inputs_BY Techs'!Y:Y,'Key Inputs_BY Techs'!$A:$A,$L142,'Key Inputs_BY Techs'!$C:$C,'RSD_BY Techs'!$B142,'Key Inputs_BY Techs'!$E:$E,'RSD_BY Techs'!$D142)</f>
        <v>5.1076112886529555E-3</v>
      </c>
      <c r="AF142" s="242">
        <f>SUMIFS('Key Inputs_BY Techs'!Z:Z,'Key Inputs_BY Techs'!$A:$A,$L142,'Key Inputs_BY Techs'!$C:$C,'RSD_BY Techs'!$B142,'Key Inputs_BY Techs'!$E:$E,'RSD_BY Techs'!$D142)</f>
        <v>0</v>
      </c>
      <c r="AG142" s="242">
        <f>SUMIFS('Key Inputs_BY Techs'!AA:AA,'Key Inputs_BY Techs'!$A:$A,$L142,'Key Inputs_BY Techs'!$C:$C,'RSD_BY Techs'!$B142,'Key Inputs_BY Techs'!$E:$E,'RSD_BY Techs'!$D142)</f>
        <v>0</v>
      </c>
      <c r="AH142" s="242">
        <f>SUMIFS('Key Inputs_BY Techs'!AB:AB,'Key Inputs_BY Techs'!$A:$A,$L142,'Key Inputs_BY Techs'!$C:$C,'RSD_BY Techs'!$B142,'Key Inputs_BY Techs'!$E:$E,'RSD_BY Techs'!$D142)</f>
        <v>3.4121456072686719E-2</v>
      </c>
      <c r="AI142" s="242">
        <f>SUMIFS('Key Inputs_BY Techs'!AC:AC,'Key Inputs_BY Techs'!$A:$A,$L142,'Key Inputs_BY Techs'!$C:$C,'RSD_BY Techs'!$B142,'Key Inputs_BY Techs'!$E:$E,'RSD_BY Techs'!$D142)</f>
        <v>0</v>
      </c>
      <c r="AJ142" s="242">
        <f>SUMIFS('Key Inputs_BY Techs'!AD:AD,'Key Inputs_BY Techs'!$A:$A,$L142,'Key Inputs_BY Techs'!$C:$C,'RSD_BY Techs'!$B142,'Key Inputs_BY Techs'!$E:$E,'RSD_BY Techs'!$D142)</f>
        <v>0.58690270487209806</v>
      </c>
      <c r="AK142" s="242">
        <f>SUMIFS('Key Inputs_BY Techs'!AE:AE,'Key Inputs_BY Techs'!$A:$A,$L142,'Key Inputs_BY Techs'!$C:$C,'RSD_BY Techs'!$B142,'Key Inputs_BY Techs'!$E:$E,'RSD_BY Techs'!$D142)</f>
        <v>0</v>
      </c>
      <c r="AL142" s="242">
        <f>SUMIFS('Key Inputs_BY Techs'!AF:AF,'Key Inputs_BY Techs'!$A:$A,$L142,'Key Inputs_BY Techs'!$C:$C,'RSD_BY Techs'!$B142,'Key Inputs_BY Techs'!$E:$E,'RSD_BY Techs'!$D142)</f>
        <v>0</v>
      </c>
      <c r="AM142" s="242">
        <f>SUMIFS('Key Inputs_BY Techs'!AG:AG,'Key Inputs_BY Techs'!$A:$A,$L142,'Key Inputs_BY Techs'!$C:$C,'RSD_BY Techs'!$B142,'Key Inputs_BY Techs'!$E:$E,'RSD_BY Techs'!$D142)</f>
        <v>0</v>
      </c>
      <c r="AN142" s="242">
        <f>SUMIFS('Key Inputs_BY Techs'!AH:AH,'Key Inputs_BY Techs'!$A:$A,$L142,'Key Inputs_BY Techs'!$C:$C,'RSD_BY Techs'!$B142,'Key Inputs_BY Techs'!$E:$E,'RSD_BY Techs'!$D142)</f>
        <v>0</v>
      </c>
      <c r="AO142" s="242">
        <f>SUMIFS('Key Inputs_BY Techs'!AI:AI,'Key Inputs_BY Techs'!$A:$A,$L142,'Key Inputs_BY Techs'!$C:$C,'RSD_BY Techs'!$B142,'Key Inputs_BY Techs'!$E:$E,'RSD_BY Techs'!$D142)</f>
        <v>0.10182844020656227</v>
      </c>
      <c r="AP142" s="242">
        <f>SUMIFS('Key Inputs_BY Techs'!AJ:AJ,'Key Inputs_BY Techs'!$A:$A,$L142,'Key Inputs_BY Techs'!$C:$C,'RSD_BY Techs'!$B142,'Key Inputs_BY Techs'!$E:$E,'RSD_BY Techs'!$D142)</f>
        <v>1.2103057690508436</v>
      </c>
    </row>
    <row r="143" spans="1:42" x14ac:dyDescent="0.25">
      <c r="A143" s="254" t="s">
        <v>122</v>
      </c>
      <c r="B143" s="254" t="s">
        <v>469</v>
      </c>
      <c r="C143" s="254" t="str">
        <f>Legend!$A$68</f>
        <v>Heat</v>
      </c>
      <c r="D143" s="254" t="str">
        <f>Legend!$B$68</f>
        <v>RSDHET</v>
      </c>
      <c r="E143" s="254" t="str">
        <f t="shared" si="36"/>
        <v>RSDHET</v>
      </c>
      <c r="F143" s="254"/>
      <c r="G143" s="254"/>
      <c r="I143" s="81" t="str">
        <f t="shared" si="35"/>
        <v>R-THH-HEX_HET00</v>
      </c>
      <c r="J143" s="81" t="str">
        <f t="shared" si="35"/>
        <v>RSD Thermal uses technology: Heat - Existing</v>
      </c>
      <c r="L143" s="81" t="s">
        <v>377</v>
      </c>
      <c r="M143" s="87" t="str">
        <f>'Key Inputs_BY Techs'!F127</f>
        <v>GW</v>
      </c>
      <c r="O143" s="242">
        <f>SUMIFS('Key Inputs_BY Techs'!I:I,'Key Inputs_BY Techs'!$A:$A,$L143,'Key Inputs_BY Techs'!$C:$C,'RSD_BY Techs'!$B143,'Key Inputs_BY Techs'!$E:$E,'RSD_BY Techs'!$D143)</f>
        <v>0</v>
      </c>
      <c r="P143" s="242">
        <f>SUMIFS('Key Inputs_BY Techs'!J:J,'Key Inputs_BY Techs'!$A:$A,$L143,'Key Inputs_BY Techs'!$C:$C,'RSD_BY Techs'!$B143,'Key Inputs_BY Techs'!$E:$E,'RSD_BY Techs'!$D143)</f>
        <v>0</v>
      </c>
      <c r="Q143" s="242">
        <f>SUMIFS('Key Inputs_BY Techs'!K:K,'Key Inputs_BY Techs'!$A:$A,$L143,'Key Inputs_BY Techs'!$C:$C,'RSD_BY Techs'!$B143,'Key Inputs_BY Techs'!$E:$E,'RSD_BY Techs'!$D143)</f>
        <v>0</v>
      </c>
      <c r="R143" s="242">
        <f>SUMIFS('Key Inputs_BY Techs'!L:L,'Key Inputs_BY Techs'!$A:$A,$L143,'Key Inputs_BY Techs'!$C:$C,'RSD_BY Techs'!$B143,'Key Inputs_BY Techs'!$E:$E,'RSD_BY Techs'!$D143)</f>
        <v>0</v>
      </c>
      <c r="S143" s="242">
        <f>SUMIFS('Key Inputs_BY Techs'!M:M,'Key Inputs_BY Techs'!$A:$A,$L143,'Key Inputs_BY Techs'!$C:$C,'RSD_BY Techs'!$B143,'Key Inputs_BY Techs'!$E:$E,'RSD_BY Techs'!$D143)</f>
        <v>0</v>
      </c>
      <c r="T143" s="242">
        <f>SUMIFS('Key Inputs_BY Techs'!N:N,'Key Inputs_BY Techs'!$A:$A,$L143,'Key Inputs_BY Techs'!$C:$C,'RSD_BY Techs'!$B143,'Key Inputs_BY Techs'!$E:$E,'RSD_BY Techs'!$D143)</f>
        <v>0</v>
      </c>
      <c r="U143" s="242">
        <f>SUMIFS('Key Inputs_BY Techs'!O:O,'Key Inputs_BY Techs'!$A:$A,$L143,'Key Inputs_BY Techs'!$C:$C,'RSD_BY Techs'!$B143,'Key Inputs_BY Techs'!$E:$E,'RSD_BY Techs'!$D143)</f>
        <v>0</v>
      </c>
      <c r="V143" s="242">
        <f>SUMIFS('Key Inputs_BY Techs'!P:P,'Key Inputs_BY Techs'!$A:$A,$L143,'Key Inputs_BY Techs'!$C:$C,'RSD_BY Techs'!$B143,'Key Inputs_BY Techs'!$E:$E,'RSD_BY Techs'!$D143)</f>
        <v>0</v>
      </c>
      <c r="W143" s="242">
        <f>SUMIFS('Key Inputs_BY Techs'!Q:Q,'Key Inputs_BY Techs'!$A:$A,$L143,'Key Inputs_BY Techs'!$C:$C,'RSD_BY Techs'!$B143,'Key Inputs_BY Techs'!$E:$E,'RSD_BY Techs'!$D143)</f>
        <v>0</v>
      </c>
      <c r="X143" s="242">
        <f>SUMIFS('Key Inputs_BY Techs'!R:R,'Key Inputs_BY Techs'!$A:$A,$L143,'Key Inputs_BY Techs'!$C:$C,'RSD_BY Techs'!$B143,'Key Inputs_BY Techs'!$E:$E,'RSD_BY Techs'!$D143)</f>
        <v>0</v>
      </c>
      <c r="Y143" s="242">
        <f>SUMIFS('Key Inputs_BY Techs'!S:S,'Key Inputs_BY Techs'!$A:$A,$L143,'Key Inputs_BY Techs'!$C:$C,'RSD_BY Techs'!$B143,'Key Inputs_BY Techs'!$E:$E,'RSD_BY Techs'!$D143)</f>
        <v>0</v>
      </c>
      <c r="Z143" s="242">
        <f>SUMIFS('Key Inputs_BY Techs'!T:T,'Key Inputs_BY Techs'!$A:$A,$L143,'Key Inputs_BY Techs'!$C:$C,'RSD_BY Techs'!$B143,'Key Inputs_BY Techs'!$E:$E,'RSD_BY Techs'!$D143)</f>
        <v>32.1546593710056</v>
      </c>
      <c r="AA143" s="242">
        <f>SUMIFS('Key Inputs_BY Techs'!U:U,'Key Inputs_BY Techs'!$A:$A,$L143,'Key Inputs_BY Techs'!$C:$C,'RSD_BY Techs'!$B143,'Key Inputs_BY Techs'!$E:$E,'RSD_BY Techs'!$D143)</f>
        <v>0.10986493587034901</v>
      </c>
      <c r="AB143" s="242">
        <f>SUMIFS('Key Inputs_BY Techs'!V:V,'Key Inputs_BY Techs'!$A:$A,$L143,'Key Inputs_BY Techs'!$C:$C,'RSD_BY Techs'!$B143,'Key Inputs_BY Techs'!$E:$E,'RSD_BY Techs'!$D143)</f>
        <v>1.4716804641711227</v>
      </c>
      <c r="AC143" s="242">
        <f>SUMIFS('Key Inputs_BY Techs'!W:W,'Key Inputs_BY Techs'!$A:$A,$L143,'Key Inputs_BY Techs'!$C:$C,'RSD_BY Techs'!$B143,'Key Inputs_BY Techs'!$E:$E,'RSD_BY Techs'!$D143)</f>
        <v>0.3789696109973455</v>
      </c>
      <c r="AD143" s="242">
        <f>SUMIFS('Key Inputs_BY Techs'!X:X,'Key Inputs_BY Techs'!$A:$A,$L143,'Key Inputs_BY Techs'!$C:$C,'RSD_BY Techs'!$B143,'Key Inputs_BY Techs'!$E:$E,'RSD_BY Techs'!$D143)</f>
        <v>1.9186124374207012</v>
      </c>
      <c r="AE143" s="242">
        <f>SUMIFS('Key Inputs_BY Techs'!Y:Y,'Key Inputs_BY Techs'!$A:$A,$L143,'Key Inputs_BY Techs'!$C:$C,'RSD_BY Techs'!$B143,'Key Inputs_BY Techs'!$E:$E,'RSD_BY Techs'!$D143)</f>
        <v>2.1877248329641001</v>
      </c>
      <c r="AF143" s="242">
        <f>SUMIFS('Key Inputs_BY Techs'!Z:Z,'Key Inputs_BY Techs'!$A:$A,$L143,'Key Inputs_BY Techs'!$C:$C,'RSD_BY Techs'!$B143,'Key Inputs_BY Techs'!$E:$E,'RSD_BY Techs'!$D143)</f>
        <v>0</v>
      </c>
      <c r="AG143" s="242">
        <f>SUMIFS('Key Inputs_BY Techs'!AA:AA,'Key Inputs_BY Techs'!$A:$A,$L143,'Key Inputs_BY Techs'!$C:$C,'RSD_BY Techs'!$B143,'Key Inputs_BY Techs'!$E:$E,'RSD_BY Techs'!$D143)</f>
        <v>0</v>
      </c>
      <c r="AH143" s="242">
        <f>SUMIFS('Key Inputs_BY Techs'!AB:AB,'Key Inputs_BY Techs'!$A:$A,$L143,'Key Inputs_BY Techs'!$C:$C,'RSD_BY Techs'!$B143,'Key Inputs_BY Techs'!$E:$E,'RSD_BY Techs'!$D143)</f>
        <v>1.4896152488967815E-2</v>
      </c>
      <c r="AI143" s="242">
        <f>SUMIFS('Key Inputs_BY Techs'!AC:AC,'Key Inputs_BY Techs'!$A:$A,$L143,'Key Inputs_BY Techs'!$C:$C,'RSD_BY Techs'!$B143,'Key Inputs_BY Techs'!$E:$E,'RSD_BY Techs'!$D143)</f>
        <v>0</v>
      </c>
      <c r="AJ143" s="242">
        <f>SUMIFS('Key Inputs_BY Techs'!AD:AD,'Key Inputs_BY Techs'!$A:$A,$L143,'Key Inputs_BY Techs'!$C:$C,'RSD_BY Techs'!$B143,'Key Inputs_BY Techs'!$E:$E,'RSD_BY Techs'!$D143)</f>
        <v>3.1299928266095976E-2</v>
      </c>
      <c r="AK143" s="242">
        <f>SUMIFS('Key Inputs_BY Techs'!AE:AE,'Key Inputs_BY Techs'!$A:$A,$L143,'Key Inputs_BY Techs'!$C:$C,'RSD_BY Techs'!$B143,'Key Inputs_BY Techs'!$E:$E,'RSD_BY Techs'!$D143)</f>
        <v>0</v>
      </c>
      <c r="AL143" s="242">
        <f>SUMIFS('Key Inputs_BY Techs'!AF:AF,'Key Inputs_BY Techs'!$A:$A,$L143,'Key Inputs_BY Techs'!$C:$C,'RSD_BY Techs'!$B143,'Key Inputs_BY Techs'!$E:$E,'RSD_BY Techs'!$D143)</f>
        <v>0</v>
      </c>
      <c r="AM143" s="242">
        <f>SUMIFS('Key Inputs_BY Techs'!AG:AG,'Key Inputs_BY Techs'!$A:$A,$L143,'Key Inputs_BY Techs'!$C:$C,'RSD_BY Techs'!$B143,'Key Inputs_BY Techs'!$E:$E,'RSD_BY Techs'!$D143)</f>
        <v>0</v>
      </c>
      <c r="AN143" s="242">
        <f>SUMIFS('Key Inputs_BY Techs'!AH:AH,'Key Inputs_BY Techs'!$A:$A,$L143,'Key Inputs_BY Techs'!$C:$C,'RSD_BY Techs'!$B143,'Key Inputs_BY Techs'!$E:$E,'RSD_BY Techs'!$D143)</f>
        <v>39.189962371603841</v>
      </c>
      <c r="AO143" s="242">
        <f>SUMIFS('Key Inputs_BY Techs'!AI:AI,'Key Inputs_BY Techs'!$A:$A,$L143,'Key Inputs_BY Techs'!$C:$C,'RSD_BY Techs'!$B143,'Key Inputs_BY Techs'!$E:$E,'RSD_BY Techs'!$D143)</f>
        <v>5.6149573990783654</v>
      </c>
      <c r="AP143" s="242">
        <f>SUMIFS('Key Inputs_BY Techs'!AJ:AJ,'Key Inputs_BY Techs'!$A:$A,$L143,'Key Inputs_BY Techs'!$C:$C,'RSD_BY Techs'!$B143,'Key Inputs_BY Techs'!$E:$E,'RSD_BY Techs'!$D143)</f>
        <v>0</v>
      </c>
    </row>
    <row r="144" spans="1:42" x14ac:dyDescent="0.25">
      <c r="A144" s="254" t="s">
        <v>122</v>
      </c>
      <c r="B144" s="254" t="s">
        <v>469</v>
      </c>
      <c r="C144" s="254" t="str">
        <f>Legend!$A$70</f>
        <v>LPG</v>
      </c>
      <c r="D144" s="254" t="str">
        <f>Legend!$B$70</f>
        <v>RSDLPG</v>
      </c>
      <c r="E144" s="254" t="str">
        <f t="shared" si="36"/>
        <v>RSDLPG</v>
      </c>
      <c r="F144" s="254"/>
      <c r="G144" s="254"/>
      <c r="I144" s="81" t="str">
        <f t="shared" si="35"/>
        <v>R-THH-BLR_LPG00</v>
      </c>
      <c r="J144" s="81" t="str">
        <f t="shared" si="35"/>
        <v>RSD Thermal uses technology: LPG - Existing</v>
      </c>
      <c r="L144" s="81" t="s">
        <v>377</v>
      </c>
      <c r="M144" s="87" t="str">
        <f>'Key Inputs_BY Techs'!F128</f>
        <v>GW</v>
      </c>
      <c r="O144" s="242">
        <f>SUMIFS('Key Inputs_BY Techs'!I:I,'Key Inputs_BY Techs'!$A:$A,$L144,'Key Inputs_BY Techs'!$C:$C,'RSD_BY Techs'!$B144,'Key Inputs_BY Techs'!$E:$E,'RSD_BY Techs'!$D144)</f>
        <v>2.9822079882509619E-2</v>
      </c>
      <c r="P144" s="242">
        <f>SUMIFS('Key Inputs_BY Techs'!J:J,'Key Inputs_BY Techs'!$A:$A,$L144,'Key Inputs_BY Techs'!$C:$C,'RSD_BY Techs'!$B144,'Key Inputs_BY Techs'!$E:$E,'RSD_BY Techs'!$D144)</f>
        <v>0</v>
      </c>
      <c r="Q144" s="242">
        <f>SUMIFS('Key Inputs_BY Techs'!K:K,'Key Inputs_BY Techs'!$A:$A,$L144,'Key Inputs_BY Techs'!$C:$C,'RSD_BY Techs'!$B144,'Key Inputs_BY Techs'!$E:$E,'RSD_BY Techs'!$D144)</f>
        <v>0.20475966856348191</v>
      </c>
      <c r="R144" s="242">
        <f>SUMIFS('Key Inputs_BY Techs'!L:L,'Key Inputs_BY Techs'!$A:$A,$L144,'Key Inputs_BY Techs'!$C:$C,'RSD_BY Techs'!$B144,'Key Inputs_BY Techs'!$E:$E,'RSD_BY Techs'!$D144)</f>
        <v>0</v>
      </c>
      <c r="S144" s="242">
        <f>SUMIFS('Key Inputs_BY Techs'!M:M,'Key Inputs_BY Techs'!$A:$A,$L144,'Key Inputs_BY Techs'!$C:$C,'RSD_BY Techs'!$B144,'Key Inputs_BY Techs'!$E:$E,'RSD_BY Techs'!$D144)</f>
        <v>6.392751982350728E-3</v>
      </c>
      <c r="T144" s="242">
        <f>SUMIFS('Key Inputs_BY Techs'!N:N,'Key Inputs_BY Techs'!$A:$A,$L144,'Key Inputs_BY Techs'!$C:$C,'RSD_BY Techs'!$B144,'Key Inputs_BY Techs'!$E:$E,'RSD_BY Techs'!$D144)</f>
        <v>0</v>
      </c>
      <c r="U144" s="242">
        <f>SUMIFS('Key Inputs_BY Techs'!O:O,'Key Inputs_BY Techs'!$A:$A,$L144,'Key Inputs_BY Techs'!$C:$C,'RSD_BY Techs'!$B144,'Key Inputs_BY Techs'!$E:$E,'RSD_BY Techs'!$D144)</f>
        <v>2.6158355925967647E-2</v>
      </c>
      <c r="V144" s="242">
        <f>SUMIFS('Key Inputs_BY Techs'!P:P,'Key Inputs_BY Techs'!$A:$A,$L144,'Key Inputs_BY Techs'!$C:$C,'RSD_BY Techs'!$B144,'Key Inputs_BY Techs'!$E:$E,'RSD_BY Techs'!$D144)</f>
        <v>0</v>
      </c>
      <c r="W144" s="242">
        <f>SUMIFS('Key Inputs_BY Techs'!Q:Q,'Key Inputs_BY Techs'!$A:$A,$L144,'Key Inputs_BY Techs'!$C:$C,'RSD_BY Techs'!$B144,'Key Inputs_BY Techs'!$E:$E,'RSD_BY Techs'!$D144)</f>
        <v>8.3212681200224931E-2</v>
      </c>
      <c r="X144" s="242">
        <f>SUMIFS('Key Inputs_BY Techs'!R:R,'Key Inputs_BY Techs'!$A:$A,$L144,'Key Inputs_BY Techs'!$C:$C,'RSD_BY Techs'!$B144,'Key Inputs_BY Techs'!$E:$E,'RSD_BY Techs'!$D144)</f>
        <v>0.34365294719828132</v>
      </c>
      <c r="Y144" s="242">
        <f>SUMIFS('Key Inputs_BY Techs'!S:S,'Key Inputs_BY Techs'!$A:$A,$L144,'Key Inputs_BY Techs'!$C:$C,'RSD_BY Techs'!$B144,'Key Inputs_BY Techs'!$E:$E,'RSD_BY Techs'!$D144)</f>
        <v>0</v>
      </c>
      <c r="Z144" s="242">
        <f>SUMIFS('Key Inputs_BY Techs'!T:T,'Key Inputs_BY Techs'!$A:$A,$L144,'Key Inputs_BY Techs'!$C:$C,'RSD_BY Techs'!$B144,'Key Inputs_BY Techs'!$E:$E,'RSD_BY Techs'!$D144)</f>
        <v>15.157175139299605</v>
      </c>
      <c r="AA144" s="242">
        <f>SUMIFS('Key Inputs_BY Techs'!U:U,'Key Inputs_BY Techs'!$A:$A,$L144,'Key Inputs_BY Techs'!$C:$C,'RSD_BY Techs'!$B144,'Key Inputs_BY Techs'!$E:$E,'RSD_BY Techs'!$D144)</f>
        <v>2.1786415106920141E-3</v>
      </c>
      <c r="AB144" s="242">
        <f>SUMIFS('Key Inputs_BY Techs'!V:V,'Key Inputs_BY Techs'!$A:$A,$L144,'Key Inputs_BY Techs'!$C:$C,'RSD_BY Techs'!$B144,'Key Inputs_BY Techs'!$E:$E,'RSD_BY Techs'!$D144)</f>
        <v>0.47071166965683531</v>
      </c>
      <c r="AC144" s="242">
        <f>SUMIFS('Key Inputs_BY Techs'!W:W,'Key Inputs_BY Techs'!$A:$A,$L144,'Key Inputs_BY Techs'!$C:$C,'RSD_BY Techs'!$B144,'Key Inputs_BY Techs'!$E:$E,'RSD_BY Techs'!$D144)</f>
        <v>2.6010950103458667E-2</v>
      </c>
      <c r="AD144" s="242">
        <f>SUMIFS('Key Inputs_BY Techs'!X:X,'Key Inputs_BY Techs'!$A:$A,$L144,'Key Inputs_BY Techs'!$C:$C,'RSD_BY Techs'!$B144,'Key Inputs_BY Techs'!$E:$E,'RSD_BY Techs'!$D144)</f>
        <v>3.2976868088196301</v>
      </c>
      <c r="AE144" s="242">
        <f>SUMIFS('Key Inputs_BY Techs'!Y:Y,'Key Inputs_BY Techs'!$A:$A,$L144,'Key Inputs_BY Techs'!$C:$C,'RSD_BY Techs'!$B144,'Key Inputs_BY Techs'!$E:$E,'RSD_BY Techs'!$D144)</f>
        <v>0.25603894302298474</v>
      </c>
      <c r="AF144" s="242">
        <f>SUMIFS('Key Inputs_BY Techs'!Z:Z,'Key Inputs_BY Techs'!$A:$A,$L144,'Key Inputs_BY Techs'!$C:$C,'RSD_BY Techs'!$B144,'Key Inputs_BY Techs'!$E:$E,'RSD_BY Techs'!$D144)</f>
        <v>0</v>
      </c>
      <c r="AG144" s="242">
        <f>SUMIFS('Key Inputs_BY Techs'!AA:AA,'Key Inputs_BY Techs'!$A:$A,$L144,'Key Inputs_BY Techs'!$C:$C,'RSD_BY Techs'!$B144,'Key Inputs_BY Techs'!$E:$E,'RSD_BY Techs'!$D144)</f>
        <v>0</v>
      </c>
      <c r="AH144" s="242">
        <f>SUMIFS('Key Inputs_BY Techs'!AB:AB,'Key Inputs_BY Techs'!$A:$A,$L144,'Key Inputs_BY Techs'!$C:$C,'RSD_BY Techs'!$B144,'Key Inputs_BY Techs'!$E:$E,'RSD_BY Techs'!$D144)</f>
        <v>3.0826925676499868</v>
      </c>
      <c r="AI144" s="242">
        <f>SUMIFS('Key Inputs_BY Techs'!AC:AC,'Key Inputs_BY Techs'!$A:$A,$L144,'Key Inputs_BY Techs'!$C:$C,'RSD_BY Techs'!$B144,'Key Inputs_BY Techs'!$E:$E,'RSD_BY Techs'!$D144)</f>
        <v>0.91721282370233481</v>
      </c>
      <c r="AJ144" s="242">
        <f>SUMIFS('Key Inputs_BY Techs'!AD:AD,'Key Inputs_BY Techs'!$A:$A,$L144,'Key Inputs_BY Techs'!$C:$C,'RSD_BY Techs'!$B144,'Key Inputs_BY Techs'!$E:$E,'RSD_BY Techs'!$D144)</f>
        <v>0.32550687128440753</v>
      </c>
      <c r="AK144" s="242">
        <f>SUMIFS('Key Inputs_BY Techs'!AE:AE,'Key Inputs_BY Techs'!$A:$A,$L144,'Key Inputs_BY Techs'!$C:$C,'RSD_BY Techs'!$B144,'Key Inputs_BY Techs'!$E:$E,'RSD_BY Techs'!$D144)</f>
        <v>3.405098237731629E-2</v>
      </c>
      <c r="AL144" s="242">
        <f>SUMIFS('Key Inputs_BY Techs'!AF:AF,'Key Inputs_BY Techs'!$A:$A,$L144,'Key Inputs_BY Techs'!$C:$C,'RSD_BY Techs'!$B144,'Key Inputs_BY Techs'!$E:$E,'RSD_BY Techs'!$D144)</f>
        <v>2.6213246727379977</v>
      </c>
      <c r="AM144" s="242">
        <f>SUMIFS('Key Inputs_BY Techs'!AG:AG,'Key Inputs_BY Techs'!$A:$A,$L144,'Key Inputs_BY Techs'!$C:$C,'RSD_BY Techs'!$B144,'Key Inputs_BY Techs'!$E:$E,'RSD_BY Techs'!$D144)</f>
        <v>7.3619090393791178E-2</v>
      </c>
      <c r="AN144" s="242">
        <f>SUMIFS('Key Inputs_BY Techs'!AH:AH,'Key Inputs_BY Techs'!$A:$A,$L144,'Key Inputs_BY Techs'!$C:$C,'RSD_BY Techs'!$B144,'Key Inputs_BY Techs'!$E:$E,'RSD_BY Techs'!$D144)</f>
        <v>0.21846525801096703</v>
      </c>
      <c r="AO144" s="242">
        <f>SUMIFS('Key Inputs_BY Techs'!AI:AI,'Key Inputs_BY Techs'!$A:$A,$L144,'Key Inputs_BY Techs'!$C:$C,'RSD_BY Techs'!$B144,'Key Inputs_BY Techs'!$E:$E,'RSD_BY Techs'!$D144)</f>
        <v>2.1437084355780724</v>
      </c>
      <c r="AP144" s="242">
        <f>SUMIFS('Key Inputs_BY Techs'!AJ:AJ,'Key Inputs_BY Techs'!$A:$A,$L144,'Key Inputs_BY Techs'!$C:$C,'RSD_BY Techs'!$B144,'Key Inputs_BY Techs'!$E:$E,'RSD_BY Techs'!$D144)</f>
        <v>19.014039421674951</v>
      </c>
    </row>
    <row r="145" spans="1:42" x14ac:dyDescent="0.25">
      <c r="A145" s="254" t="s">
        <v>122</v>
      </c>
      <c r="B145" s="254" t="s">
        <v>469</v>
      </c>
      <c r="C145" s="254" t="str">
        <f>Legend!$A$73&amp;", "&amp;Legend!$A$69</f>
        <v>Oil, Liquid biofuels</v>
      </c>
      <c r="D145" s="254" t="str">
        <f>Legend!$B$73&amp;", "&amp;Legend!$B$69</f>
        <v>RSDOIL, RSDBLQ</v>
      </c>
      <c r="E145" s="254" t="str">
        <f t="shared" si="36"/>
        <v>RSDOIL</v>
      </c>
      <c r="F145" s="254"/>
      <c r="G145" s="254"/>
      <c r="I145" s="81" t="str">
        <f t="shared" si="35"/>
        <v>R-THH-BLR_OIL00</v>
      </c>
      <c r="J145" s="81" t="str">
        <f t="shared" si="35"/>
        <v>RSD Thermal uses technology: Oil, Liquid biofuels - Existing</v>
      </c>
      <c r="L145" s="81" t="s">
        <v>377</v>
      </c>
      <c r="M145" s="87" t="str">
        <f>'Key Inputs_BY Techs'!F129</f>
        <v>GW</v>
      </c>
      <c r="O145" s="242">
        <f>SUMIFS('Key Inputs_BY Techs'!I:I,'Key Inputs_BY Techs'!$A:$A,$L145,'Key Inputs_BY Techs'!$C:$C,'RSD_BY Techs'!$B145,'Key Inputs_BY Techs'!$E:$E,'RSD_BY Techs'!$D145)</f>
        <v>9.5480621528792487E-3</v>
      </c>
      <c r="P145" s="242">
        <f>SUMIFS('Key Inputs_BY Techs'!J:J,'Key Inputs_BY Techs'!$A:$A,$L145,'Key Inputs_BY Techs'!$C:$C,'RSD_BY Techs'!$B145,'Key Inputs_BY Techs'!$E:$E,'RSD_BY Techs'!$D145)</f>
        <v>0</v>
      </c>
      <c r="Q145" s="242">
        <f>SUMIFS('Key Inputs_BY Techs'!K:K,'Key Inputs_BY Techs'!$A:$A,$L145,'Key Inputs_BY Techs'!$C:$C,'RSD_BY Techs'!$B145,'Key Inputs_BY Techs'!$E:$E,'RSD_BY Techs'!$D145)</f>
        <v>6.3293958108838408E-2</v>
      </c>
      <c r="R145" s="242">
        <f>SUMIFS('Key Inputs_BY Techs'!L:L,'Key Inputs_BY Techs'!$A:$A,$L145,'Key Inputs_BY Techs'!$C:$C,'RSD_BY Techs'!$B145,'Key Inputs_BY Techs'!$E:$E,'RSD_BY Techs'!$D145)</f>
        <v>0</v>
      </c>
      <c r="S145" s="242">
        <f>SUMIFS('Key Inputs_BY Techs'!M:M,'Key Inputs_BY Techs'!$A:$A,$L145,'Key Inputs_BY Techs'!$C:$C,'RSD_BY Techs'!$B145,'Key Inputs_BY Techs'!$E:$E,'RSD_BY Techs'!$D145)</f>
        <v>4.2735926876920196E-5</v>
      </c>
      <c r="T145" s="242">
        <f>SUMIFS('Key Inputs_BY Techs'!N:N,'Key Inputs_BY Techs'!$A:$A,$L145,'Key Inputs_BY Techs'!$C:$C,'RSD_BY Techs'!$B145,'Key Inputs_BY Techs'!$E:$E,'RSD_BY Techs'!$D145)</f>
        <v>0</v>
      </c>
      <c r="U145" s="242">
        <f>SUMIFS('Key Inputs_BY Techs'!O:O,'Key Inputs_BY Techs'!$A:$A,$L145,'Key Inputs_BY Techs'!$C:$C,'RSD_BY Techs'!$B145,'Key Inputs_BY Techs'!$E:$E,'RSD_BY Techs'!$D145)</f>
        <v>5.9093113014097604E-3</v>
      </c>
      <c r="V145" s="242">
        <f>SUMIFS('Key Inputs_BY Techs'!P:P,'Key Inputs_BY Techs'!$A:$A,$L145,'Key Inputs_BY Techs'!$C:$C,'RSD_BY Techs'!$B145,'Key Inputs_BY Techs'!$E:$E,'RSD_BY Techs'!$D145)</f>
        <v>0</v>
      </c>
      <c r="W145" s="242">
        <f>SUMIFS('Key Inputs_BY Techs'!Q:Q,'Key Inputs_BY Techs'!$A:$A,$L145,'Key Inputs_BY Techs'!$C:$C,'RSD_BY Techs'!$B145,'Key Inputs_BY Techs'!$E:$E,'RSD_BY Techs'!$D145)</f>
        <v>2.7282544775043999E-5</v>
      </c>
      <c r="X145" s="242">
        <f>SUMIFS('Key Inputs_BY Techs'!R:R,'Key Inputs_BY Techs'!$A:$A,$L145,'Key Inputs_BY Techs'!$C:$C,'RSD_BY Techs'!$B145,'Key Inputs_BY Techs'!$E:$E,'RSD_BY Techs'!$D145)</f>
        <v>1.2268816490374839</v>
      </c>
      <c r="Y145" s="242">
        <f>SUMIFS('Key Inputs_BY Techs'!S:S,'Key Inputs_BY Techs'!$A:$A,$L145,'Key Inputs_BY Techs'!$C:$C,'RSD_BY Techs'!$B145,'Key Inputs_BY Techs'!$E:$E,'RSD_BY Techs'!$D145)</f>
        <v>0</v>
      </c>
      <c r="Z145" s="242">
        <f>SUMIFS('Key Inputs_BY Techs'!T:T,'Key Inputs_BY Techs'!$A:$A,$L145,'Key Inputs_BY Techs'!$C:$C,'RSD_BY Techs'!$B145,'Key Inputs_BY Techs'!$E:$E,'RSD_BY Techs'!$D145)</f>
        <v>23.702166904296931</v>
      </c>
      <c r="AA145" s="242">
        <f>SUMIFS('Key Inputs_BY Techs'!U:U,'Key Inputs_BY Techs'!$A:$A,$L145,'Key Inputs_BY Techs'!$C:$C,'RSD_BY Techs'!$B145,'Key Inputs_BY Techs'!$E:$E,'RSD_BY Techs'!$D145)</f>
        <v>1.0667547886627564E-4</v>
      </c>
      <c r="AB145" s="242">
        <f>SUMIFS('Key Inputs_BY Techs'!V:V,'Key Inputs_BY Techs'!$A:$A,$L145,'Key Inputs_BY Techs'!$C:$C,'RSD_BY Techs'!$B145,'Key Inputs_BY Techs'!$E:$E,'RSD_BY Techs'!$D145)</f>
        <v>7.1357018529059424</v>
      </c>
      <c r="AC145" s="242">
        <f>SUMIFS('Key Inputs_BY Techs'!W:W,'Key Inputs_BY Techs'!$A:$A,$L145,'Key Inputs_BY Techs'!$C:$C,'RSD_BY Techs'!$B145,'Key Inputs_BY Techs'!$E:$E,'RSD_BY Techs'!$D145)</f>
        <v>7.0347491615137406E-3</v>
      </c>
      <c r="AD145" s="242">
        <f>SUMIFS('Key Inputs_BY Techs'!X:X,'Key Inputs_BY Techs'!$A:$A,$L145,'Key Inputs_BY Techs'!$C:$C,'RSD_BY Techs'!$B145,'Key Inputs_BY Techs'!$E:$E,'RSD_BY Techs'!$D145)</f>
        <v>7.1324730256889577</v>
      </c>
      <c r="AE145" s="242">
        <f>SUMIFS('Key Inputs_BY Techs'!Y:Y,'Key Inputs_BY Techs'!$A:$A,$L145,'Key Inputs_BY Techs'!$C:$C,'RSD_BY Techs'!$B145,'Key Inputs_BY Techs'!$E:$E,'RSD_BY Techs'!$D145)</f>
        <v>3.7974179360579017</v>
      </c>
      <c r="AF145" s="242">
        <f>SUMIFS('Key Inputs_BY Techs'!Z:Z,'Key Inputs_BY Techs'!$A:$A,$L145,'Key Inputs_BY Techs'!$C:$C,'RSD_BY Techs'!$B145,'Key Inputs_BY Techs'!$E:$E,'RSD_BY Techs'!$D145)</f>
        <v>0</v>
      </c>
      <c r="AG145" s="242">
        <f>SUMIFS('Key Inputs_BY Techs'!AA:AA,'Key Inputs_BY Techs'!$A:$A,$L145,'Key Inputs_BY Techs'!$C:$C,'RSD_BY Techs'!$B145,'Key Inputs_BY Techs'!$E:$E,'RSD_BY Techs'!$D145)</f>
        <v>0</v>
      </c>
      <c r="AH145" s="242">
        <f>SUMIFS('Key Inputs_BY Techs'!AB:AB,'Key Inputs_BY Techs'!$A:$A,$L145,'Key Inputs_BY Techs'!$C:$C,'RSD_BY Techs'!$B145,'Key Inputs_BY Techs'!$E:$E,'RSD_BY Techs'!$D145)</f>
        <v>4.6865548135476791</v>
      </c>
      <c r="AI145" s="242">
        <f>SUMIFS('Key Inputs_BY Techs'!AC:AC,'Key Inputs_BY Techs'!$A:$A,$L145,'Key Inputs_BY Techs'!$C:$C,'RSD_BY Techs'!$B145,'Key Inputs_BY Techs'!$E:$E,'RSD_BY Techs'!$D145)</f>
        <v>5.0467010907070183E-2</v>
      </c>
      <c r="AJ145" s="242">
        <f>SUMIFS('Key Inputs_BY Techs'!AD:AD,'Key Inputs_BY Techs'!$A:$A,$L145,'Key Inputs_BY Techs'!$C:$C,'RSD_BY Techs'!$B145,'Key Inputs_BY Techs'!$E:$E,'RSD_BY Techs'!$D145)</f>
        <v>0.20344595972308532</v>
      </c>
      <c r="AK145" s="242">
        <f>SUMIFS('Key Inputs_BY Techs'!AE:AE,'Key Inputs_BY Techs'!$A:$A,$L145,'Key Inputs_BY Techs'!$C:$C,'RSD_BY Techs'!$B145,'Key Inputs_BY Techs'!$E:$E,'RSD_BY Techs'!$D145)</f>
        <v>2.2419997291314001E-2</v>
      </c>
      <c r="AL145" s="242">
        <f>SUMIFS('Key Inputs_BY Techs'!AF:AF,'Key Inputs_BY Techs'!$A:$A,$L145,'Key Inputs_BY Techs'!$C:$C,'RSD_BY Techs'!$B145,'Key Inputs_BY Techs'!$E:$E,'RSD_BY Techs'!$D145)</f>
        <v>0</v>
      </c>
      <c r="AM145" s="242">
        <f>SUMIFS('Key Inputs_BY Techs'!AG:AG,'Key Inputs_BY Techs'!$A:$A,$L145,'Key Inputs_BY Techs'!$C:$C,'RSD_BY Techs'!$B145,'Key Inputs_BY Techs'!$E:$E,'RSD_BY Techs'!$D145)</f>
        <v>0.1046376378629089</v>
      </c>
      <c r="AN145" s="242">
        <f>SUMIFS('Key Inputs_BY Techs'!AH:AH,'Key Inputs_BY Techs'!$A:$A,$L145,'Key Inputs_BY Techs'!$C:$C,'RSD_BY Techs'!$B145,'Key Inputs_BY Techs'!$E:$E,'RSD_BY Techs'!$D145)</f>
        <v>4.4146680937214688E-2</v>
      </c>
      <c r="AO145" s="242">
        <f>SUMIFS('Key Inputs_BY Techs'!AI:AI,'Key Inputs_BY Techs'!$A:$A,$L145,'Key Inputs_BY Techs'!$C:$C,'RSD_BY Techs'!$B145,'Key Inputs_BY Techs'!$E:$E,'RSD_BY Techs'!$D145)</f>
        <v>7.1019846063303103</v>
      </c>
      <c r="AP145" s="242">
        <f>SUMIFS('Key Inputs_BY Techs'!AJ:AJ,'Key Inputs_BY Techs'!$A:$A,$L145,'Key Inputs_BY Techs'!$C:$C,'RSD_BY Techs'!$B145,'Key Inputs_BY Techs'!$E:$E,'RSD_BY Techs'!$D145)</f>
        <v>45.389416216454308</v>
      </c>
    </row>
    <row r="146" spans="1:42" x14ac:dyDescent="0.25">
      <c r="A146" s="281" t="s">
        <v>122</v>
      </c>
      <c r="B146" s="281" t="s">
        <v>469</v>
      </c>
      <c r="C146" s="281" t="str">
        <f>Legend!$A$74</f>
        <v>Solar</v>
      </c>
      <c r="D146" s="281" t="str">
        <f>Legend!$B$74</f>
        <v>RSDSOL</v>
      </c>
      <c r="E146" s="281" t="str">
        <f t="shared" si="36"/>
        <v>RSDSOL</v>
      </c>
      <c r="F146" s="254"/>
      <c r="G146" s="254"/>
      <c r="I146" s="84" t="str">
        <f t="shared" si="35"/>
        <v>R-THH-HEX_SOL00</v>
      </c>
      <c r="J146" s="84" t="str">
        <f t="shared" si="35"/>
        <v>RSD Thermal uses technology: Solar - Existing</v>
      </c>
      <c r="K146" s="84"/>
      <c r="L146" s="84" t="s">
        <v>377</v>
      </c>
      <c r="M146" s="92" t="str">
        <f>'Key Inputs_BY Techs'!F130</f>
        <v>GW</v>
      </c>
      <c r="N146" s="84"/>
      <c r="O146" s="243">
        <f>SUMIFS('Key Inputs_BY Techs'!I:I,'Key Inputs_BY Techs'!$A:$A,$L146,'Key Inputs_BY Techs'!$C:$C,'RSD_BY Techs'!$B146,'Key Inputs_BY Techs'!$E:$E,'RSD_BY Techs'!$D146)</f>
        <v>0</v>
      </c>
      <c r="P146" s="243">
        <f>SUMIFS('Key Inputs_BY Techs'!J:J,'Key Inputs_BY Techs'!$A:$A,$L146,'Key Inputs_BY Techs'!$C:$C,'RSD_BY Techs'!$B146,'Key Inputs_BY Techs'!$E:$E,'RSD_BY Techs'!$D146)</f>
        <v>0</v>
      </c>
      <c r="Q146" s="243">
        <f>SUMIFS('Key Inputs_BY Techs'!K:K,'Key Inputs_BY Techs'!$A:$A,$L146,'Key Inputs_BY Techs'!$C:$C,'RSD_BY Techs'!$B146,'Key Inputs_BY Techs'!$E:$E,'RSD_BY Techs'!$D146)</f>
        <v>0</v>
      </c>
      <c r="R146" s="243">
        <f>SUMIFS('Key Inputs_BY Techs'!L:L,'Key Inputs_BY Techs'!$A:$A,$L146,'Key Inputs_BY Techs'!$C:$C,'RSD_BY Techs'!$B146,'Key Inputs_BY Techs'!$E:$E,'RSD_BY Techs'!$D146)</f>
        <v>0</v>
      </c>
      <c r="S146" s="243">
        <f>SUMIFS('Key Inputs_BY Techs'!M:M,'Key Inputs_BY Techs'!$A:$A,$L146,'Key Inputs_BY Techs'!$C:$C,'RSD_BY Techs'!$B146,'Key Inputs_BY Techs'!$E:$E,'RSD_BY Techs'!$D146)</f>
        <v>8.1785791765383378E-3</v>
      </c>
      <c r="T146" s="243">
        <f>SUMIFS('Key Inputs_BY Techs'!N:N,'Key Inputs_BY Techs'!$A:$A,$L146,'Key Inputs_BY Techs'!$C:$C,'RSD_BY Techs'!$B146,'Key Inputs_BY Techs'!$E:$E,'RSD_BY Techs'!$D146)</f>
        <v>0</v>
      </c>
      <c r="U146" s="243">
        <f>SUMIFS('Key Inputs_BY Techs'!O:O,'Key Inputs_BY Techs'!$A:$A,$L146,'Key Inputs_BY Techs'!$C:$C,'RSD_BY Techs'!$B146,'Key Inputs_BY Techs'!$E:$E,'RSD_BY Techs'!$D146)</f>
        <v>1.4162587248599035E-3</v>
      </c>
      <c r="V146" s="243">
        <f>SUMIFS('Key Inputs_BY Techs'!P:P,'Key Inputs_BY Techs'!$A:$A,$L146,'Key Inputs_BY Techs'!$C:$C,'RSD_BY Techs'!$B146,'Key Inputs_BY Techs'!$E:$E,'RSD_BY Techs'!$D146)</f>
        <v>0</v>
      </c>
      <c r="W146" s="243">
        <f>SUMIFS('Key Inputs_BY Techs'!Q:Q,'Key Inputs_BY Techs'!$A:$A,$L146,'Key Inputs_BY Techs'!$C:$C,'RSD_BY Techs'!$B146,'Key Inputs_BY Techs'!$E:$E,'RSD_BY Techs'!$D146)</f>
        <v>0</v>
      </c>
      <c r="X146" s="243">
        <f>SUMIFS('Key Inputs_BY Techs'!R:R,'Key Inputs_BY Techs'!$A:$A,$L146,'Key Inputs_BY Techs'!$C:$C,'RSD_BY Techs'!$B146,'Key Inputs_BY Techs'!$E:$E,'RSD_BY Techs'!$D146)</f>
        <v>0</v>
      </c>
      <c r="Y146" s="243">
        <f>SUMIFS('Key Inputs_BY Techs'!S:S,'Key Inputs_BY Techs'!$A:$A,$L146,'Key Inputs_BY Techs'!$C:$C,'RSD_BY Techs'!$B146,'Key Inputs_BY Techs'!$E:$E,'RSD_BY Techs'!$D146)</f>
        <v>0</v>
      </c>
      <c r="Z146" s="243">
        <f>SUMIFS('Key Inputs_BY Techs'!T:T,'Key Inputs_BY Techs'!$A:$A,$L146,'Key Inputs_BY Techs'!$C:$C,'RSD_BY Techs'!$B146,'Key Inputs_BY Techs'!$E:$E,'RSD_BY Techs'!$D146)</f>
        <v>0</v>
      </c>
      <c r="AA146" s="243">
        <f>SUMIFS('Key Inputs_BY Techs'!U:U,'Key Inputs_BY Techs'!$A:$A,$L146,'Key Inputs_BY Techs'!$C:$C,'RSD_BY Techs'!$B146,'Key Inputs_BY Techs'!$E:$E,'RSD_BY Techs'!$D146)</f>
        <v>2.4966733444489237E-4</v>
      </c>
      <c r="AB146" s="243">
        <f>SUMIFS('Key Inputs_BY Techs'!V:V,'Key Inputs_BY Techs'!$A:$A,$L146,'Key Inputs_BY Techs'!$C:$C,'RSD_BY Techs'!$B146,'Key Inputs_BY Techs'!$E:$E,'RSD_BY Techs'!$D146)</f>
        <v>0.18177851068393605</v>
      </c>
      <c r="AC146" s="243">
        <f>SUMIFS('Key Inputs_BY Techs'!W:W,'Key Inputs_BY Techs'!$A:$A,$L146,'Key Inputs_BY Techs'!$C:$C,'RSD_BY Techs'!$B146,'Key Inputs_BY Techs'!$E:$E,'RSD_BY Techs'!$D146)</f>
        <v>8.9152076274941205E-3</v>
      </c>
      <c r="AD146" s="243">
        <f>SUMIFS('Key Inputs_BY Techs'!X:X,'Key Inputs_BY Techs'!$A:$A,$L146,'Key Inputs_BY Techs'!$C:$C,'RSD_BY Techs'!$B146,'Key Inputs_BY Techs'!$E:$E,'RSD_BY Techs'!$D146)</f>
        <v>1.1806148449754144</v>
      </c>
      <c r="AE146" s="243">
        <f>SUMIFS('Key Inputs_BY Techs'!Y:Y,'Key Inputs_BY Techs'!$A:$A,$L146,'Key Inputs_BY Techs'!$C:$C,'RSD_BY Techs'!$B146,'Key Inputs_BY Techs'!$E:$E,'RSD_BY Techs'!$D146)</f>
        <v>0.25064293448700364</v>
      </c>
      <c r="AF146" s="243">
        <f>SUMIFS('Key Inputs_BY Techs'!Z:Z,'Key Inputs_BY Techs'!$A:$A,$L146,'Key Inputs_BY Techs'!$C:$C,'RSD_BY Techs'!$B146,'Key Inputs_BY Techs'!$E:$E,'RSD_BY Techs'!$D146)</f>
        <v>0</v>
      </c>
      <c r="AG146" s="243">
        <f>SUMIFS('Key Inputs_BY Techs'!AA:AA,'Key Inputs_BY Techs'!$A:$A,$L146,'Key Inputs_BY Techs'!$C:$C,'RSD_BY Techs'!$B146,'Key Inputs_BY Techs'!$E:$E,'RSD_BY Techs'!$D146)</f>
        <v>0</v>
      </c>
      <c r="AH146" s="243">
        <f>SUMIFS('Key Inputs_BY Techs'!AB:AB,'Key Inputs_BY Techs'!$A:$A,$L146,'Key Inputs_BY Techs'!$C:$C,'RSD_BY Techs'!$B146,'Key Inputs_BY Techs'!$E:$E,'RSD_BY Techs'!$D146)</f>
        <v>0.13329916565526284</v>
      </c>
      <c r="AI146" s="243">
        <f>SUMIFS('Key Inputs_BY Techs'!AC:AC,'Key Inputs_BY Techs'!$A:$A,$L146,'Key Inputs_BY Techs'!$C:$C,'RSD_BY Techs'!$B146,'Key Inputs_BY Techs'!$E:$E,'RSD_BY Techs'!$D146)</f>
        <v>9.0123665918165671E-3</v>
      </c>
      <c r="AJ146" s="243">
        <f>SUMIFS('Key Inputs_BY Techs'!AD:AD,'Key Inputs_BY Techs'!$A:$A,$L146,'Key Inputs_BY Techs'!$C:$C,'RSD_BY Techs'!$B146,'Key Inputs_BY Techs'!$E:$E,'RSD_BY Techs'!$D146)</f>
        <v>0.65887269417602146</v>
      </c>
      <c r="AK146" s="243">
        <f>SUMIFS('Key Inputs_BY Techs'!AE:AE,'Key Inputs_BY Techs'!$A:$A,$L146,'Key Inputs_BY Techs'!$C:$C,'RSD_BY Techs'!$B146,'Key Inputs_BY Techs'!$E:$E,'RSD_BY Techs'!$D146)</f>
        <v>0</v>
      </c>
      <c r="AL146" s="243">
        <f>SUMIFS('Key Inputs_BY Techs'!AF:AF,'Key Inputs_BY Techs'!$A:$A,$L146,'Key Inputs_BY Techs'!$C:$C,'RSD_BY Techs'!$B146,'Key Inputs_BY Techs'!$E:$E,'RSD_BY Techs'!$D146)</f>
        <v>0.10751353498021569</v>
      </c>
      <c r="AM146" s="243">
        <f>SUMIFS('Key Inputs_BY Techs'!AG:AG,'Key Inputs_BY Techs'!$A:$A,$L146,'Key Inputs_BY Techs'!$C:$C,'RSD_BY Techs'!$B146,'Key Inputs_BY Techs'!$E:$E,'RSD_BY Techs'!$D146)</f>
        <v>0</v>
      </c>
      <c r="AN146" s="243">
        <f>SUMIFS('Key Inputs_BY Techs'!AH:AH,'Key Inputs_BY Techs'!$A:$A,$L146,'Key Inputs_BY Techs'!$C:$C,'RSD_BY Techs'!$B146,'Key Inputs_BY Techs'!$E:$E,'RSD_BY Techs'!$D146)</f>
        <v>0</v>
      </c>
      <c r="AO146" s="243">
        <f>SUMIFS('Key Inputs_BY Techs'!AI:AI,'Key Inputs_BY Techs'!$A:$A,$L146,'Key Inputs_BY Techs'!$C:$C,'RSD_BY Techs'!$B146,'Key Inputs_BY Techs'!$E:$E,'RSD_BY Techs'!$D146)</f>
        <v>7.9328363332040311E-2</v>
      </c>
      <c r="AP146" s="243">
        <f>SUMIFS('Key Inputs_BY Techs'!AJ:AJ,'Key Inputs_BY Techs'!$A:$A,$L146,'Key Inputs_BY Techs'!$C:$C,'RSD_BY Techs'!$B146,'Key Inputs_BY Techs'!$E:$E,'RSD_BY Techs'!$D146)</f>
        <v>4.4390590717212612</v>
      </c>
    </row>
    <row r="147" spans="1:42" x14ac:dyDescent="0.25">
      <c r="A147" s="280" t="s">
        <v>124</v>
      </c>
      <c r="B147" s="280" t="s">
        <v>470</v>
      </c>
      <c r="C147" s="280" t="str">
        <f>Legend!$A$71&amp;", "&amp;Legend!$A$63&amp;", "&amp;Legend!$A$72</f>
        <v>Natural gas, Biogas, Manufactured gas</v>
      </c>
      <c r="D147" s="254" t="str">
        <f>Legend!$B$71&amp;", "&amp;Legend!$B$63&amp;", "&amp;Legend!$B$72</f>
        <v>RSDGAS, RSDBGS, RSDGAM</v>
      </c>
      <c r="E147" s="280" t="str">
        <f t="shared" si="34"/>
        <v>RSDGAS</v>
      </c>
      <c r="F147" s="254"/>
      <c r="G147" s="254"/>
      <c r="I147" s="81" t="str">
        <f t="shared" ref="I147:J160" si="37">I26</f>
        <v>R-ACL_GAS00</v>
      </c>
      <c r="J147" s="81" t="str">
        <f t="shared" si="37"/>
        <v>RSD Air conditioning technology: Natural gas, Biogas, Manufactured gas - Existing</v>
      </c>
      <c r="L147" s="81" t="s">
        <v>377</v>
      </c>
      <c r="M147" s="87" t="str">
        <f>'Key Inputs_BY Techs'!F131</f>
        <v>GW</v>
      </c>
      <c r="O147" s="242">
        <f>SUMIFS('Key Inputs_BY Techs'!I:I,'Key Inputs_BY Techs'!$A:$A,$L147,'Key Inputs_BY Techs'!$C:$C,'RSD_BY Techs'!$B147,'Key Inputs_BY Techs'!$E:$E,'RSD_BY Techs'!$D147)</f>
        <v>0</v>
      </c>
      <c r="P147" s="242">
        <f>SUMIFS('Key Inputs_BY Techs'!J:J,'Key Inputs_BY Techs'!$A:$A,$L147,'Key Inputs_BY Techs'!$C:$C,'RSD_BY Techs'!$B147,'Key Inputs_BY Techs'!$E:$E,'RSD_BY Techs'!$D147)</f>
        <v>0</v>
      </c>
      <c r="Q147" s="242">
        <f>SUMIFS('Key Inputs_BY Techs'!K:K,'Key Inputs_BY Techs'!$A:$A,$L147,'Key Inputs_BY Techs'!$C:$C,'RSD_BY Techs'!$B147,'Key Inputs_BY Techs'!$E:$E,'RSD_BY Techs'!$D147)</f>
        <v>0</v>
      </c>
      <c r="R147" s="242">
        <f>SUMIFS('Key Inputs_BY Techs'!L:L,'Key Inputs_BY Techs'!$A:$A,$L147,'Key Inputs_BY Techs'!$C:$C,'RSD_BY Techs'!$B147,'Key Inputs_BY Techs'!$E:$E,'RSD_BY Techs'!$D147)</f>
        <v>0</v>
      </c>
      <c r="S147" s="242">
        <f>SUMIFS('Key Inputs_BY Techs'!M:M,'Key Inputs_BY Techs'!$A:$A,$L147,'Key Inputs_BY Techs'!$C:$C,'RSD_BY Techs'!$B147,'Key Inputs_BY Techs'!$E:$E,'RSD_BY Techs'!$D147)</f>
        <v>0</v>
      </c>
      <c r="T147" s="242">
        <f>SUMIFS('Key Inputs_BY Techs'!N:N,'Key Inputs_BY Techs'!$A:$A,$L147,'Key Inputs_BY Techs'!$C:$C,'RSD_BY Techs'!$B147,'Key Inputs_BY Techs'!$E:$E,'RSD_BY Techs'!$D147)</f>
        <v>0</v>
      </c>
      <c r="U147" s="242">
        <f>SUMIFS('Key Inputs_BY Techs'!O:O,'Key Inputs_BY Techs'!$A:$A,$L147,'Key Inputs_BY Techs'!$C:$C,'RSD_BY Techs'!$B147,'Key Inputs_BY Techs'!$E:$E,'RSD_BY Techs'!$D147)</f>
        <v>0</v>
      </c>
      <c r="V147" s="242">
        <f>SUMIFS('Key Inputs_BY Techs'!P:P,'Key Inputs_BY Techs'!$A:$A,$L147,'Key Inputs_BY Techs'!$C:$C,'RSD_BY Techs'!$B147,'Key Inputs_BY Techs'!$E:$E,'RSD_BY Techs'!$D147)</f>
        <v>0</v>
      </c>
      <c r="W147" s="242">
        <f>SUMIFS('Key Inputs_BY Techs'!Q:Q,'Key Inputs_BY Techs'!$A:$A,$L147,'Key Inputs_BY Techs'!$C:$C,'RSD_BY Techs'!$B147,'Key Inputs_BY Techs'!$E:$E,'RSD_BY Techs'!$D147)</f>
        <v>0</v>
      </c>
      <c r="X147" s="242">
        <f>SUMIFS('Key Inputs_BY Techs'!R:R,'Key Inputs_BY Techs'!$A:$A,$L147,'Key Inputs_BY Techs'!$C:$C,'RSD_BY Techs'!$B147,'Key Inputs_BY Techs'!$E:$E,'RSD_BY Techs'!$D147)</f>
        <v>0</v>
      </c>
      <c r="Y147" s="242">
        <f>SUMIFS('Key Inputs_BY Techs'!S:S,'Key Inputs_BY Techs'!$A:$A,$L147,'Key Inputs_BY Techs'!$C:$C,'RSD_BY Techs'!$B147,'Key Inputs_BY Techs'!$E:$E,'RSD_BY Techs'!$D147)</f>
        <v>0</v>
      </c>
      <c r="Z147" s="242">
        <f>SUMIFS('Key Inputs_BY Techs'!T:T,'Key Inputs_BY Techs'!$A:$A,$L147,'Key Inputs_BY Techs'!$C:$C,'RSD_BY Techs'!$B147,'Key Inputs_BY Techs'!$E:$E,'RSD_BY Techs'!$D147)</f>
        <v>0</v>
      </c>
      <c r="AA147" s="242">
        <f>SUMIFS('Key Inputs_BY Techs'!U:U,'Key Inputs_BY Techs'!$A:$A,$L147,'Key Inputs_BY Techs'!$C:$C,'RSD_BY Techs'!$B147,'Key Inputs_BY Techs'!$E:$E,'RSD_BY Techs'!$D147)</f>
        <v>0</v>
      </c>
      <c r="AB147" s="242">
        <f>SUMIFS('Key Inputs_BY Techs'!V:V,'Key Inputs_BY Techs'!$A:$A,$L147,'Key Inputs_BY Techs'!$C:$C,'RSD_BY Techs'!$B147,'Key Inputs_BY Techs'!$E:$E,'RSD_BY Techs'!$D147)</f>
        <v>0</v>
      </c>
      <c r="AC147" s="242">
        <f>SUMIFS('Key Inputs_BY Techs'!W:W,'Key Inputs_BY Techs'!$A:$A,$L147,'Key Inputs_BY Techs'!$C:$C,'RSD_BY Techs'!$B147,'Key Inputs_BY Techs'!$E:$E,'RSD_BY Techs'!$D147)</f>
        <v>0</v>
      </c>
      <c r="AD147" s="242">
        <f>SUMIFS('Key Inputs_BY Techs'!X:X,'Key Inputs_BY Techs'!$A:$A,$L147,'Key Inputs_BY Techs'!$C:$C,'RSD_BY Techs'!$B147,'Key Inputs_BY Techs'!$E:$E,'RSD_BY Techs'!$D147)</f>
        <v>0</v>
      </c>
      <c r="AE147" s="242">
        <f>SUMIFS('Key Inputs_BY Techs'!Y:Y,'Key Inputs_BY Techs'!$A:$A,$L147,'Key Inputs_BY Techs'!$C:$C,'RSD_BY Techs'!$B147,'Key Inputs_BY Techs'!$E:$E,'RSD_BY Techs'!$D147)</f>
        <v>0</v>
      </c>
      <c r="AF147" s="242">
        <f>SUMIFS('Key Inputs_BY Techs'!Z:Z,'Key Inputs_BY Techs'!$A:$A,$L147,'Key Inputs_BY Techs'!$C:$C,'RSD_BY Techs'!$B147,'Key Inputs_BY Techs'!$E:$E,'RSD_BY Techs'!$D147)</f>
        <v>0</v>
      </c>
      <c r="AG147" s="242">
        <f>SUMIFS('Key Inputs_BY Techs'!AA:AA,'Key Inputs_BY Techs'!$A:$A,$L147,'Key Inputs_BY Techs'!$C:$C,'RSD_BY Techs'!$B147,'Key Inputs_BY Techs'!$E:$E,'RSD_BY Techs'!$D147)</f>
        <v>0</v>
      </c>
      <c r="AH147" s="242">
        <f>SUMIFS('Key Inputs_BY Techs'!AB:AB,'Key Inputs_BY Techs'!$A:$A,$L147,'Key Inputs_BY Techs'!$C:$C,'RSD_BY Techs'!$B147,'Key Inputs_BY Techs'!$E:$E,'RSD_BY Techs'!$D147)</f>
        <v>0</v>
      </c>
      <c r="AI147" s="242">
        <f>SUMIFS('Key Inputs_BY Techs'!AC:AC,'Key Inputs_BY Techs'!$A:$A,$L147,'Key Inputs_BY Techs'!$C:$C,'RSD_BY Techs'!$B147,'Key Inputs_BY Techs'!$E:$E,'RSD_BY Techs'!$D147)</f>
        <v>0</v>
      </c>
      <c r="AJ147" s="242">
        <f>SUMIFS('Key Inputs_BY Techs'!AD:AD,'Key Inputs_BY Techs'!$A:$A,$L147,'Key Inputs_BY Techs'!$C:$C,'RSD_BY Techs'!$B147,'Key Inputs_BY Techs'!$E:$E,'RSD_BY Techs'!$D147)</f>
        <v>0</v>
      </c>
      <c r="AK147" s="242">
        <f>SUMIFS('Key Inputs_BY Techs'!AE:AE,'Key Inputs_BY Techs'!$A:$A,$L147,'Key Inputs_BY Techs'!$C:$C,'RSD_BY Techs'!$B147,'Key Inputs_BY Techs'!$E:$E,'RSD_BY Techs'!$D147)</f>
        <v>0</v>
      </c>
      <c r="AL147" s="242">
        <f>SUMIFS('Key Inputs_BY Techs'!AF:AF,'Key Inputs_BY Techs'!$A:$A,$L147,'Key Inputs_BY Techs'!$C:$C,'RSD_BY Techs'!$B147,'Key Inputs_BY Techs'!$E:$E,'RSD_BY Techs'!$D147)</f>
        <v>0</v>
      </c>
      <c r="AM147" s="242">
        <f>SUMIFS('Key Inputs_BY Techs'!AG:AG,'Key Inputs_BY Techs'!$A:$A,$L147,'Key Inputs_BY Techs'!$C:$C,'RSD_BY Techs'!$B147,'Key Inputs_BY Techs'!$E:$E,'RSD_BY Techs'!$D147)</f>
        <v>0</v>
      </c>
      <c r="AN147" s="242">
        <f>SUMIFS('Key Inputs_BY Techs'!AH:AH,'Key Inputs_BY Techs'!$A:$A,$L147,'Key Inputs_BY Techs'!$C:$C,'RSD_BY Techs'!$B147,'Key Inputs_BY Techs'!$E:$E,'RSD_BY Techs'!$D147)</f>
        <v>0</v>
      </c>
      <c r="AO147" s="242">
        <f>SUMIFS('Key Inputs_BY Techs'!AI:AI,'Key Inputs_BY Techs'!$A:$A,$L147,'Key Inputs_BY Techs'!$C:$C,'RSD_BY Techs'!$B147,'Key Inputs_BY Techs'!$E:$E,'RSD_BY Techs'!$D147)</f>
        <v>0</v>
      </c>
      <c r="AP147" s="242">
        <f>SUMIFS('Key Inputs_BY Techs'!AJ:AJ,'Key Inputs_BY Techs'!$A:$A,$L147,'Key Inputs_BY Techs'!$C:$C,'RSD_BY Techs'!$B147,'Key Inputs_BY Techs'!$E:$E,'RSD_BY Techs'!$D147)</f>
        <v>0</v>
      </c>
    </row>
    <row r="148" spans="1:42" x14ac:dyDescent="0.25">
      <c r="A148" s="281" t="s">
        <v>124</v>
      </c>
      <c r="B148" s="281" t="s">
        <v>470</v>
      </c>
      <c r="C148" s="281" t="str">
        <f>Legend!A$66</f>
        <v>Electricity</v>
      </c>
      <c r="D148" s="281" t="str">
        <f>Legend!B$66</f>
        <v>RSDELC</v>
      </c>
      <c r="E148" s="281" t="str">
        <f t="shared" si="34"/>
        <v>RSDELC</v>
      </c>
      <c r="F148" s="254"/>
      <c r="G148" s="254"/>
      <c r="I148" s="84" t="str">
        <f t="shared" si="37"/>
        <v>R-ACL_ELC00</v>
      </c>
      <c r="J148" s="84" t="str">
        <f t="shared" si="37"/>
        <v>RSD Air conditioning technology: Electricity - Existing</v>
      </c>
      <c r="K148" s="84"/>
      <c r="L148" s="84" t="s">
        <v>377</v>
      </c>
      <c r="M148" s="92" t="str">
        <f>'Key Inputs_BY Techs'!F132</f>
        <v>GW</v>
      </c>
      <c r="N148" s="84"/>
      <c r="O148" s="243">
        <f>SUMIFS('Key Inputs_BY Techs'!I:I,'Key Inputs_BY Techs'!$A:$A,$L148,'Key Inputs_BY Techs'!$C:$C,'RSD_BY Techs'!$B148,'Key Inputs_BY Techs'!$E:$E,'RSD_BY Techs'!$D148)</f>
        <v>0.47201637263831925</v>
      </c>
      <c r="P148" s="243">
        <f>SUMIFS('Key Inputs_BY Techs'!J:J,'Key Inputs_BY Techs'!$A:$A,$L148,'Key Inputs_BY Techs'!$C:$C,'RSD_BY Techs'!$B148,'Key Inputs_BY Techs'!$E:$E,'RSD_BY Techs'!$D148)</f>
        <v>0.64093578955101849</v>
      </c>
      <c r="Q148" s="243">
        <f>SUMIFS('Key Inputs_BY Techs'!K:K,'Key Inputs_BY Techs'!$A:$A,$L148,'Key Inputs_BY Techs'!$C:$C,'RSD_BY Techs'!$B148,'Key Inputs_BY Techs'!$E:$E,'RSD_BY Techs'!$D148)</f>
        <v>6.8298401712323834E-2</v>
      </c>
      <c r="R148" s="243">
        <f>SUMIFS('Key Inputs_BY Techs'!L:L,'Key Inputs_BY Techs'!$A:$A,$L148,'Key Inputs_BY Techs'!$C:$C,'RSD_BY Techs'!$B148,'Key Inputs_BY Techs'!$E:$E,'RSD_BY Techs'!$D148)</f>
        <v>0.2881253796412977</v>
      </c>
      <c r="S148" s="243">
        <f>SUMIFS('Key Inputs_BY Techs'!M:M,'Key Inputs_BY Techs'!$A:$A,$L148,'Key Inputs_BY Techs'!$C:$C,'RSD_BY Techs'!$B148,'Key Inputs_BY Techs'!$E:$E,'RSD_BY Techs'!$D148)</f>
        <v>11.357115339310207</v>
      </c>
      <c r="T148" s="243">
        <f>SUMIFS('Key Inputs_BY Techs'!N:N,'Key Inputs_BY Techs'!$A:$A,$L148,'Key Inputs_BY Techs'!$C:$C,'RSD_BY Techs'!$B148,'Key Inputs_BY Techs'!$E:$E,'RSD_BY Techs'!$D148)</f>
        <v>1.7228895295908839</v>
      </c>
      <c r="U148" s="243">
        <f>SUMIFS('Key Inputs_BY Techs'!O:O,'Key Inputs_BY Techs'!$A:$A,$L148,'Key Inputs_BY Techs'!$C:$C,'RSD_BY Techs'!$B148,'Key Inputs_BY Techs'!$E:$E,'RSD_BY Techs'!$D148)</f>
        <v>2.6519338909614114</v>
      </c>
      <c r="V148" s="243">
        <f>SUMIFS('Key Inputs_BY Techs'!P:P,'Key Inputs_BY Techs'!$A:$A,$L148,'Key Inputs_BY Techs'!$C:$C,'RSD_BY Techs'!$B148,'Key Inputs_BY Techs'!$E:$E,'RSD_BY Techs'!$D148)</f>
        <v>1.1354990775429288</v>
      </c>
      <c r="W148" s="243">
        <f>SUMIFS('Key Inputs_BY Techs'!Q:Q,'Key Inputs_BY Techs'!$A:$A,$L148,'Key Inputs_BY Techs'!$C:$C,'RSD_BY Techs'!$B148,'Key Inputs_BY Techs'!$E:$E,'RSD_BY Techs'!$D148)</f>
        <v>78.430382118934787</v>
      </c>
      <c r="X148" s="243">
        <f>SUMIFS('Key Inputs_BY Techs'!R:R,'Key Inputs_BY Techs'!$A:$A,$L148,'Key Inputs_BY Techs'!$C:$C,'RSD_BY Techs'!$B148,'Key Inputs_BY Techs'!$E:$E,'RSD_BY Techs'!$D148)</f>
        <v>28.317247254750889</v>
      </c>
      <c r="Y148" s="243">
        <f>SUMIFS('Key Inputs_BY Techs'!S:S,'Key Inputs_BY Techs'!$A:$A,$L148,'Key Inputs_BY Techs'!$C:$C,'RSD_BY Techs'!$B148,'Key Inputs_BY Techs'!$E:$E,'RSD_BY Techs'!$D148)</f>
        <v>0.21542053476528494</v>
      </c>
      <c r="Z148" s="243">
        <f>SUMIFS('Key Inputs_BY Techs'!T:T,'Key Inputs_BY Techs'!$A:$A,$L148,'Key Inputs_BY Techs'!$C:$C,'RSD_BY Techs'!$B148,'Key Inputs_BY Techs'!$E:$E,'RSD_BY Techs'!$D148)</f>
        <v>5615.8365327314905</v>
      </c>
      <c r="AA148" s="243">
        <f>SUMIFS('Key Inputs_BY Techs'!U:U,'Key Inputs_BY Techs'!$A:$A,$L148,'Key Inputs_BY Techs'!$C:$C,'RSD_BY Techs'!$B148,'Key Inputs_BY Techs'!$E:$E,'RSD_BY Techs'!$D148)</f>
        <v>3.7844406484673141</v>
      </c>
      <c r="AB148" s="243">
        <f>SUMIFS('Key Inputs_BY Techs'!V:V,'Key Inputs_BY Techs'!$A:$A,$L148,'Key Inputs_BY Techs'!$C:$C,'RSD_BY Techs'!$B148,'Key Inputs_BY Techs'!$E:$E,'RSD_BY Techs'!$D148)</f>
        <v>0.28844161460345263</v>
      </c>
      <c r="AC148" s="243">
        <f>SUMIFS('Key Inputs_BY Techs'!W:W,'Key Inputs_BY Techs'!$A:$A,$L148,'Key Inputs_BY Techs'!$C:$C,'RSD_BY Techs'!$B148,'Key Inputs_BY Techs'!$E:$E,'RSD_BY Techs'!$D148)</f>
        <v>42.086425959359758</v>
      </c>
      <c r="AD148" s="243">
        <f>SUMIFS('Key Inputs_BY Techs'!X:X,'Key Inputs_BY Techs'!$A:$A,$L148,'Key Inputs_BY Techs'!$C:$C,'RSD_BY Techs'!$B148,'Key Inputs_BY Techs'!$E:$E,'RSD_BY Techs'!$D148)</f>
        <v>45.264182965695902</v>
      </c>
      <c r="AE148" s="243">
        <f>SUMIFS('Key Inputs_BY Techs'!Y:Y,'Key Inputs_BY Techs'!$A:$A,$L148,'Key Inputs_BY Techs'!$C:$C,'RSD_BY Techs'!$B148,'Key Inputs_BY Techs'!$E:$E,'RSD_BY Techs'!$D148)</f>
        <v>3.1630803053689962</v>
      </c>
      <c r="AF148" s="243">
        <f>SUMIFS('Key Inputs_BY Techs'!Z:Z,'Key Inputs_BY Techs'!$A:$A,$L148,'Key Inputs_BY Techs'!$C:$C,'RSD_BY Techs'!$B148,'Key Inputs_BY Techs'!$E:$E,'RSD_BY Techs'!$D148)</f>
        <v>9.1549372131673827</v>
      </c>
      <c r="AG148" s="243">
        <f>SUMIFS('Key Inputs_BY Techs'!AA:AA,'Key Inputs_BY Techs'!$A:$A,$L148,'Key Inputs_BY Techs'!$C:$C,'RSD_BY Techs'!$B148,'Key Inputs_BY Techs'!$E:$E,'RSD_BY Techs'!$D148)</f>
        <v>8.561094917451161</v>
      </c>
      <c r="AH148" s="243">
        <f>SUMIFS('Key Inputs_BY Techs'!AB:AB,'Key Inputs_BY Techs'!$A:$A,$L148,'Key Inputs_BY Techs'!$C:$C,'RSD_BY Techs'!$B148,'Key Inputs_BY Techs'!$E:$E,'RSD_BY Techs'!$D148)</f>
        <v>11.830028645603454</v>
      </c>
      <c r="AI148" s="243">
        <f>SUMIFS('Key Inputs_BY Techs'!AC:AC,'Key Inputs_BY Techs'!$A:$A,$L148,'Key Inputs_BY Techs'!$C:$C,'RSD_BY Techs'!$B148,'Key Inputs_BY Techs'!$E:$E,'RSD_BY Techs'!$D148)</f>
        <v>77.94648672958256</v>
      </c>
      <c r="AJ148" s="243">
        <f>SUMIFS('Key Inputs_BY Techs'!AD:AD,'Key Inputs_BY Techs'!$A:$A,$L148,'Key Inputs_BY Techs'!$C:$C,'RSD_BY Techs'!$B148,'Key Inputs_BY Techs'!$E:$E,'RSD_BY Techs'!$D148)</f>
        <v>0</v>
      </c>
      <c r="AK148" s="243">
        <f>SUMIFS('Key Inputs_BY Techs'!AE:AE,'Key Inputs_BY Techs'!$A:$A,$L148,'Key Inputs_BY Techs'!$C:$C,'RSD_BY Techs'!$B148,'Key Inputs_BY Techs'!$E:$E,'RSD_BY Techs'!$D148)</f>
        <v>0</v>
      </c>
      <c r="AL148" s="243">
        <f>SUMIFS('Key Inputs_BY Techs'!AF:AF,'Key Inputs_BY Techs'!$A:$A,$L148,'Key Inputs_BY Techs'!$C:$C,'RSD_BY Techs'!$B148,'Key Inputs_BY Techs'!$E:$E,'RSD_BY Techs'!$D148)</f>
        <v>30.826837578674205</v>
      </c>
      <c r="AM148" s="243">
        <f>SUMIFS('Key Inputs_BY Techs'!AG:AG,'Key Inputs_BY Techs'!$A:$A,$L148,'Key Inputs_BY Techs'!$C:$C,'RSD_BY Techs'!$B148,'Key Inputs_BY Techs'!$E:$E,'RSD_BY Techs'!$D148)</f>
        <v>4.7742109737290921E-2</v>
      </c>
      <c r="AN148" s="243">
        <f>SUMIFS('Key Inputs_BY Techs'!AH:AH,'Key Inputs_BY Techs'!$A:$A,$L148,'Key Inputs_BY Techs'!$C:$C,'RSD_BY Techs'!$B148,'Key Inputs_BY Techs'!$E:$E,'RSD_BY Techs'!$D148)</f>
        <v>191.41146441305824</v>
      </c>
      <c r="AO148" s="243">
        <f>SUMIFS('Key Inputs_BY Techs'!AI:AI,'Key Inputs_BY Techs'!$A:$A,$L148,'Key Inputs_BY Techs'!$C:$C,'RSD_BY Techs'!$B148,'Key Inputs_BY Techs'!$E:$E,'RSD_BY Techs'!$D148)</f>
        <v>9.7412935190110321</v>
      </c>
      <c r="AP148" s="243">
        <f>SUMIFS('Key Inputs_BY Techs'!AJ:AJ,'Key Inputs_BY Techs'!$A:$A,$L148,'Key Inputs_BY Techs'!$C:$C,'RSD_BY Techs'!$B148,'Key Inputs_BY Techs'!$E:$E,'RSD_BY Techs'!$D148)</f>
        <v>125.30087607754766</v>
      </c>
    </row>
    <row r="149" spans="1:42" x14ac:dyDescent="0.25">
      <c r="A149" s="280" t="s">
        <v>124</v>
      </c>
      <c r="B149" s="280" t="s">
        <v>471</v>
      </c>
      <c r="C149" s="254" t="str">
        <f>Legend!$A$71&amp;", "&amp;Legend!$A$63&amp;", "&amp;Legend!$A$72</f>
        <v>Natural gas, Biogas, Manufactured gas</v>
      </c>
      <c r="D149" s="280" t="str">
        <f>Legend!$B$71&amp;", "&amp;Legend!$B$63&amp;", "&amp;Legend!$B$72</f>
        <v>RSDGAS, RSDBGS, RSDGAM</v>
      </c>
      <c r="E149" s="280" t="str">
        <f t="shared" ref="E149:E150" si="38">LEFT(D149,6)</f>
        <v>RSDGAS</v>
      </c>
      <c r="F149" s="254"/>
      <c r="G149" s="254"/>
      <c r="I149" s="81" t="str">
        <f t="shared" si="37"/>
        <v>R-ACH_GAS00</v>
      </c>
      <c r="J149" s="81" t="str">
        <f t="shared" si="37"/>
        <v>RSD Air conditioning technology: Natural gas, Biogas, Manufactured gas - Existing</v>
      </c>
      <c r="L149" s="81" t="s">
        <v>377</v>
      </c>
      <c r="M149" s="87" t="str">
        <f>'Key Inputs_BY Techs'!F133</f>
        <v>GW</v>
      </c>
      <c r="O149" s="242">
        <f>SUMIFS('Key Inputs_BY Techs'!I:I,'Key Inputs_BY Techs'!$A:$A,$L149,'Key Inputs_BY Techs'!$C:$C,'RSD_BY Techs'!$B149,'Key Inputs_BY Techs'!$E:$E,'RSD_BY Techs'!$D149)</f>
        <v>0</v>
      </c>
      <c r="P149" s="242">
        <f>SUMIFS('Key Inputs_BY Techs'!J:J,'Key Inputs_BY Techs'!$A:$A,$L149,'Key Inputs_BY Techs'!$C:$C,'RSD_BY Techs'!$B149,'Key Inputs_BY Techs'!$E:$E,'RSD_BY Techs'!$D149)</f>
        <v>0</v>
      </c>
      <c r="Q149" s="242">
        <f>SUMIFS('Key Inputs_BY Techs'!K:K,'Key Inputs_BY Techs'!$A:$A,$L149,'Key Inputs_BY Techs'!$C:$C,'RSD_BY Techs'!$B149,'Key Inputs_BY Techs'!$E:$E,'RSD_BY Techs'!$D149)</f>
        <v>0</v>
      </c>
      <c r="R149" s="242">
        <f>SUMIFS('Key Inputs_BY Techs'!L:L,'Key Inputs_BY Techs'!$A:$A,$L149,'Key Inputs_BY Techs'!$C:$C,'RSD_BY Techs'!$B149,'Key Inputs_BY Techs'!$E:$E,'RSD_BY Techs'!$D149)</f>
        <v>0</v>
      </c>
      <c r="S149" s="242">
        <f>SUMIFS('Key Inputs_BY Techs'!M:M,'Key Inputs_BY Techs'!$A:$A,$L149,'Key Inputs_BY Techs'!$C:$C,'RSD_BY Techs'!$B149,'Key Inputs_BY Techs'!$E:$E,'RSD_BY Techs'!$D149)</f>
        <v>0</v>
      </c>
      <c r="T149" s="242">
        <f>SUMIFS('Key Inputs_BY Techs'!N:N,'Key Inputs_BY Techs'!$A:$A,$L149,'Key Inputs_BY Techs'!$C:$C,'RSD_BY Techs'!$B149,'Key Inputs_BY Techs'!$E:$E,'RSD_BY Techs'!$D149)</f>
        <v>0</v>
      </c>
      <c r="U149" s="242">
        <f>SUMIFS('Key Inputs_BY Techs'!O:O,'Key Inputs_BY Techs'!$A:$A,$L149,'Key Inputs_BY Techs'!$C:$C,'RSD_BY Techs'!$B149,'Key Inputs_BY Techs'!$E:$E,'RSD_BY Techs'!$D149)</f>
        <v>0</v>
      </c>
      <c r="V149" s="242">
        <f>SUMIFS('Key Inputs_BY Techs'!P:P,'Key Inputs_BY Techs'!$A:$A,$L149,'Key Inputs_BY Techs'!$C:$C,'RSD_BY Techs'!$B149,'Key Inputs_BY Techs'!$E:$E,'RSD_BY Techs'!$D149)</f>
        <v>0</v>
      </c>
      <c r="W149" s="242">
        <f>SUMIFS('Key Inputs_BY Techs'!Q:Q,'Key Inputs_BY Techs'!$A:$A,$L149,'Key Inputs_BY Techs'!$C:$C,'RSD_BY Techs'!$B149,'Key Inputs_BY Techs'!$E:$E,'RSD_BY Techs'!$D149)</f>
        <v>0</v>
      </c>
      <c r="X149" s="242">
        <f>SUMIFS('Key Inputs_BY Techs'!R:R,'Key Inputs_BY Techs'!$A:$A,$L149,'Key Inputs_BY Techs'!$C:$C,'RSD_BY Techs'!$B149,'Key Inputs_BY Techs'!$E:$E,'RSD_BY Techs'!$D149)</f>
        <v>0</v>
      </c>
      <c r="Y149" s="242">
        <f>SUMIFS('Key Inputs_BY Techs'!S:S,'Key Inputs_BY Techs'!$A:$A,$L149,'Key Inputs_BY Techs'!$C:$C,'RSD_BY Techs'!$B149,'Key Inputs_BY Techs'!$E:$E,'RSD_BY Techs'!$D149)</f>
        <v>0</v>
      </c>
      <c r="Z149" s="242">
        <f>SUMIFS('Key Inputs_BY Techs'!T:T,'Key Inputs_BY Techs'!$A:$A,$L149,'Key Inputs_BY Techs'!$C:$C,'RSD_BY Techs'!$B149,'Key Inputs_BY Techs'!$E:$E,'RSD_BY Techs'!$D149)</f>
        <v>0</v>
      </c>
      <c r="AA149" s="242">
        <f>SUMIFS('Key Inputs_BY Techs'!U:U,'Key Inputs_BY Techs'!$A:$A,$L149,'Key Inputs_BY Techs'!$C:$C,'RSD_BY Techs'!$B149,'Key Inputs_BY Techs'!$E:$E,'RSD_BY Techs'!$D149)</f>
        <v>0</v>
      </c>
      <c r="AB149" s="242">
        <f>SUMIFS('Key Inputs_BY Techs'!V:V,'Key Inputs_BY Techs'!$A:$A,$L149,'Key Inputs_BY Techs'!$C:$C,'RSD_BY Techs'!$B149,'Key Inputs_BY Techs'!$E:$E,'RSD_BY Techs'!$D149)</f>
        <v>0</v>
      </c>
      <c r="AC149" s="242">
        <f>SUMIFS('Key Inputs_BY Techs'!W:W,'Key Inputs_BY Techs'!$A:$A,$L149,'Key Inputs_BY Techs'!$C:$C,'RSD_BY Techs'!$B149,'Key Inputs_BY Techs'!$E:$E,'RSD_BY Techs'!$D149)</f>
        <v>0</v>
      </c>
      <c r="AD149" s="242">
        <f>SUMIFS('Key Inputs_BY Techs'!X:X,'Key Inputs_BY Techs'!$A:$A,$L149,'Key Inputs_BY Techs'!$C:$C,'RSD_BY Techs'!$B149,'Key Inputs_BY Techs'!$E:$E,'RSD_BY Techs'!$D149)</f>
        <v>0</v>
      </c>
      <c r="AE149" s="242">
        <f>SUMIFS('Key Inputs_BY Techs'!Y:Y,'Key Inputs_BY Techs'!$A:$A,$L149,'Key Inputs_BY Techs'!$C:$C,'RSD_BY Techs'!$B149,'Key Inputs_BY Techs'!$E:$E,'RSD_BY Techs'!$D149)</f>
        <v>0</v>
      </c>
      <c r="AF149" s="242">
        <f>SUMIFS('Key Inputs_BY Techs'!Z:Z,'Key Inputs_BY Techs'!$A:$A,$L149,'Key Inputs_BY Techs'!$C:$C,'RSD_BY Techs'!$B149,'Key Inputs_BY Techs'!$E:$E,'RSD_BY Techs'!$D149)</f>
        <v>0</v>
      </c>
      <c r="AG149" s="242">
        <f>SUMIFS('Key Inputs_BY Techs'!AA:AA,'Key Inputs_BY Techs'!$A:$A,$L149,'Key Inputs_BY Techs'!$C:$C,'RSD_BY Techs'!$B149,'Key Inputs_BY Techs'!$E:$E,'RSD_BY Techs'!$D149)</f>
        <v>0</v>
      </c>
      <c r="AH149" s="242">
        <f>SUMIFS('Key Inputs_BY Techs'!AB:AB,'Key Inputs_BY Techs'!$A:$A,$L149,'Key Inputs_BY Techs'!$C:$C,'RSD_BY Techs'!$B149,'Key Inputs_BY Techs'!$E:$E,'RSD_BY Techs'!$D149)</f>
        <v>0</v>
      </c>
      <c r="AI149" s="242">
        <f>SUMIFS('Key Inputs_BY Techs'!AC:AC,'Key Inputs_BY Techs'!$A:$A,$L149,'Key Inputs_BY Techs'!$C:$C,'RSD_BY Techs'!$B149,'Key Inputs_BY Techs'!$E:$E,'RSD_BY Techs'!$D149)</f>
        <v>0</v>
      </c>
      <c r="AJ149" s="242">
        <f>SUMIFS('Key Inputs_BY Techs'!AD:AD,'Key Inputs_BY Techs'!$A:$A,$L149,'Key Inputs_BY Techs'!$C:$C,'RSD_BY Techs'!$B149,'Key Inputs_BY Techs'!$E:$E,'RSD_BY Techs'!$D149)</f>
        <v>0</v>
      </c>
      <c r="AK149" s="242">
        <f>SUMIFS('Key Inputs_BY Techs'!AE:AE,'Key Inputs_BY Techs'!$A:$A,$L149,'Key Inputs_BY Techs'!$C:$C,'RSD_BY Techs'!$B149,'Key Inputs_BY Techs'!$E:$E,'RSD_BY Techs'!$D149)</f>
        <v>0</v>
      </c>
      <c r="AL149" s="242">
        <f>SUMIFS('Key Inputs_BY Techs'!AF:AF,'Key Inputs_BY Techs'!$A:$A,$L149,'Key Inputs_BY Techs'!$C:$C,'RSD_BY Techs'!$B149,'Key Inputs_BY Techs'!$E:$E,'RSD_BY Techs'!$D149)</f>
        <v>0</v>
      </c>
      <c r="AM149" s="242">
        <f>SUMIFS('Key Inputs_BY Techs'!AG:AG,'Key Inputs_BY Techs'!$A:$A,$L149,'Key Inputs_BY Techs'!$C:$C,'RSD_BY Techs'!$B149,'Key Inputs_BY Techs'!$E:$E,'RSD_BY Techs'!$D149)</f>
        <v>0</v>
      </c>
      <c r="AN149" s="242">
        <f>SUMIFS('Key Inputs_BY Techs'!AH:AH,'Key Inputs_BY Techs'!$A:$A,$L149,'Key Inputs_BY Techs'!$C:$C,'RSD_BY Techs'!$B149,'Key Inputs_BY Techs'!$E:$E,'RSD_BY Techs'!$D149)</f>
        <v>0</v>
      </c>
      <c r="AO149" s="242">
        <f>SUMIFS('Key Inputs_BY Techs'!AI:AI,'Key Inputs_BY Techs'!$A:$A,$L149,'Key Inputs_BY Techs'!$C:$C,'RSD_BY Techs'!$B149,'Key Inputs_BY Techs'!$E:$E,'RSD_BY Techs'!$D149)</f>
        <v>0</v>
      </c>
      <c r="AP149" s="242">
        <f>SUMIFS('Key Inputs_BY Techs'!AJ:AJ,'Key Inputs_BY Techs'!$A:$A,$L149,'Key Inputs_BY Techs'!$C:$C,'RSD_BY Techs'!$B149,'Key Inputs_BY Techs'!$E:$E,'RSD_BY Techs'!$D149)</f>
        <v>0</v>
      </c>
    </row>
    <row r="150" spans="1:42" x14ac:dyDescent="0.25">
      <c r="A150" s="281" t="s">
        <v>124</v>
      </c>
      <c r="B150" s="281" t="s">
        <v>471</v>
      </c>
      <c r="C150" s="281" t="str">
        <f>Legend!A$66</f>
        <v>Electricity</v>
      </c>
      <c r="D150" s="281" t="str">
        <f>Legend!B$66</f>
        <v>RSDELC</v>
      </c>
      <c r="E150" s="281" t="str">
        <f t="shared" si="38"/>
        <v>RSDELC</v>
      </c>
      <c r="F150" s="254"/>
      <c r="G150" s="254"/>
      <c r="I150" s="84" t="str">
        <f t="shared" si="37"/>
        <v>R-ACH_ELC00</v>
      </c>
      <c r="J150" s="84" t="str">
        <f t="shared" si="37"/>
        <v>RSD Air conditioning technology: Electricity - Existing</v>
      </c>
      <c r="K150" s="84"/>
      <c r="L150" s="84" t="s">
        <v>377</v>
      </c>
      <c r="M150" s="92" t="str">
        <f>'Key Inputs_BY Techs'!F134</f>
        <v>GW</v>
      </c>
      <c r="N150" s="84"/>
      <c r="O150" s="243">
        <f>SUMIFS('Key Inputs_BY Techs'!I:I,'Key Inputs_BY Techs'!$A:$A,$L150,'Key Inputs_BY Techs'!$C:$C,'RSD_BY Techs'!$B150,'Key Inputs_BY Techs'!$E:$E,'RSD_BY Techs'!$D150)</f>
        <v>2.3362149632497876E-2</v>
      </c>
      <c r="P150" s="243">
        <f>SUMIFS('Key Inputs_BY Techs'!J:J,'Key Inputs_BY Techs'!$A:$A,$L150,'Key Inputs_BY Techs'!$C:$C,'RSD_BY Techs'!$B150,'Key Inputs_BY Techs'!$E:$E,'RSD_BY Techs'!$D150)</f>
        <v>8.8579362881372206E-2</v>
      </c>
      <c r="Q150" s="243">
        <f>SUMIFS('Key Inputs_BY Techs'!K:K,'Key Inputs_BY Techs'!$A:$A,$L150,'Key Inputs_BY Techs'!$C:$C,'RSD_BY Techs'!$B150,'Key Inputs_BY Techs'!$E:$E,'RSD_BY Techs'!$D150)</f>
        <v>6.243424848990241E-3</v>
      </c>
      <c r="R150" s="243">
        <f>SUMIFS('Key Inputs_BY Techs'!L:L,'Key Inputs_BY Techs'!$A:$A,$L150,'Key Inputs_BY Techs'!$C:$C,'RSD_BY Techs'!$B150,'Key Inputs_BY Techs'!$E:$E,'RSD_BY Techs'!$D150)</f>
        <v>3.7925973814447338E-2</v>
      </c>
      <c r="S150" s="243">
        <f>SUMIFS('Key Inputs_BY Techs'!M:M,'Key Inputs_BY Techs'!$A:$A,$L150,'Key Inputs_BY Techs'!$C:$C,'RSD_BY Techs'!$B150,'Key Inputs_BY Techs'!$E:$E,'RSD_BY Techs'!$D150)</f>
        <v>4.4802767303919655</v>
      </c>
      <c r="T150" s="243">
        <f>SUMIFS('Key Inputs_BY Techs'!N:N,'Key Inputs_BY Techs'!$A:$A,$L150,'Key Inputs_BY Techs'!$C:$C,'RSD_BY Techs'!$B150,'Key Inputs_BY Techs'!$E:$E,'RSD_BY Techs'!$D150)</f>
        <v>0.14892292222852346</v>
      </c>
      <c r="U150" s="243">
        <f>SUMIFS('Key Inputs_BY Techs'!O:O,'Key Inputs_BY Techs'!$A:$A,$L150,'Key Inputs_BY Techs'!$C:$C,'RSD_BY Techs'!$B150,'Key Inputs_BY Techs'!$E:$E,'RSD_BY Techs'!$D150)</f>
        <v>0.10156705664744524</v>
      </c>
      <c r="V150" s="243">
        <f>SUMIFS('Key Inputs_BY Techs'!P:P,'Key Inputs_BY Techs'!$A:$A,$L150,'Key Inputs_BY Techs'!$C:$C,'RSD_BY Techs'!$B150,'Key Inputs_BY Techs'!$E:$E,'RSD_BY Techs'!$D150)</f>
        <v>5.4695017395125049E-2</v>
      </c>
      <c r="W150" s="243">
        <f>SUMIFS('Key Inputs_BY Techs'!Q:Q,'Key Inputs_BY Techs'!$A:$A,$L150,'Key Inputs_BY Techs'!$C:$C,'RSD_BY Techs'!$B150,'Key Inputs_BY Techs'!$E:$E,'RSD_BY Techs'!$D150)</f>
        <v>14.545131592926351</v>
      </c>
      <c r="X150" s="243">
        <f>SUMIFS('Key Inputs_BY Techs'!R:R,'Key Inputs_BY Techs'!$A:$A,$L150,'Key Inputs_BY Techs'!$C:$C,'RSD_BY Techs'!$B150,'Key Inputs_BY Techs'!$E:$E,'RSD_BY Techs'!$D150)</f>
        <v>83.355081786347796</v>
      </c>
      <c r="Y150" s="243">
        <f>SUMIFS('Key Inputs_BY Techs'!S:S,'Key Inputs_BY Techs'!$A:$A,$L150,'Key Inputs_BY Techs'!$C:$C,'RSD_BY Techs'!$B150,'Key Inputs_BY Techs'!$E:$E,'RSD_BY Techs'!$D150)</f>
        <v>0.14670527207190312</v>
      </c>
      <c r="Z150" s="243">
        <f>SUMIFS('Key Inputs_BY Techs'!T:T,'Key Inputs_BY Techs'!$A:$A,$L150,'Key Inputs_BY Techs'!$C:$C,'RSD_BY Techs'!$B150,'Key Inputs_BY Techs'!$E:$E,'RSD_BY Techs'!$D150)</f>
        <v>1906.946897885671</v>
      </c>
      <c r="AA150" s="243">
        <f>SUMIFS('Key Inputs_BY Techs'!U:U,'Key Inputs_BY Techs'!$A:$A,$L150,'Key Inputs_BY Techs'!$C:$C,'RSD_BY Techs'!$B150,'Key Inputs_BY Techs'!$E:$E,'RSD_BY Techs'!$D150)</f>
        <v>2.0415239085679535</v>
      </c>
      <c r="AB150" s="243">
        <f>SUMIFS('Key Inputs_BY Techs'!V:V,'Key Inputs_BY Techs'!$A:$A,$L150,'Key Inputs_BY Techs'!$C:$C,'RSD_BY Techs'!$B150,'Key Inputs_BY Techs'!$E:$E,'RSD_BY Techs'!$D150)</f>
        <v>0.69546111397777732</v>
      </c>
      <c r="AC150" s="243">
        <f>SUMIFS('Key Inputs_BY Techs'!W:W,'Key Inputs_BY Techs'!$A:$A,$L150,'Key Inputs_BY Techs'!$C:$C,'RSD_BY Techs'!$B150,'Key Inputs_BY Techs'!$E:$E,'RSD_BY Techs'!$D150)</f>
        <v>13.739640765602664</v>
      </c>
      <c r="AD150" s="243">
        <f>SUMIFS('Key Inputs_BY Techs'!X:X,'Key Inputs_BY Techs'!$A:$A,$L150,'Key Inputs_BY Techs'!$C:$C,'RSD_BY Techs'!$B150,'Key Inputs_BY Techs'!$E:$E,'RSD_BY Techs'!$D150)</f>
        <v>22.906040754044483</v>
      </c>
      <c r="AE150" s="243">
        <f>SUMIFS('Key Inputs_BY Techs'!Y:Y,'Key Inputs_BY Techs'!$A:$A,$L150,'Key Inputs_BY Techs'!$C:$C,'RSD_BY Techs'!$B150,'Key Inputs_BY Techs'!$E:$E,'RSD_BY Techs'!$D150)</f>
        <v>2.1162610025737676</v>
      </c>
      <c r="AF150" s="243">
        <f>SUMIFS('Key Inputs_BY Techs'!Z:Z,'Key Inputs_BY Techs'!$A:$A,$L150,'Key Inputs_BY Techs'!$C:$C,'RSD_BY Techs'!$B150,'Key Inputs_BY Techs'!$E:$E,'RSD_BY Techs'!$D150)</f>
        <v>0.47326843724515705</v>
      </c>
      <c r="AG150" s="243">
        <f>SUMIFS('Key Inputs_BY Techs'!AA:AA,'Key Inputs_BY Techs'!$A:$A,$L150,'Key Inputs_BY Techs'!$C:$C,'RSD_BY Techs'!$B150,'Key Inputs_BY Techs'!$E:$E,'RSD_BY Techs'!$D150)</f>
        <v>0.3558832245052953</v>
      </c>
      <c r="AH150" s="243">
        <f>SUMIFS('Key Inputs_BY Techs'!AB:AB,'Key Inputs_BY Techs'!$A:$A,$L150,'Key Inputs_BY Techs'!$C:$C,'RSD_BY Techs'!$B150,'Key Inputs_BY Techs'!$E:$E,'RSD_BY Techs'!$D150)</f>
        <v>8.935078897808614</v>
      </c>
      <c r="AI150" s="243">
        <f>SUMIFS('Key Inputs_BY Techs'!AC:AC,'Key Inputs_BY Techs'!$A:$A,$L150,'Key Inputs_BY Techs'!$C:$C,'RSD_BY Techs'!$B150,'Key Inputs_BY Techs'!$E:$E,'RSD_BY Techs'!$D150)</f>
        <v>13.099922708971103</v>
      </c>
      <c r="AJ150" s="243">
        <f>SUMIFS('Key Inputs_BY Techs'!AD:AD,'Key Inputs_BY Techs'!$A:$A,$L150,'Key Inputs_BY Techs'!$C:$C,'RSD_BY Techs'!$B150,'Key Inputs_BY Techs'!$E:$E,'RSD_BY Techs'!$D150)</f>
        <v>0</v>
      </c>
      <c r="AK150" s="243">
        <f>SUMIFS('Key Inputs_BY Techs'!AE:AE,'Key Inputs_BY Techs'!$A:$A,$L150,'Key Inputs_BY Techs'!$C:$C,'RSD_BY Techs'!$B150,'Key Inputs_BY Techs'!$E:$E,'RSD_BY Techs'!$D150)</f>
        <v>0</v>
      </c>
      <c r="AL150" s="243">
        <f>SUMIFS('Key Inputs_BY Techs'!AF:AF,'Key Inputs_BY Techs'!$A:$A,$L150,'Key Inputs_BY Techs'!$C:$C,'RSD_BY Techs'!$B150,'Key Inputs_BY Techs'!$E:$E,'RSD_BY Techs'!$D150)</f>
        <v>8.7674435841618958</v>
      </c>
      <c r="AM150" s="243">
        <f>SUMIFS('Key Inputs_BY Techs'!AG:AG,'Key Inputs_BY Techs'!$A:$A,$L150,'Key Inputs_BY Techs'!$C:$C,'RSD_BY Techs'!$B150,'Key Inputs_BY Techs'!$E:$E,'RSD_BY Techs'!$D150)</f>
        <v>6.6427326886504779E-3</v>
      </c>
      <c r="AN150" s="243">
        <f>SUMIFS('Key Inputs_BY Techs'!AH:AH,'Key Inputs_BY Techs'!$A:$A,$L150,'Key Inputs_BY Techs'!$C:$C,'RSD_BY Techs'!$B150,'Key Inputs_BY Techs'!$E:$E,'RSD_BY Techs'!$D150)</f>
        <v>121.43005591065084</v>
      </c>
      <c r="AO150" s="243">
        <f>SUMIFS('Key Inputs_BY Techs'!AI:AI,'Key Inputs_BY Techs'!$A:$A,$L150,'Key Inputs_BY Techs'!$C:$C,'RSD_BY Techs'!$B150,'Key Inputs_BY Techs'!$E:$E,'RSD_BY Techs'!$D150)</f>
        <v>7.1767022389916999</v>
      </c>
      <c r="AP150" s="243">
        <f>SUMIFS('Key Inputs_BY Techs'!AJ:AJ,'Key Inputs_BY Techs'!$A:$A,$L150,'Key Inputs_BY Techs'!$C:$C,'RSD_BY Techs'!$B150,'Key Inputs_BY Techs'!$E:$E,'RSD_BY Techs'!$D150)</f>
        <v>250.33427424782525</v>
      </c>
    </row>
    <row r="151" spans="1:42" x14ac:dyDescent="0.25">
      <c r="A151" s="254" t="s">
        <v>119</v>
      </c>
      <c r="B151" s="254" t="s">
        <v>118</v>
      </c>
      <c r="C151" s="254" t="str">
        <f>Legend!A$64</f>
        <v>Biomass</v>
      </c>
      <c r="D151" s="254" t="str">
        <f>Legend!B$64</f>
        <v>RSDBIO</v>
      </c>
      <c r="E151" s="254" t="str">
        <f>LEFT(D151,6)</f>
        <v>RSDBIO</v>
      </c>
      <c r="F151" s="254"/>
      <c r="G151" s="254"/>
      <c r="I151" s="209" t="str">
        <f t="shared" si="37"/>
        <v>R-CK_BIO00</v>
      </c>
      <c r="J151" s="209" t="str">
        <f t="shared" si="37"/>
        <v>RSD Cooking technology: Biomass - Existing</v>
      </c>
      <c r="K151" s="209"/>
      <c r="L151" s="209" t="s">
        <v>377</v>
      </c>
      <c r="M151" s="87" t="str">
        <f>'Key Inputs_BY Techs'!F133</f>
        <v>GW</v>
      </c>
      <c r="N151" s="209"/>
      <c r="O151" s="242">
        <f>SUMIFS('Key Inputs_BY Techs'!I:I,'Key Inputs_BY Techs'!$A:$A,$L151,'Key Inputs_BY Techs'!$C:$C,'RSD_BY Techs'!$B151,'Key Inputs_BY Techs'!$E:$E,'RSD_BY Techs'!$D151)</f>
        <v>478.80527410018539</v>
      </c>
      <c r="P151" s="242">
        <f>SUMIFS('Key Inputs_BY Techs'!J:J,'Key Inputs_BY Techs'!$A:$A,$L151,'Key Inputs_BY Techs'!$C:$C,'RSD_BY Techs'!$B151,'Key Inputs_BY Techs'!$E:$E,'RSD_BY Techs'!$D151)</f>
        <v>22.234207761045948</v>
      </c>
      <c r="Q151" s="242">
        <f>SUMIFS('Key Inputs_BY Techs'!K:K,'Key Inputs_BY Techs'!$A:$A,$L151,'Key Inputs_BY Techs'!$C:$C,'RSD_BY Techs'!$B151,'Key Inputs_BY Techs'!$E:$E,'RSD_BY Techs'!$D151)</f>
        <v>347.81414962143981</v>
      </c>
      <c r="R151" s="242">
        <f>SUMIFS('Key Inputs_BY Techs'!L:L,'Key Inputs_BY Techs'!$A:$A,$L151,'Key Inputs_BY Techs'!$C:$C,'RSD_BY Techs'!$B151,'Key Inputs_BY Techs'!$E:$E,'RSD_BY Techs'!$D151)</f>
        <v>176.88695785154118</v>
      </c>
      <c r="S151" s="242">
        <f>SUMIFS('Key Inputs_BY Techs'!M:M,'Key Inputs_BY Techs'!$A:$A,$L151,'Key Inputs_BY Techs'!$C:$C,'RSD_BY Techs'!$B151,'Key Inputs_BY Techs'!$E:$E,'RSD_BY Techs'!$D151)</f>
        <v>3.6462066997198718E-3</v>
      </c>
      <c r="T151" s="242">
        <f>SUMIFS('Key Inputs_BY Techs'!N:N,'Key Inputs_BY Techs'!$A:$A,$L151,'Key Inputs_BY Techs'!$C:$C,'RSD_BY Techs'!$B151,'Key Inputs_BY Techs'!$E:$E,'RSD_BY Techs'!$D151)</f>
        <v>1.2011254712536601</v>
      </c>
      <c r="U151" s="242">
        <f>SUMIFS('Key Inputs_BY Techs'!O:O,'Key Inputs_BY Techs'!$A:$A,$L151,'Key Inputs_BY Techs'!$C:$C,'RSD_BY Techs'!$B151,'Key Inputs_BY Techs'!$E:$E,'RSD_BY Techs'!$D151)</f>
        <v>10.65869818735796</v>
      </c>
      <c r="V151" s="242">
        <f>SUMIFS('Key Inputs_BY Techs'!P:P,'Key Inputs_BY Techs'!$A:$A,$L151,'Key Inputs_BY Techs'!$C:$C,'RSD_BY Techs'!$B151,'Key Inputs_BY Techs'!$E:$E,'RSD_BY Techs'!$D151)</f>
        <v>21.59654469459953</v>
      </c>
      <c r="W151" s="242">
        <f>SUMIFS('Key Inputs_BY Techs'!Q:Q,'Key Inputs_BY Techs'!$A:$A,$L151,'Key Inputs_BY Techs'!$C:$C,'RSD_BY Techs'!$B151,'Key Inputs_BY Techs'!$E:$E,'RSD_BY Techs'!$D151)</f>
        <v>67.055421615862656</v>
      </c>
      <c r="X151" s="242">
        <f>SUMIFS('Key Inputs_BY Techs'!R:R,'Key Inputs_BY Techs'!$A:$A,$L151,'Key Inputs_BY Techs'!$C:$C,'RSD_BY Techs'!$B151,'Key Inputs_BY Techs'!$E:$E,'RSD_BY Techs'!$D151)</f>
        <v>0</v>
      </c>
      <c r="Y151" s="242">
        <f>SUMIFS('Key Inputs_BY Techs'!S:S,'Key Inputs_BY Techs'!$A:$A,$L151,'Key Inputs_BY Techs'!$C:$C,'RSD_BY Techs'!$B151,'Key Inputs_BY Techs'!$E:$E,'RSD_BY Techs'!$D151)</f>
        <v>0.14500108429458217</v>
      </c>
      <c r="Z151" s="242">
        <f>SUMIFS('Key Inputs_BY Techs'!T:T,'Key Inputs_BY Techs'!$A:$A,$L151,'Key Inputs_BY Techs'!$C:$C,'RSD_BY Techs'!$B151,'Key Inputs_BY Techs'!$E:$E,'RSD_BY Techs'!$D151)</f>
        <v>9.7105197877453726</v>
      </c>
      <c r="AA151" s="242">
        <f>SUMIFS('Key Inputs_BY Techs'!U:U,'Key Inputs_BY Techs'!$A:$A,$L151,'Key Inputs_BY Techs'!$C:$C,'RSD_BY Techs'!$B151,'Key Inputs_BY Techs'!$E:$E,'RSD_BY Techs'!$D151)</f>
        <v>0.90102855962981698</v>
      </c>
      <c r="AB151" s="242">
        <f>SUMIFS('Key Inputs_BY Techs'!V:V,'Key Inputs_BY Techs'!$A:$A,$L151,'Key Inputs_BY Techs'!$C:$C,'RSD_BY Techs'!$B151,'Key Inputs_BY Techs'!$E:$E,'RSD_BY Techs'!$D151)</f>
        <v>8.2866138128643661E-3</v>
      </c>
      <c r="AC151" s="242">
        <f>SUMIFS('Key Inputs_BY Techs'!W:W,'Key Inputs_BY Techs'!$A:$A,$L151,'Key Inputs_BY Techs'!$C:$C,'RSD_BY Techs'!$B151,'Key Inputs_BY Techs'!$E:$E,'RSD_BY Techs'!$D151)</f>
        <v>2.2929675303521551</v>
      </c>
      <c r="AD151" s="242">
        <f>SUMIFS('Key Inputs_BY Techs'!X:X,'Key Inputs_BY Techs'!$A:$A,$L151,'Key Inputs_BY Techs'!$C:$C,'RSD_BY Techs'!$B151,'Key Inputs_BY Techs'!$E:$E,'RSD_BY Techs'!$D151)</f>
        <v>4.1732230168468751</v>
      </c>
      <c r="AE151" s="242">
        <f>SUMIFS('Key Inputs_BY Techs'!Y:Y,'Key Inputs_BY Techs'!$A:$A,$L151,'Key Inputs_BY Techs'!$C:$C,'RSD_BY Techs'!$B151,'Key Inputs_BY Techs'!$E:$E,'RSD_BY Techs'!$D151)</f>
        <v>2.3208411851983666E-2</v>
      </c>
      <c r="AF151" s="242">
        <f>SUMIFS('Key Inputs_BY Techs'!Z:Z,'Key Inputs_BY Techs'!$A:$A,$L151,'Key Inputs_BY Techs'!$C:$C,'RSD_BY Techs'!$B151,'Key Inputs_BY Techs'!$E:$E,'RSD_BY Techs'!$D151)</f>
        <v>16.063672983045009</v>
      </c>
      <c r="AG151" s="242">
        <f>SUMIFS('Key Inputs_BY Techs'!AA:AA,'Key Inputs_BY Techs'!$A:$A,$L151,'Key Inputs_BY Techs'!$C:$C,'RSD_BY Techs'!$B151,'Key Inputs_BY Techs'!$E:$E,'RSD_BY Techs'!$D151)</f>
        <v>57.504678269037939</v>
      </c>
      <c r="AH151" s="242">
        <f>SUMIFS('Key Inputs_BY Techs'!AB:AB,'Key Inputs_BY Techs'!$A:$A,$L151,'Key Inputs_BY Techs'!$C:$C,'RSD_BY Techs'!$B151,'Key Inputs_BY Techs'!$E:$E,'RSD_BY Techs'!$D151)</f>
        <v>1.3518437302868783E-2</v>
      </c>
      <c r="AI151" s="242">
        <f>SUMIFS('Key Inputs_BY Techs'!AC:AC,'Key Inputs_BY Techs'!$A:$A,$L151,'Key Inputs_BY Techs'!$C:$C,'RSD_BY Techs'!$B151,'Key Inputs_BY Techs'!$E:$E,'RSD_BY Techs'!$D151)</f>
        <v>144.87273242009135</v>
      </c>
      <c r="AJ151" s="242">
        <f>SUMIFS('Key Inputs_BY Techs'!AD:AD,'Key Inputs_BY Techs'!$A:$A,$L151,'Key Inputs_BY Techs'!$C:$C,'RSD_BY Techs'!$B151,'Key Inputs_BY Techs'!$E:$E,'RSD_BY Techs'!$D151)</f>
        <v>0</v>
      </c>
      <c r="AK151" s="242">
        <f>SUMIFS('Key Inputs_BY Techs'!AE:AE,'Key Inputs_BY Techs'!$A:$A,$L151,'Key Inputs_BY Techs'!$C:$C,'RSD_BY Techs'!$B151,'Key Inputs_BY Techs'!$E:$E,'RSD_BY Techs'!$D151)</f>
        <v>0</v>
      </c>
      <c r="AL151" s="242">
        <f>SUMIFS('Key Inputs_BY Techs'!AF:AF,'Key Inputs_BY Techs'!$A:$A,$L151,'Key Inputs_BY Techs'!$C:$C,'RSD_BY Techs'!$B151,'Key Inputs_BY Techs'!$E:$E,'RSD_BY Techs'!$D151)</f>
        <v>0</v>
      </c>
      <c r="AM151" s="242">
        <f>SUMIFS('Key Inputs_BY Techs'!AG:AG,'Key Inputs_BY Techs'!$A:$A,$L151,'Key Inputs_BY Techs'!$C:$C,'RSD_BY Techs'!$B151,'Key Inputs_BY Techs'!$E:$E,'RSD_BY Techs'!$D151)</f>
        <v>702.92305688087606</v>
      </c>
      <c r="AN151" s="242">
        <f>SUMIFS('Key Inputs_BY Techs'!AH:AH,'Key Inputs_BY Techs'!$A:$A,$L151,'Key Inputs_BY Techs'!$C:$C,'RSD_BY Techs'!$B151,'Key Inputs_BY Techs'!$E:$E,'RSD_BY Techs'!$D151)</f>
        <v>0.60409354729664511</v>
      </c>
      <c r="AO151" s="242">
        <f>SUMIFS('Key Inputs_BY Techs'!AI:AI,'Key Inputs_BY Techs'!$A:$A,$L151,'Key Inputs_BY Techs'!$C:$C,'RSD_BY Techs'!$B151,'Key Inputs_BY Techs'!$E:$E,'RSD_BY Techs'!$D151)</f>
        <v>0.21538851271188894</v>
      </c>
      <c r="AP151" s="242">
        <f>SUMIFS('Key Inputs_BY Techs'!AJ:AJ,'Key Inputs_BY Techs'!$A:$A,$L151,'Key Inputs_BY Techs'!$C:$C,'RSD_BY Techs'!$B151,'Key Inputs_BY Techs'!$E:$E,'RSD_BY Techs'!$D151)</f>
        <v>0</v>
      </c>
    </row>
    <row r="152" spans="1:42" x14ac:dyDescent="0.25">
      <c r="A152" s="254" t="s">
        <v>119</v>
      </c>
      <c r="B152" s="254" t="s">
        <v>118</v>
      </c>
      <c r="C152" s="254" t="str">
        <f>Legend!A$65</f>
        <v>Coal</v>
      </c>
      <c r="D152" s="254" t="str">
        <f>Legend!B$65</f>
        <v>RSDCOA</v>
      </c>
      <c r="E152" s="254" t="str">
        <f t="shared" ref="E152:E158" si="39">LEFT(D152,6)</f>
        <v>RSDCOA</v>
      </c>
      <c r="F152" s="254"/>
      <c r="G152" s="254"/>
      <c r="I152" s="81" t="str">
        <f t="shared" si="37"/>
        <v>R-CK_COA00</v>
      </c>
      <c r="J152" s="81" t="str">
        <f t="shared" si="37"/>
        <v>RSD Cooking technology: Coal - Existing</v>
      </c>
      <c r="L152" s="81" t="s">
        <v>377</v>
      </c>
      <c r="M152" s="87" t="str">
        <f>'Key Inputs_BY Techs'!F134</f>
        <v>GW</v>
      </c>
      <c r="O152" s="242">
        <f>SUMIFS('Key Inputs_BY Techs'!I:I,'Key Inputs_BY Techs'!$A:$A,$L152,'Key Inputs_BY Techs'!$C:$C,'RSD_BY Techs'!$B152,'Key Inputs_BY Techs'!$E:$E,'RSD_BY Techs'!$D152)</f>
        <v>8.6120376685768687E-3</v>
      </c>
      <c r="P152" s="242">
        <f>SUMIFS('Key Inputs_BY Techs'!J:J,'Key Inputs_BY Techs'!$A:$A,$L152,'Key Inputs_BY Techs'!$C:$C,'RSD_BY Techs'!$B152,'Key Inputs_BY Techs'!$E:$E,'RSD_BY Techs'!$D152)</f>
        <v>4.9432323837571264E-3</v>
      </c>
      <c r="Q152" s="242">
        <f>SUMIFS('Key Inputs_BY Techs'!K:K,'Key Inputs_BY Techs'!$A:$A,$L152,'Key Inputs_BY Techs'!$C:$C,'RSD_BY Techs'!$B152,'Key Inputs_BY Techs'!$E:$E,'RSD_BY Techs'!$D152)</f>
        <v>0</v>
      </c>
      <c r="R152" s="242">
        <f>SUMIFS('Key Inputs_BY Techs'!L:L,'Key Inputs_BY Techs'!$A:$A,$L152,'Key Inputs_BY Techs'!$C:$C,'RSD_BY Techs'!$B152,'Key Inputs_BY Techs'!$E:$E,'RSD_BY Techs'!$D152)</f>
        <v>7.6213830036695409</v>
      </c>
      <c r="S152" s="242">
        <f>SUMIFS('Key Inputs_BY Techs'!M:M,'Key Inputs_BY Techs'!$A:$A,$L152,'Key Inputs_BY Techs'!$C:$C,'RSD_BY Techs'!$B152,'Key Inputs_BY Techs'!$E:$E,'RSD_BY Techs'!$D152)</f>
        <v>1.0774701836470613E-2</v>
      </c>
      <c r="T152" s="242">
        <f>SUMIFS('Key Inputs_BY Techs'!N:N,'Key Inputs_BY Techs'!$A:$A,$L152,'Key Inputs_BY Techs'!$C:$C,'RSD_BY Techs'!$B152,'Key Inputs_BY Techs'!$E:$E,'RSD_BY Techs'!$D152)</f>
        <v>12.745148206131766</v>
      </c>
      <c r="U152" s="242">
        <f>SUMIFS('Key Inputs_BY Techs'!O:O,'Key Inputs_BY Techs'!$A:$A,$L152,'Key Inputs_BY Techs'!$C:$C,'RSD_BY Techs'!$B152,'Key Inputs_BY Techs'!$E:$E,'RSD_BY Techs'!$D152)</f>
        <v>2.7136490541422051</v>
      </c>
      <c r="V152" s="242">
        <f>SUMIFS('Key Inputs_BY Techs'!P:P,'Key Inputs_BY Techs'!$A:$A,$L152,'Key Inputs_BY Techs'!$C:$C,'RSD_BY Techs'!$B152,'Key Inputs_BY Techs'!$E:$E,'RSD_BY Techs'!$D152)</f>
        <v>6.2369210697977824E-3</v>
      </c>
      <c r="W152" s="242">
        <f>SUMIFS('Key Inputs_BY Techs'!Q:Q,'Key Inputs_BY Techs'!$A:$A,$L152,'Key Inputs_BY Techs'!$C:$C,'RSD_BY Techs'!$B152,'Key Inputs_BY Techs'!$E:$E,'RSD_BY Techs'!$D152)</f>
        <v>0</v>
      </c>
      <c r="X152" s="242">
        <f>SUMIFS('Key Inputs_BY Techs'!R:R,'Key Inputs_BY Techs'!$A:$A,$L152,'Key Inputs_BY Techs'!$C:$C,'RSD_BY Techs'!$B152,'Key Inputs_BY Techs'!$E:$E,'RSD_BY Techs'!$D152)</f>
        <v>0</v>
      </c>
      <c r="Y152" s="242">
        <f>SUMIFS('Key Inputs_BY Techs'!S:S,'Key Inputs_BY Techs'!$A:$A,$L152,'Key Inputs_BY Techs'!$C:$C,'RSD_BY Techs'!$B152,'Key Inputs_BY Techs'!$E:$E,'RSD_BY Techs'!$D152)</f>
        <v>0</v>
      </c>
      <c r="Z152" s="242">
        <f>SUMIFS('Key Inputs_BY Techs'!T:T,'Key Inputs_BY Techs'!$A:$A,$L152,'Key Inputs_BY Techs'!$C:$C,'RSD_BY Techs'!$B152,'Key Inputs_BY Techs'!$E:$E,'RSD_BY Techs'!$D152)</f>
        <v>84.274689628180028</v>
      </c>
      <c r="AA152" s="242">
        <f>SUMIFS('Key Inputs_BY Techs'!U:U,'Key Inputs_BY Techs'!$A:$A,$L152,'Key Inputs_BY Techs'!$C:$C,'RSD_BY Techs'!$B152,'Key Inputs_BY Techs'!$E:$E,'RSD_BY Techs'!$D152)</f>
        <v>1.0494714064734365</v>
      </c>
      <c r="AB152" s="242">
        <f>SUMIFS('Key Inputs_BY Techs'!V:V,'Key Inputs_BY Techs'!$A:$A,$L152,'Key Inputs_BY Techs'!$C:$C,'RSD_BY Techs'!$B152,'Key Inputs_BY Techs'!$E:$E,'RSD_BY Techs'!$D152)</f>
        <v>0.73279558188899585</v>
      </c>
      <c r="AC152" s="242">
        <f>SUMIFS('Key Inputs_BY Techs'!W:W,'Key Inputs_BY Techs'!$A:$A,$L152,'Key Inputs_BY Techs'!$C:$C,'RSD_BY Techs'!$B152,'Key Inputs_BY Techs'!$E:$E,'RSD_BY Techs'!$D152)</f>
        <v>9.3584271395211971</v>
      </c>
      <c r="AD152" s="242">
        <f>SUMIFS('Key Inputs_BY Techs'!X:X,'Key Inputs_BY Techs'!$A:$A,$L152,'Key Inputs_BY Techs'!$C:$C,'RSD_BY Techs'!$B152,'Key Inputs_BY Techs'!$E:$E,'RSD_BY Techs'!$D152)</f>
        <v>0.14466678523089219</v>
      </c>
      <c r="AE152" s="242">
        <f>SUMIFS('Key Inputs_BY Techs'!Y:Y,'Key Inputs_BY Techs'!$A:$A,$L152,'Key Inputs_BY Techs'!$C:$C,'RSD_BY Techs'!$B152,'Key Inputs_BY Techs'!$E:$E,'RSD_BY Techs'!$D152)</f>
        <v>1.1627409422668713</v>
      </c>
      <c r="AF152" s="242">
        <f>SUMIFS('Key Inputs_BY Techs'!Z:Z,'Key Inputs_BY Techs'!$A:$A,$L152,'Key Inputs_BY Techs'!$C:$C,'RSD_BY Techs'!$B152,'Key Inputs_BY Techs'!$E:$E,'RSD_BY Techs'!$D152)</f>
        <v>3.221958121330724</v>
      </c>
      <c r="AG152" s="242">
        <f>SUMIFS('Key Inputs_BY Techs'!AA:AA,'Key Inputs_BY Techs'!$A:$A,$L152,'Key Inputs_BY Techs'!$C:$C,'RSD_BY Techs'!$B152,'Key Inputs_BY Techs'!$E:$E,'RSD_BY Techs'!$D152)</f>
        <v>0.55896934116112207</v>
      </c>
      <c r="AH152" s="242">
        <f>SUMIFS('Key Inputs_BY Techs'!AB:AB,'Key Inputs_BY Techs'!$A:$A,$L152,'Key Inputs_BY Techs'!$C:$C,'RSD_BY Techs'!$B152,'Key Inputs_BY Techs'!$E:$E,'RSD_BY Techs'!$D152)</f>
        <v>0</v>
      </c>
      <c r="AI152" s="242">
        <f>SUMIFS('Key Inputs_BY Techs'!AC:AC,'Key Inputs_BY Techs'!$A:$A,$L152,'Key Inputs_BY Techs'!$C:$C,'RSD_BY Techs'!$B152,'Key Inputs_BY Techs'!$E:$E,'RSD_BY Techs'!$D152)</f>
        <v>0.18170240910607249</v>
      </c>
      <c r="AJ152" s="242">
        <f>SUMIFS('Key Inputs_BY Techs'!AD:AD,'Key Inputs_BY Techs'!$A:$A,$L152,'Key Inputs_BY Techs'!$C:$C,'RSD_BY Techs'!$B152,'Key Inputs_BY Techs'!$E:$E,'RSD_BY Techs'!$D152)</f>
        <v>0</v>
      </c>
      <c r="AK152" s="242">
        <f>SUMIFS('Key Inputs_BY Techs'!AE:AE,'Key Inputs_BY Techs'!$A:$A,$L152,'Key Inputs_BY Techs'!$C:$C,'RSD_BY Techs'!$B152,'Key Inputs_BY Techs'!$E:$E,'RSD_BY Techs'!$D152)</f>
        <v>0</v>
      </c>
      <c r="AL152" s="242">
        <f>SUMIFS('Key Inputs_BY Techs'!AF:AF,'Key Inputs_BY Techs'!$A:$A,$L152,'Key Inputs_BY Techs'!$C:$C,'RSD_BY Techs'!$B152,'Key Inputs_BY Techs'!$E:$E,'RSD_BY Techs'!$D152)</f>
        <v>0</v>
      </c>
      <c r="AM152" s="242">
        <f>SUMIFS('Key Inputs_BY Techs'!AG:AG,'Key Inputs_BY Techs'!$A:$A,$L152,'Key Inputs_BY Techs'!$C:$C,'RSD_BY Techs'!$B152,'Key Inputs_BY Techs'!$E:$E,'RSD_BY Techs'!$D152)</f>
        <v>0</v>
      </c>
      <c r="AN152" s="242">
        <f>SUMIFS('Key Inputs_BY Techs'!AH:AH,'Key Inputs_BY Techs'!$A:$A,$L152,'Key Inputs_BY Techs'!$C:$C,'RSD_BY Techs'!$B152,'Key Inputs_BY Techs'!$E:$E,'RSD_BY Techs'!$D152)</f>
        <v>4.4876412263535546</v>
      </c>
      <c r="AO152" s="242">
        <f>SUMIFS('Key Inputs_BY Techs'!AI:AI,'Key Inputs_BY Techs'!$A:$A,$L152,'Key Inputs_BY Techs'!$C:$C,'RSD_BY Techs'!$B152,'Key Inputs_BY Techs'!$E:$E,'RSD_BY Techs'!$D152)</f>
        <v>0.71141522020436398</v>
      </c>
      <c r="AP152" s="242">
        <f>SUMIFS('Key Inputs_BY Techs'!AJ:AJ,'Key Inputs_BY Techs'!$A:$A,$L152,'Key Inputs_BY Techs'!$C:$C,'RSD_BY Techs'!$B152,'Key Inputs_BY Techs'!$E:$E,'RSD_BY Techs'!$D152)</f>
        <v>0</v>
      </c>
    </row>
    <row r="153" spans="1:42" x14ac:dyDescent="0.25">
      <c r="A153" s="254" t="s">
        <v>119</v>
      </c>
      <c r="B153" s="254" t="s">
        <v>118</v>
      </c>
      <c r="C153" s="254" t="str">
        <f>Legend!A$66</f>
        <v>Electricity</v>
      </c>
      <c r="D153" s="254" t="str">
        <f>Legend!B$66</f>
        <v>RSDELC</v>
      </c>
      <c r="E153" s="254" t="str">
        <f t="shared" si="39"/>
        <v>RSDELC</v>
      </c>
      <c r="F153" s="254"/>
      <c r="G153" s="254"/>
      <c r="I153" s="81" t="str">
        <f t="shared" si="37"/>
        <v>R-CK_ELC00</v>
      </c>
      <c r="J153" s="81" t="str">
        <f t="shared" si="37"/>
        <v>RSD Cooking technology: Electricity - Existing</v>
      </c>
      <c r="L153" s="81" t="s">
        <v>377</v>
      </c>
      <c r="M153" s="87" t="str">
        <f>'Key Inputs_BY Techs'!F135</f>
        <v>GW</v>
      </c>
      <c r="O153" s="242">
        <f>SUMIFS('Key Inputs_BY Techs'!I:I,'Key Inputs_BY Techs'!$A:$A,$L153,'Key Inputs_BY Techs'!$C:$C,'RSD_BY Techs'!$B153,'Key Inputs_BY Techs'!$E:$E,'RSD_BY Techs'!$D153)</f>
        <v>1.8442844495363997</v>
      </c>
      <c r="P153" s="242">
        <f>SUMIFS('Key Inputs_BY Techs'!J:J,'Key Inputs_BY Techs'!$A:$A,$L153,'Key Inputs_BY Techs'!$C:$C,'RSD_BY Techs'!$B153,'Key Inputs_BY Techs'!$E:$E,'RSD_BY Techs'!$D153)</f>
        <v>9.4402005423023585</v>
      </c>
      <c r="Q153" s="242">
        <f>SUMIFS('Key Inputs_BY Techs'!K:K,'Key Inputs_BY Techs'!$A:$A,$L153,'Key Inputs_BY Techs'!$C:$C,'RSD_BY Techs'!$B153,'Key Inputs_BY Techs'!$E:$E,'RSD_BY Techs'!$D153)</f>
        <v>1.8120339875453302</v>
      </c>
      <c r="R153" s="242">
        <f>SUMIFS('Key Inputs_BY Techs'!L:L,'Key Inputs_BY Techs'!$A:$A,$L153,'Key Inputs_BY Techs'!$C:$C,'RSD_BY Techs'!$B153,'Key Inputs_BY Techs'!$E:$E,'RSD_BY Techs'!$D153)</f>
        <v>4.9196802179481605</v>
      </c>
      <c r="S153" s="242">
        <f>SUMIFS('Key Inputs_BY Techs'!M:M,'Key Inputs_BY Techs'!$A:$A,$L153,'Key Inputs_BY Techs'!$C:$C,'RSD_BY Techs'!$B153,'Key Inputs_BY Techs'!$E:$E,'RSD_BY Techs'!$D153)</f>
        <v>6.387092045432663</v>
      </c>
      <c r="T153" s="242">
        <f>SUMIFS('Key Inputs_BY Techs'!N:N,'Key Inputs_BY Techs'!$A:$A,$L153,'Key Inputs_BY Techs'!$C:$C,'RSD_BY Techs'!$B153,'Key Inputs_BY Techs'!$E:$E,'RSD_BY Techs'!$D153)</f>
        <v>7.8161985152412949</v>
      </c>
      <c r="U153" s="242">
        <f>SUMIFS('Key Inputs_BY Techs'!O:O,'Key Inputs_BY Techs'!$A:$A,$L153,'Key Inputs_BY Techs'!$C:$C,'RSD_BY Techs'!$B153,'Key Inputs_BY Techs'!$E:$E,'RSD_BY Techs'!$D153)</f>
        <v>11.253848520500965</v>
      </c>
      <c r="V153" s="242">
        <f>SUMIFS('Key Inputs_BY Techs'!P:P,'Key Inputs_BY Techs'!$A:$A,$L153,'Key Inputs_BY Techs'!$C:$C,'RSD_BY Techs'!$B153,'Key Inputs_BY Techs'!$E:$E,'RSD_BY Techs'!$D153)</f>
        <v>12.432235395225851</v>
      </c>
      <c r="W153" s="242">
        <f>SUMIFS('Key Inputs_BY Techs'!Q:Q,'Key Inputs_BY Techs'!$A:$A,$L153,'Key Inputs_BY Techs'!$C:$C,'RSD_BY Techs'!$B153,'Key Inputs_BY Techs'!$E:$E,'RSD_BY Techs'!$D153)</f>
        <v>5.7543513754350153</v>
      </c>
      <c r="X153" s="242">
        <f>SUMIFS('Key Inputs_BY Techs'!R:R,'Key Inputs_BY Techs'!$A:$A,$L153,'Key Inputs_BY Techs'!$C:$C,'RSD_BY Techs'!$B153,'Key Inputs_BY Techs'!$E:$E,'RSD_BY Techs'!$D153)</f>
        <v>17.190667298542735</v>
      </c>
      <c r="Y153" s="242">
        <f>SUMIFS('Key Inputs_BY Techs'!S:S,'Key Inputs_BY Techs'!$A:$A,$L153,'Key Inputs_BY Techs'!$C:$C,'RSD_BY Techs'!$B153,'Key Inputs_BY Techs'!$E:$E,'RSD_BY Techs'!$D153)</f>
        <v>1.0550818295594648</v>
      </c>
      <c r="Z153" s="242">
        <f>SUMIFS('Key Inputs_BY Techs'!T:T,'Key Inputs_BY Techs'!$A:$A,$L153,'Key Inputs_BY Techs'!$C:$C,'RSD_BY Techs'!$B153,'Key Inputs_BY Techs'!$E:$E,'RSD_BY Techs'!$D153)</f>
        <v>325.42604272024761</v>
      </c>
      <c r="AA153" s="242">
        <f>SUMIFS('Key Inputs_BY Techs'!U:U,'Key Inputs_BY Techs'!$A:$A,$L153,'Key Inputs_BY Techs'!$C:$C,'RSD_BY Techs'!$B153,'Key Inputs_BY Techs'!$E:$E,'RSD_BY Techs'!$D153)</f>
        <v>7.8790636003809498</v>
      </c>
      <c r="AB153" s="242">
        <f>SUMIFS('Key Inputs_BY Techs'!V:V,'Key Inputs_BY Techs'!$A:$A,$L153,'Key Inputs_BY Techs'!$C:$C,'RSD_BY Techs'!$B153,'Key Inputs_BY Techs'!$E:$E,'RSD_BY Techs'!$D153)</f>
        <v>12.51170330045257</v>
      </c>
      <c r="AC153" s="242">
        <f>SUMIFS('Key Inputs_BY Techs'!W:W,'Key Inputs_BY Techs'!$A:$A,$L153,'Key Inputs_BY Techs'!$C:$C,'RSD_BY Techs'!$B153,'Key Inputs_BY Techs'!$E:$E,'RSD_BY Techs'!$D153)</f>
        <v>11.224758388044901</v>
      </c>
      <c r="AD153" s="242">
        <f>SUMIFS('Key Inputs_BY Techs'!X:X,'Key Inputs_BY Techs'!$A:$A,$L153,'Key Inputs_BY Techs'!$C:$C,'RSD_BY Techs'!$B153,'Key Inputs_BY Techs'!$E:$E,'RSD_BY Techs'!$D153)</f>
        <v>36.125821268424453</v>
      </c>
      <c r="AE153" s="242">
        <f>SUMIFS('Key Inputs_BY Techs'!Y:Y,'Key Inputs_BY Techs'!$A:$A,$L153,'Key Inputs_BY Techs'!$C:$C,'RSD_BY Techs'!$B153,'Key Inputs_BY Techs'!$E:$E,'RSD_BY Techs'!$D153)</f>
        <v>54.994189425853072</v>
      </c>
      <c r="AF153" s="242">
        <f>SUMIFS('Key Inputs_BY Techs'!Z:Z,'Key Inputs_BY Techs'!$A:$A,$L153,'Key Inputs_BY Techs'!$C:$C,'RSD_BY Techs'!$B153,'Key Inputs_BY Techs'!$E:$E,'RSD_BY Techs'!$D153)</f>
        <v>25.752630498524738</v>
      </c>
      <c r="AG153" s="242">
        <f>SUMIFS('Key Inputs_BY Techs'!AA:AA,'Key Inputs_BY Techs'!$A:$A,$L153,'Key Inputs_BY Techs'!$C:$C,'RSD_BY Techs'!$B153,'Key Inputs_BY Techs'!$E:$E,'RSD_BY Techs'!$D153)</f>
        <v>39.187125309835373</v>
      </c>
      <c r="AH153" s="242">
        <f>SUMIFS('Key Inputs_BY Techs'!AB:AB,'Key Inputs_BY Techs'!$A:$A,$L153,'Key Inputs_BY Techs'!$C:$C,'RSD_BY Techs'!$B153,'Key Inputs_BY Techs'!$E:$E,'RSD_BY Techs'!$D153)</f>
        <v>15.955853609345025</v>
      </c>
      <c r="AI153" s="242">
        <f>SUMIFS('Key Inputs_BY Techs'!AC:AC,'Key Inputs_BY Techs'!$A:$A,$L153,'Key Inputs_BY Techs'!$C:$C,'RSD_BY Techs'!$B153,'Key Inputs_BY Techs'!$E:$E,'RSD_BY Techs'!$D153)</f>
        <v>0</v>
      </c>
      <c r="AJ153" s="242">
        <f>SUMIFS('Key Inputs_BY Techs'!AD:AD,'Key Inputs_BY Techs'!$A:$A,$L153,'Key Inputs_BY Techs'!$C:$C,'RSD_BY Techs'!$B153,'Key Inputs_BY Techs'!$E:$E,'RSD_BY Techs'!$D153)</f>
        <v>10.280720669477297</v>
      </c>
      <c r="AK153" s="242">
        <f>SUMIFS('Key Inputs_BY Techs'!AE:AE,'Key Inputs_BY Techs'!$A:$A,$L153,'Key Inputs_BY Techs'!$C:$C,'RSD_BY Techs'!$B153,'Key Inputs_BY Techs'!$E:$E,'RSD_BY Techs'!$D153)</f>
        <v>35.637632652039379</v>
      </c>
      <c r="AL153" s="242">
        <f>SUMIFS('Key Inputs_BY Techs'!AF:AF,'Key Inputs_BY Techs'!$A:$A,$L153,'Key Inputs_BY Techs'!$C:$C,'RSD_BY Techs'!$B153,'Key Inputs_BY Techs'!$E:$E,'RSD_BY Techs'!$D153)</f>
        <v>0.91347536314125244</v>
      </c>
      <c r="AM153" s="242">
        <f>SUMIFS('Key Inputs_BY Techs'!AG:AG,'Key Inputs_BY Techs'!$A:$A,$L153,'Key Inputs_BY Techs'!$C:$C,'RSD_BY Techs'!$B153,'Key Inputs_BY Techs'!$E:$E,'RSD_BY Techs'!$D153)</f>
        <v>1.3220387456167775</v>
      </c>
      <c r="AN153" s="242">
        <f>SUMIFS('Key Inputs_BY Techs'!AH:AH,'Key Inputs_BY Techs'!$A:$A,$L153,'Key Inputs_BY Techs'!$C:$C,'RSD_BY Techs'!$B153,'Key Inputs_BY Techs'!$E:$E,'RSD_BY Techs'!$D153)</f>
        <v>20.32666468535432</v>
      </c>
      <c r="AO153" s="242">
        <f>SUMIFS('Key Inputs_BY Techs'!AI:AI,'Key Inputs_BY Techs'!$A:$A,$L153,'Key Inputs_BY Techs'!$C:$C,'RSD_BY Techs'!$B153,'Key Inputs_BY Techs'!$E:$E,'RSD_BY Techs'!$D153)</f>
        <v>2.6044907928305276</v>
      </c>
      <c r="AP153" s="242">
        <f>SUMIFS('Key Inputs_BY Techs'!AJ:AJ,'Key Inputs_BY Techs'!$A:$A,$L153,'Key Inputs_BY Techs'!$C:$C,'RSD_BY Techs'!$B153,'Key Inputs_BY Techs'!$E:$E,'RSD_BY Techs'!$D153)</f>
        <v>20.349374389888375</v>
      </c>
    </row>
    <row r="154" spans="1:42" x14ac:dyDescent="0.25">
      <c r="A154" s="254" t="s">
        <v>119</v>
      </c>
      <c r="B154" s="254" t="s">
        <v>118</v>
      </c>
      <c r="C154" s="254" t="str">
        <f>Legend!$A$71&amp;", "&amp;Legend!$A$63&amp;", "&amp;Legend!$A$72</f>
        <v>Natural gas, Biogas, Manufactured gas</v>
      </c>
      <c r="D154" s="254" t="str">
        <f>Legend!$B$71&amp;", "&amp;Legend!$B$63&amp;", "&amp;Legend!$B$72</f>
        <v>RSDGAS, RSDBGS, RSDGAM</v>
      </c>
      <c r="E154" s="254" t="str">
        <f t="shared" si="39"/>
        <v>RSDGAS</v>
      </c>
      <c r="F154" s="254"/>
      <c r="G154" s="254"/>
      <c r="I154" s="81" t="str">
        <f t="shared" si="37"/>
        <v>R-CK_GAS00</v>
      </c>
      <c r="J154" s="81" t="str">
        <f t="shared" si="37"/>
        <v>RSD Cooking technology: Natural gas, Biogas, Manufactured gas - Existing</v>
      </c>
      <c r="L154" s="81" t="s">
        <v>377</v>
      </c>
      <c r="M154" s="87" t="str">
        <f>'Key Inputs_BY Techs'!F136</f>
        <v>GW</v>
      </c>
      <c r="O154" s="242">
        <f>SUMIFS('Key Inputs_BY Techs'!I:I,'Key Inputs_BY Techs'!$A:$A,$L154,'Key Inputs_BY Techs'!$C:$C,'RSD_BY Techs'!$B154,'Key Inputs_BY Techs'!$E:$E,'RSD_BY Techs'!$D154)</f>
        <v>0</v>
      </c>
      <c r="P154" s="242">
        <f>SUMIFS('Key Inputs_BY Techs'!J:J,'Key Inputs_BY Techs'!$A:$A,$L154,'Key Inputs_BY Techs'!$C:$C,'RSD_BY Techs'!$B154,'Key Inputs_BY Techs'!$E:$E,'RSD_BY Techs'!$D154)</f>
        <v>15.516783690056968</v>
      </c>
      <c r="Q154" s="242">
        <f>SUMIFS('Key Inputs_BY Techs'!K:K,'Key Inputs_BY Techs'!$A:$A,$L154,'Key Inputs_BY Techs'!$C:$C,'RSD_BY Techs'!$B154,'Key Inputs_BY Techs'!$E:$E,'RSD_BY Techs'!$D154)</f>
        <v>0</v>
      </c>
      <c r="R154" s="242">
        <f>SUMIFS('Key Inputs_BY Techs'!L:L,'Key Inputs_BY Techs'!$A:$A,$L154,'Key Inputs_BY Techs'!$C:$C,'RSD_BY Techs'!$B154,'Key Inputs_BY Techs'!$E:$E,'RSD_BY Techs'!$D154)</f>
        <v>6.4800779344476823E-3</v>
      </c>
      <c r="S154" s="242">
        <f>SUMIFS('Key Inputs_BY Techs'!M:M,'Key Inputs_BY Techs'!$A:$A,$L154,'Key Inputs_BY Techs'!$C:$C,'RSD_BY Techs'!$B154,'Key Inputs_BY Techs'!$E:$E,'RSD_BY Techs'!$D154)</f>
        <v>1.7932759197018402</v>
      </c>
      <c r="T154" s="242">
        <f>SUMIFS('Key Inputs_BY Techs'!N:N,'Key Inputs_BY Techs'!$A:$A,$L154,'Key Inputs_BY Techs'!$C:$C,'RSD_BY Techs'!$B154,'Key Inputs_BY Techs'!$E:$E,'RSD_BY Techs'!$D154)</f>
        <v>25.796337712428357</v>
      </c>
      <c r="U154" s="242">
        <f>SUMIFS('Key Inputs_BY Techs'!O:O,'Key Inputs_BY Techs'!$A:$A,$L154,'Key Inputs_BY Techs'!$C:$C,'RSD_BY Techs'!$B154,'Key Inputs_BY Techs'!$E:$E,'RSD_BY Techs'!$D154)</f>
        <v>0.11774995251303579</v>
      </c>
      <c r="V154" s="242">
        <f>SUMIFS('Key Inputs_BY Techs'!P:P,'Key Inputs_BY Techs'!$A:$A,$L154,'Key Inputs_BY Techs'!$C:$C,'RSD_BY Techs'!$B154,'Key Inputs_BY Techs'!$E:$E,'RSD_BY Techs'!$D154)</f>
        <v>20.042457872027821</v>
      </c>
      <c r="W154" s="242">
        <f>SUMIFS('Key Inputs_BY Techs'!Q:Q,'Key Inputs_BY Techs'!$A:$A,$L154,'Key Inputs_BY Techs'!$C:$C,'RSD_BY Techs'!$B154,'Key Inputs_BY Techs'!$E:$E,'RSD_BY Techs'!$D154)</f>
        <v>1.6625144717047506</v>
      </c>
      <c r="X154" s="242">
        <f>SUMIFS('Key Inputs_BY Techs'!R:R,'Key Inputs_BY Techs'!$A:$A,$L154,'Key Inputs_BY Techs'!$C:$C,'RSD_BY Techs'!$B154,'Key Inputs_BY Techs'!$E:$E,'RSD_BY Techs'!$D154)</f>
        <v>1.2728068476313361</v>
      </c>
      <c r="Y154" s="242">
        <f>SUMIFS('Key Inputs_BY Techs'!S:S,'Key Inputs_BY Techs'!$A:$A,$L154,'Key Inputs_BY Techs'!$C:$C,'RSD_BY Techs'!$B154,'Key Inputs_BY Techs'!$E:$E,'RSD_BY Techs'!$D154)</f>
        <v>0.26264985651068856</v>
      </c>
      <c r="Z154" s="242">
        <f>SUMIFS('Key Inputs_BY Techs'!T:T,'Key Inputs_BY Techs'!$A:$A,$L154,'Key Inputs_BY Techs'!$C:$C,'RSD_BY Techs'!$B154,'Key Inputs_BY Techs'!$E:$E,'RSD_BY Techs'!$D154)</f>
        <v>181.87138184993398</v>
      </c>
      <c r="AA154" s="242">
        <f>SUMIFS('Key Inputs_BY Techs'!U:U,'Key Inputs_BY Techs'!$A:$A,$L154,'Key Inputs_BY Techs'!$C:$C,'RSD_BY Techs'!$B154,'Key Inputs_BY Techs'!$E:$E,'RSD_BY Techs'!$D154)</f>
        <v>11.673560102612976</v>
      </c>
      <c r="AB154" s="242">
        <f>SUMIFS('Key Inputs_BY Techs'!V:V,'Key Inputs_BY Techs'!$A:$A,$L154,'Key Inputs_BY Techs'!$C:$C,'RSD_BY Techs'!$B154,'Key Inputs_BY Techs'!$E:$E,'RSD_BY Techs'!$D154)</f>
        <v>3.9302046707819969</v>
      </c>
      <c r="AC154" s="242">
        <f>SUMIFS('Key Inputs_BY Techs'!W:W,'Key Inputs_BY Techs'!$A:$A,$L154,'Key Inputs_BY Techs'!$C:$C,'RSD_BY Techs'!$B154,'Key Inputs_BY Techs'!$E:$E,'RSD_BY Techs'!$D154)</f>
        <v>15.222834250255008</v>
      </c>
      <c r="AD154" s="242">
        <f>SUMIFS('Key Inputs_BY Techs'!X:X,'Key Inputs_BY Techs'!$A:$A,$L154,'Key Inputs_BY Techs'!$C:$C,'RSD_BY Techs'!$B154,'Key Inputs_BY Techs'!$E:$E,'RSD_BY Techs'!$D154)</f>
        <v>41.841389070684706</v>
      </c>
      <c r="AE154" s="242">
        <f>SUMIFS('Key Inputs_BY Techs'!Y:Y,'Key Inputs_BY Techs'!$A:$A,$L154,'Key Inputs_BY Techs'!$C:$C,'RSD_BY Techs'!$B154,'Key Inputs_BY Techs'!$E:$E,'RSD_BY Techs'!$D154)</f>
        <v>5.3603754828908858</v>
      </c>
      <c r="AF154" s="242">
        <f>SUMIFS('Key Inputs_BY Techs'!Z:Z,'Key Inputs_BY Techs'!$A:$A,$L154,'Key Inputs_BY Techs'!$C:$C,'RSD_BY Techs'!$B154,'Key Inputs_BY Techs'!$E:$E,'RSD_BY Techs'!$D154)</f>
        <v>4.0136965193126546E-2</v>
      </c>
      <c r="AG154" s="242">
        <f>SUMIFS('Key Inputs_BY Techs'!AA:AA,'Key Inputs_BY Techs'!$A:$A,$L154,'Key Inputs_BY Techs'!$C:$C,'RSD_BY Techs'!$B154,'Key Inputs_BY Techs'!$E:$E,'RSD_BY Techs'!$D154)</f>
        <v>2.5751035862705867</v>
      </c>
      <c r="AH154" s="242">
        <f>SUMIFS('Key Inputs_BY Techs'!AB:AB,'Key Inputs_BY Techs'!$A:$A,$L154,'Key Inputs_BY Techs'!$C:$C,'RSD_BY Techs'!$B154,'Key Inputs_BY Techs'!$E:$E,'RSD_BY Techs'!$D154)</f>
        <v>11.300047626795044</v>
      </c>
      <c r="AI154" s="242">
        <f>SUMIFS('Key Inputs_BY Techs'!AC:AC,'Key Inputs_BY Techs'!$A:$A,$L154,'Key Inputs_BY Techs'!$C:$C,'RSD_BY Techs'!$B154,'Key Inputs_BY Techs'!$E:$E,'RSD_BY Techs'!$D154)</f>
        <v>7.6026586584859652</v>
      </c>
      <c r="AJ154" s="242">
        <f>SUMIFS('Key Inputs_BY Techs'!AD:AD,'Key Inputs_BY Techs'!$A:$A,$L154,'Key Inputs_BY Techs'!$C:$C,'RSD_BY Techs'!$B154,'Key Inputs_BY Techs'!$E:$E,'RSD_BY Techs'!$D154)</f>
        <v>7.1154810799632617</v>
      </c>
      <c r="AK154" s="242">
        <f>SUMIFS('Key Inputs_BY Techs'!AE:AE,'Key Inputs_BY Techs'!$A:$A,$L154,'Key Inputs_BY Techs'!$C:$C,'RSD_BY Techs'!$B154,'Key Inputs_BY Techs'!$E:$E,'RSD_BY Techs'!$D154)</f>
        <v>24.737162189843779</v>
      </c>
      <c r="AL154" s="242">
        <f>SUMIFS('Key Inputs_BY Techs'!AF:AF,'Key Inputs_BY Techs'!$A:$A,$L154,'Key Inputs_BY Techs'!$C:$C,'RSD_BY Techs'!$B154,'Key Inputs_BY Techs'!$E:$E,'RSD_BY Techs'!$D154)</f>
        <v>0.10546658763262222</v>
      </c>
      <c r="AM154" s="242">
        <f>SUMIFS('Key Inputs_BY Techs'!AG:AG,'Key Inputs_BY Techs'!$A:$A,$L154,'Key Inputs_BY Techs'!$C:$C,'RSD_BY Techs'!$B154,'Key Inputs_BY Techs'!$E:$E,'RSD_BY Techs'!$D154)</f>
        <v>0</v>
      </c>
      <c r="AN154" s="242">
        <f>SUMIFS('Key Inputs_BY Techs'!AH:AH,'Key Inputs_BY Techs'!$A:$A,$L154,'Key Inputs_BY Techs'!$C:$C,'RSD_BY Techs'!$B154,'Key Inputs_BY Techs'!$E:$E,'RSD_BY Techs'!$D154)</f>
        <v>120.03697728363316</v>
      </c>
      <c r="AO154" s="242">
        <f>SUMIFS('Key Inputs_BY Techs'!AI:AI,'Key Inputs_BY Techs'!$A:$A,$L154,'Key Inputs_BY Techs'!$C:$C,'RSD_BY Techs'!$B154,'Key Inputs_BY Techs'!$E:$E,'RSD_BY Techs'!$D154)</f>
        <v>19.289881669275228</v>
      </c>
      <c r="AP154" s="242">
        <f>SUMIFS('Key Inputs_BY Techs'!AJ:AJ,'Key Inputs_BY Techs'!$A:$A,$L154,'Key Inputs_BY Techs'!$C:$C,'RSD_BY Techs'!$B154,'Key Inputs_BY Techs'!$E:$E,'RSD_BY Techs'!$D154)</f>
        <v>19.34983498634125</v>
      </c>
    </row>
    <row r="155" spans="1:42" x14ac:dyDescent="0.25">
      <c r="A155" s="254" t="s">
        <v>119</v>
      </c>
      <c r="B155" s="254" t="s">
        <v>118</v>
      </c>
      <c r="C155" s="254" t="str">
        <f>Legend!$A$70</f>
        <v>LPG</v>
      </c>
      <c r="D155" s="254" t="str">
        <f>Legend!$B$70</f>
        <v>RSDLPG</v>
      </c>
      <c r="E155" s="254" t="str">
        <f t="shared" si="39"/>
        <v>RSDLPG</v>
      </c>
      <c r="F155" s="254"/>
      <c r="G155" s="254"/>
      <c r="I155" s="81" t="str">
        <f t="shared" si="37"/>
        <v>R-CK_LPG00</v>
      </c>
      <c r="J155" s="81" t="str">
        <f t="shared" si="37"/>
        <v>RSD Cooking technology: LPG - Existing</v>
      </c>
      <c r="L155" s="81" t="s">
        <v>377</v>
      </c>
      <c r="M155" s="87" t="str">
        <f>'Key Inputs_BY Techs'!F137</f>
        <v>GW</v>
      </c>
      <c r="O155" s="242">
        <f>SUMIFS('Key Inputs_BY Techs'!I:I,'Key Inputs_BY Techs'!$A:$A,$L155,'Key Inputs_BY Techs'!$C:$C,'RSD_BY Techs'!$B155,'Key Inputs_BY Techs'!$E:$E,'RSD_BY Techs'!$D155)</f>
        <v>7.6376836759393223</v>
      </c>
      <c r="P155" s="242">
        <f>SUMIFS('Key Inputs_BY Techs'!J:J,'Key Inputs_BY Techs'!$A:$A,$L155,'Key Inputs_BY Techs'!$C:$C,'RSD_BY Techs'!$B155,'Key Inputs_BY Techs'!$E:$E,'RSD_BY Techs'!$D155)</f>
        <v>90.53722530497636</v>
      </c>
      <c r="Q155" s="242">
        <f>SUMIFS('Key Inputs_BY Techs'!K:K,'Key Inputs_BY Techs'!$A:$A,$L155,'Key Inputs_BY Techs'!$C:$C,'RSD_BY Techs'!$B155,'Key Inputs_BY Techs'!$E:$E,'RSD_BY Techs'!$D155)</f>
        <v>10.743808711784146</v>
      </c>
      <c r="R155" s="242">
        <f>SUMIFS('Key Inputs_BY Techs'!L:L,'Key Inputs_BY Techs'!$A:$A,$L155,'Key Inputs_BY Techs'!$C:$C,'RSD_BY Techs'!$B155,'Key Inputs_BY Techs'!$E:$E,'RSD_BY Techs'!$D155)</f>
        <v>6.2656446922376468</v>
      </c>
      <c r="S155" s="242">
        <f>SUMIFS('Key Inputs_BY Techs'!M:M,'Key Inputs_BY Techs'!$A:$A,$L155,'Key Inputs_BY Techs'!$C:$C,'RSD_BY Techs'!$B155,'Key Inputs_BY Techs'!$E:$E,'RSD_BY Techs'!$D155)</f>
        <v>1.2251419474186926</v>
      </c>
      <c r="T155" s="242">
        <f>SUMIFS('Key Inputs_BY Techs'!N:N,'Key Inputs_BY Techs'!$A:$A,$L155,'Key Inputs_BY Techs'!$C:$C,'RSD_BY Techs'!$B155,'Key Inputs_BY Techs'!$E:$E,'RSD_BY Techs'!$D155)</f>
        <v>25.977815869602914</v>
      </c>
      <c r="U155" s="242">
        <f>SUMIFS('Key Inputs_BY Techs'!O:O,'Key Inputs_BY Techs'!$A:$A,$L155,'Key Inputs_BY Techs'!$C:$C,'RSD_BY Techs'!$B155,'Key Inputs_BY Techs'!$E:$E,'RSD_BY Techs'!$D155)</f>
        <v>25.818585885208947</v>
      </c>
      <c r="V155" s="242">
        <f>SUMIFS('Key Inputs_BY Techs'!P:P,'Key Inputs_BY Techs'!$A:$A,$L155,'Key Inputs_BY Techs'!$C:$C,'RSD_BY Techs'!$B155,'Key Inputs_BY Techs'!$E:$E,'RSD_BY Techs'!$D155)</f>
        <v>13.483280416160914</v>
      </c>
      <c r="W155" s="242">
        <f>SUMIFS('Key Inputs_BY Techs'!Q:Q,'Key Inputs_BY Techs'!$A:$A,$L155,'Key Inputs_BY Techs'!$C:$C,'RSD_BY Techs'!$B155,'Key Inputs_BY Techs'!$E:$E,'RSD_BY Techs'!$D155)</f>
        <v>60.247806709736011</v>
      </c>
      <c r="X155" s="242">
        <f>SUMIFS('Key Inputs_BY Techs'!R:R,'Key Inputs_BY Techs'!$A:$A,$L155,'Key Inputs_BY Techs'!$C:$C,'RSD_BY Techs'!$B155,'Key Inputs_BY Techs'!$E:$E,'RSD_BY Techs'!$D155)</f>
        <v>0</v>
      </c>
      <c r="Y155" s="242">
        <f>SUMIFS('Key Inputs_BY Techs'!S:S,'Key Inputs_BY Techs'!$A:$A,$L155,'Key Inputs_BY Techs'!$C:$C,'RSD_BY Techs'!$B155,'Key Inputs_BY Techs'!$E:$E,'RSD_BY Techs'!$D155)</f>
        <v>1.2290047489862359</v>
      </c>
      <c r="Z155" s="242">
        <f>SUMIFS('Key Inputs_BY Techs'!T:T,'Key Inputs_BY Techs'!$A:$A,$L155,'Key Inputs_BY Techs'!$C:$C,'RSD_BY Techs'!$B155,'Key Inputs_BY Techs'!$E:$E,'RSD_BY Techs'!$D155)</f>
        <v>244.33013757454472</v>
      </c>
      <c r="AA155" s="242">
        <f>SUMIFS('Key Inputs_BY Techs'!U:U,'Key Inputs_BY Techs'!$A:$A,$L155,'Key Inputs_BY Techs'!$C:$C,'RSD_BY Techs'!$B155,'Key Inputs_BY Techs'!$E:$E,'RSD_BY Techs'!$D155)</f>
        <v>2.7114394007742884</v>
      </c>
      <c r="AB155" s="242">
        <f>SUMIFS('Key Inputs_BY Techs'!V:V,'Key Inputs_BY Techs'!$A:$A,$L155,'Key Inputs_BY Techs'!$C:$C,'RSD_BY Techs'!$B155,'Key Inputs_BY Techs'!$E:$E,'RSD_BY Techs'!$D155)</f>
        <v>0</v>
      </c>
      <c r="AC155" s="242">
        <f>SUMIFS('Key Inputs_BY Techs'!W:W,'Key Inputs_BY Techs'!$A:$A,$L155,'Key Inputs_BY Techs'!$C:$C,'RSD_BY Techs'!$B155,'Key Inputs_BY Techs'!$E:$E,'RSD_BY Techs'!$D155)</f>
        <v>8.576293507631469</v>
      </c>
      <c r="AD155" s="242">
        <f>SUMIFS('Key Inputs_BY Techs'!X:X,'Key Inputs_BY Techs'!$A:$A,$L155,'Key Inputs_BY Techs'!$C:$C,'RSD_BY Techs'!$B155,'Key Inputs_BY Techs'!$E:$E,'RSD_BY Techs'!$D155)</f>
        <v>4.2048149852957017</v>
      </c>
      <c r="AE155" s="242">
        <f>SUMIFS('Key Inputs_BY Techs'!Y:Y,'Key Inputs_BY Techs'!$A:$A,$L155,'Key Inputs_BY Techs'!$C:$C,'RSD_BY Techs'!$B155,'Key Inputs_BY Techs'!$E:$E,'RSD_BY Techs'!$D155)</f>
        <v>8.8747375740412665E-3</v>
      </c>
      <c r="AF155" s="242">
        <f>SUMIFS('Key Inputs_BY Techs'!Z:Z,'Key Inputs_BY Techs'!$A:$A,$L155,'Key Inputs_BY Techs'!$C:$C,'RSD_BY Techs'!$B155,'Key Inputs_BY Techs'!$E:$E,'RSD_BY Techs'!$D155)</f>
        <v>110.85173772151899</v>
      </c>
      <c r="AG155" s="242">
        <f>SUMIFS('Key Inputs_BY Techs'!AA:AA,'Key Inputs_BY Techs'!$A:$A,$L155,'Key Inputs_BY Techs'!$C:$C,'RSD_BY Techs'!$B155,'Key Inputs_BY Techs'!$E:$E,'RSD_BY Techs'!$D155)</f>
        <v>295.59161341425357</v>
      </c>
      <c r="AH155" s="242">
        <f>SUMIFS('Key Inputs_BY Techs'!AB:AB,'Key Inputs_BY Techs'!$A:$A,$L155,'Key Inputs_BY Techs'!$C:$C,'RSD_BY Techs'!$B155,'Key Inputs_BY Techs'!$E:$E,'RSD_BY Techs'!$D155)</f>
        <v>5.4606233292502884</v>
      </c>
      <c r="AI155" s="242">
        <f>SUMIFS('Key Inputs_BY Techs'!AC:AC,'Key Inputs_BY Techs'!$A:$A,$L155,'Key Inputs_BY Techs'!$C:$C,'RSD_BY Techs'!$B155,'Key Inputs_BY Techs'!$E:$E,'RSD_BY Techs'!$D155)</f>
        <v>51.642550473498076</v>
      </c>
      <c r="AJ155" s="242">
        <f>SUMIFS('Key Inputs_BY Techs'!AD:AD,'Key Inputs_BY Techs'!$A:$A,$L155,'Key Inputs_BY Techs'!$C:$C,'RSD_BY Techs'!$B155,'Key Inputs_BY Techs'!$E:$E,'RSD_BY Techs'!$D155)</f>
        <v>10.013904725547585</v>
      </c>
      <c r="AK155" s="242">
        <f>SUMIFS('Key Inputs_BY Techs'!AE:AE,'Key Inputs_BY Techs'!$A:$A,$L155,'Key Inputs_BY Techs'!$C:$C,'RSD_BY Techs'!$B155,'Key Inputs_BY Techs'!$E:$E,'RSD_BY Techs'!$D155)</f>
        <v>42.659225344265046</v>
      </c>
      <c r="AL155" s="242">
        <f>SUMIFS('Key Inputs_BY Techs'!AF:AF,'Key Inputs_BY Techs'!$A:$A,$L155,'Key Inputs_BY Techs'!$C:$C,'RSD_BY Techs'!$B155,'Key Inputs_BY Techs'!$E:$E,'RSD_BY Techs'!$D155)</f>
        <v>1.1350912112595997</v>
      </c>
      <c r="AM155" s="242">
        <f>SUMIFS('Key Inputs_BY Techs'!AG:AG,'Key Inputs_BY Techs'!$A:$A,$L155,'Key Inputs_BY Techs'!$C:$C,'RSD_BY Techs'!$B155,'Key Inputs_BY Techs'!$E:$E,'RSD_BY Techs'!$D155)</f>
        <v>3.8178280160605222</v>
      </c>
      <c r="AN155" s="242">
        <f>SUMIFS('Key Inputs_BY Techs'!AH:AH,'Key Inputs_BY Techs'!$A:$A,$L155,'Key Inputs_BY Techs'!$C:$C,'RSD_BY Techs'!$B155,'Key Inputs_BY Techs'!$E:$E,'RSD_BY Techs'!$D155)</f>
        <v>140.61825068146354</v>
      </c>
      <c r="AO155" s="242">
        <f>SUMIFS('Key Inputs_BY Techs'!AI:AI,'Key Inputs_BY Techs'!$A:$A,$L155,'Key Inputs_BY Techs'!$C:$C,'RSD_BY Techs'!$B155,'Key Inputs_BY Techs'!$E:$E,'RSD_BY Techs'!$D155)</f>
        <v>1.6203846121817869</v>
      </c>
      <c r="AP155" s="242">
        <f>SUMIFS('Key Inputs_BY Techs'!AJ:AJ,'Key Inputs_BY Techs'!$A:$A,$L155,'Key Inputs_BY Techs'!$C:$C,'RSD_BY Techs'!$B155,'Key Inputs_BY Techs'!$E:$E,'RSD_BY Techs'!$D155)</f>
        <v>0.94560622032153163</v>
      </c>
    </row>
    <row r="156" spans="1:42" x14ac:dyDescent="0.25">
      <c r="A156" s="254" t="s">
        <v>119</v>
      </c>
      <c r="B156" s="254" t="s">
        <v>118</v>
      </c>
      <c r="C156" s="254" t="str">
        <f>Legend!$A$73&amp;", "&amp;Legend!$A$69</f>
        <v>Oil, Liquid biofuels</v>
      </c>
      <c r="D156" s="254" t="str">
        <f>Legend!$B$73&amp;", "&amp;Legend!$B$69</f>
        <v>RSDOIL, RSDBLQ</v>
      </c>
      <c r="E156" s="254" t="str">
        <f t="shared" si="39"/>
        <v>RSDOIL</v>
      </c>
      <c r="F156" s="254"/>
      <c r="G156" s="254"/>
      <c r="I156" s="81" t="str">
        <f t="shared" si="37"/>
        <v>R-CK_OIL00</v>
      </c>
      <c r="J156" s="81" t="str">
        <f t="shared" si="37"/>
        <v>RSD Cooking technology: Oil, Liquid biofuels - Existing</v>
      </c>
      <c r="L156" s="81" t="s">
        <v>377</v>
      </c>
      <c r="M156" s="87" t="str">
        <f>'Key Inputs_BY Techs'!F140</f>
        <v>GW</v>
      </c>
      <c r="N156" s="212"/>
      <c r="O156" s="242">
        <f>SUMIFS('Key Inputs_BY Techs'!I:I,'Key Inputs_BY Techs'!$A:$A,$L156,'Key Inputs_BY Techs'!$C:$C,'RSD_BY Techs'!$B156,'Key Inputs_BY Techs'!$E:$E,'RSD_BY Techs'!$D156)</f>
        <v>2.4453384448436744</v>
      </c>
      <c r="P156" s="242">
        <f>SUMIFS('Key Inputs_BY Techs'!J:J,'Key Inputs_BY Techs'!$A:$A,$L156,'Key Inputs_BY Techs'!$C:$C,'RSD_BY Techs'!$B156,'Key Inputs_BY Techs'!$E:$E,'RSD_BY Techs'!$D156)</f>
        <v>1.1255676129020633</v>
      </c>
      <c r="Q156" s="242">
        <f>SUMIFS('Key Inputs_BY Techs'!K:K,'Key Inputs_BY Techs'!$A:$A,$L156,'Key Inputs_BY Techs'!$C:$C,'RSD_BY Techs'!$B156,'Key Inputs_BY Techs'!$E:$E,'RSD_BY Techs'!$D156)</f>
        <v>3.3210552805823297</v>
      </c>
      <c r="R156" s="242">
        <f>SUMIFS('Key Inputs_BY Techs'!L:L,'Key Inputs_BY Techs'!$A:$A,$L156,'Key Inputs_BY Techs'!$C:$C,'RSD_BY Techs'!$B156,'Key Inputs_BY Techs'!$E:$E,'RSD_BY Techs'!$D156)</f>
        <v>5.7769825320325694</v>
      </c>
      <c r="S156" s="242">
        <f>SUMIFS('Key Inputs_BY Techs'!M:M,'Key Inputs_BY Techs'!$A:$A,$L156,'Key Inputs_BY Techs'!$C:$C,'RSD_BY Techs'!$B156,'Key Inputs_BY Techs'!$E:$E,'RSD_BY Techs'!$D156)</f>
        <v>8.1901467197981366E-3</v>
      </c>
      <c r="T156" s="242">
        <f>SUMIFS('Key Inputs_BY Techs'!N:N,'Key Inputs_BY Techs'!$A:$A,$L156,'Key Inputs_BY Techs'!$C:$C,'RSD_BY Techs'!$B156,'Key Inputs_BY Techs'!$E:$E,'RSD_BY Techs'!$D156)</f>
        <v>24.527927851569277</v>
      </c>
      <c r="U156" s="242">
        <f>SUMIFS('Key Inputs_BY Techs'!O:O,'Key Inputs_BY Techs'!$A:$A,$L156,'Key Inputs_BY Techs'!$C:$C,'RSD_BY Techs'!$B156,'Key Inputs_BY Techs'!$E:$E,'RSD_BY Techs'!$D156)</f>
        <v>5.832555447661985</v>
      </c>
      <c r="V156" s="242">
        <f>SUMIFS('Key Inputs_BY Techs'!P:P,'Key Inputs_BY Techs'!$A:$A,$L156,'Key Inputs_BY Techs'!$C:$C,'RSD_BY Techs'!$B156,'Key Inputs_BY Techs'!$E:$E,'RSD_BY Techs'!$D156)</f>
        <v>5.5299190150858335</v>
      </c>
      <c r="W156" s="242">
        <f>SUMIFS('Key Inputs_BY Techs'!Q:Q,'Key Inputs_BY Techs'!$A:$A,$L156,'Key Inputs_BY Techs'!$C:$C,'RSD_BY Techs'!$B156,'Key Inputs_BY Techs'!$E:$E,'RSD_BY Techs'!$D156)</f>
        <v>1.9753160941918139E-2</v>
      </c>
      <c r="X156" s="242">
        <f>SUMIFS('Key Inputs_BY Techs'!R:R,'Key Inputs_BY Techs'!$A:$A,$L156,'Key Inputs_BY Techs'!$C:$C,'RSD_BY Techs'!$B156,'Key Inputs_BY Techs'!$E:$E,'RSD_BY Techs'!$D156)</f>
        <v>0</v>
      </c>
      <c r="Y156" s="242">
        <f>SUMIFS('Key Inputs_BY Techs'!S:S,'Key Inputs_BY Techs'!$A:$A,$L156,'Key Inputs_BY Techs'!$C:$C,'RSD_BY Techs'!$B156,'Key Inputs_BY Techs'!$E:$E,'RSD_BY Techs'!$D156)</f>
        <v>0.12301910470064929</v>
      </c>
      <c r="Z156" s="242">
        <f>SUMIFS('Key Inputs_BY Techs'!T:T,'Key Inputs_BY Techs'!$A:$A,$L156,'Key Inputs_BY Techs'!$C:$C,'RSD_BY Techs'!$B156,'Key Inputs_BY Techs'!$E:$E,'RSD_BY Techs'!$D156)</f>
        <v>360.9683481213969</v>
      </c>
      <c r="AA156" s="242">
        <f>SUMIFS('Key Inputs_BY Techs'!U:U,'Key Inputs_BY Techs'!$A:$A,$L156,'Key Inputs_BY Techs'!$C:$C,'RSD_BY Techs'!$B156,'Key Inputs_BY Techs'!$E:$E,'RSD_BY Techs'!$D156)</f>
        <v>0.13276351114902354</v>
      </c>
      <c r="AB156" s="242">
        <f>SUMIFS('Key Inputs_BY Techs'!V:V,'Key Inputs_BY Techs'!$A:$A,$L156,'Key Inputs_BY Techs'!$C:$C,'RSD_BY Techs'!$B156,'Key Inputs_BY Techs'!$E:$E,'RSD_BY Techs'!$D156)</f>
        <v>0</v>
      </c>
      <c r="AC156" s="242">
        <f>SUMIFS('Key Inputs_BY Techs'!W:W,'Key Inputs_BY Techs'!$A:$A,$L156,'Key Inputs_BY Techs'!$C:$C,'RSD_BY Techs'!$B156,'Key Inputs_BY Techs'!$E:$E,'RSD_BY Techs'!$D156)</f>
        <v>2.3194874974476183</v>
      </c>
      <c r="AD156" s="242">
        <f>SUMIFS('Key Inputs_BY Techs'!X:X,'Key Inputs_BY Techs'!$A:$A,$L156,'Key Inputs_BY Techs'!$C:$C,'RSD_BY Techs'!$B156,'Key Inputs_BY Techs'!$E:$E,'RSD_BY Techs'!$D156)</f>
        <v>9.094474763468865</v>
      </c>
      <c r="AE156" s="242">
        <f>SUMIFS('Key Inputs_BY Techs'!Y:Y,'Key Inputs_BY Techs'!$A:$A,$L156,'Key Inputs_BY Techs'!$C:$C,'RSD_BY Techs'!$B156,'Key Inputs_BY Techs'!$E:$E,'RSD_BY Techs'!$D156)</f>
        <v>0.13152588152192463</v>
      </c>
      <c r="AF156" s="242">
        <f>SUMIFS('Key Inputs_BY Techs'!Z:Z,'Key Inputs_BY Techs'!$A:$A,$L156,'Key Inputs_BY Techs'!$C:$C,'RSD_BY Techs'!$B156,'Key Inputs_BY Techs'!$E:$E,'RSD_BY Techs'!$D156)</f>
        <v>205.01009684064505</v>
      </c>
      <c r="AG156" s="242">
        <f>SUMIFS('Key Inputs_BY Techs'!AA:AA,'Key Inputs_BY Techs'!$A:$A,$L156,'Key Inputs_BY Techs'!$C:$C,'RSD_BY Techs'!$B156,'Key Inputs_BY Techs'!$E:$E,'RSD_BY Techs'!$D156)</f>
        <v>26.317705427431939</v>
      </c>
      <c r="AH156" s="242">
        <f>SUMIFS('Key Inputs_BY Techs'!AB:AB,'Key Inputs_BY Techs'!$A:$A,$L156,'Key Inputs_BY Techs'!$C:$C,'RSD_BY Techs'!$B156,'Key Inputs_BY Techs'!$E:$E,'RSD_BY Techs'!$D156)</f>
        <v>8.3016745870892148</v>
      </c>
      <c r="AI156" s="242">
        <f>SUMIFS('Key Inputs_BY Techs'!AC:AC,'Key Inputs_BY Techs'!$A:$A,$L156,'Key Inputs_BY Techs'!$C:$C,'RSD_BY Techs'!$B156,'Key Inputs_BY Techs'!$E:$E,'RSD_BY Techs'!$D156)</f>
        <v>2.9962068459743398</v>
      </c>
      <c r="AJ156" s="242">
        <f>SUMIFS('Key Inputs_BY Techs'!AD:AD,'Key Inputs_BY Techs'!$A:$A,$L156,'Key Inputs_BY Techs'!$C:$C,'RSD_BY Techs'!$B156,'Key Inputs_BY Techs'!$E:$E,'RSD_BY Techs'!$D156)</f>
        <v>6.2588185909123624</v>
      </c>
      <c r="AK156" s="242">
        <f>SUMIFS('Key Inputs_BY Techs'!AE:AE,'Key Inputs_BY Techs'!$A:$A,$L156,'Key Inputs_BY Techs'!$C:$C,'RSD_BY Techs'!$B156,'Key Inputs_BY Techs'!$E:$E,'RSD_BY Techs'!$D156)</f>
        <v>28.087874413429933</v>
      </c>
      <c r="AL156" s="242">
        <f>SUMIFS('Key Inputs_BY Techs'!AF:AF,'Key Inputs_BY Techs'!$A:$A,$L156,'Key Inputs_BY Techs'!$C:$C,'RSD_BY Techs'!$B156,'Key Inputs_BY Techs'!$E:$E,'RSD_BY Techs'!$D156)</f>
        <v>0</v>
      </c>
      <c r="AM156" s="242">
        <f>SUMIFS('Key Inputs_BY Techs'!AG:AG,'Key Inputs_BY Techs'!$A:$A,$L156,'Key Inputs_BY Techs'!$C:$C,'RSD_BY Techs'!$B156,'Key Inputs_BY Techs'!$E:$E,'RSD_BY Techs'!$D156)</f>
        <v>5.4264254452280021</v>
      </c>
      <c r="AN156" s="242">
        <f>SUMIFS('Key Inputs_BY Techs'!AH:AH,'Key Inputs_BY Techs'!$A:$A,$L156,'Key Inputs_BY Techs'!$C:$C,'RSD_BY Techs'!$B156,'Key Inputs_BY Techs'!$E:$E,'RSD_BY Techs'!$D156)</f>
        <v>28.415635068493145</v>
      </c>
      <c r="AO156" s="242">
        <f>SUMIFS('Key Inputs_BY Techs'!AI:AI,'Key Inputs_BY Techs'!$A:$A,$L156,'Key Inputs_BY Techs'!$C:$C,'RSD_BY Techs'!$B156,'Key Inputs_BY Techs'!$E:$E,'RSD_BY Techs'!$D156)</f>
        <v>5.3682424256292718</v>
      </c>
      <c r="AP156" s="242">
        <f>SUMIFS('Key Inputs_BY Techs'!AJ:AJ,'Key Inputs_BY Techs'!$A:$A,$L156,'Key Inputs_BY Techs'!$C:$C,'RSD_BY Techs'!$B156,'Key Inputs_BY Techs'!$E:$E,'RSD_BY Techs'!$D156)</f>
        <v>2.209581389490034</v>
      </c>
    </row>
    <row r="157" spans="1:42" x14ac:dyDescent="0.25">
      <c r="A157" s="281" t="s">
        <v>119</v>
      </c>
      <c r="B157" s="281" t="s">
        <v>118</v>
      </c>
      <c r="C157" s="281" t="str">
        <f>Legend!$A$74</f>
        <v>Solar</v>
      </c>
      <c r="D157" s="281" t="str">
        <f>Legend!$B$74</f>
        <v>RSDSOL</v>
      </c>
      <c r="E157" s="281" t="str">
        <f t="shared" si="39"/>
        <v>RSDSOL</v>
      </c>
      <c r="F157" s="254"/>
      <c r="G157" s="254"/>
      <c r="I157" s="84" t="str">
        <f t="shared" si="37"/>
        <v>R-CK_SOL00</v>
      </c>
      <c r="J157" s="84" t="str">
        <f t="shared" si="37"/>
        <v>RSD Cooking technology: Solar - Existing</v>
      </c>
      <c r="K157" s="84"/>
      <c r="L157" s="84" t="s">
        <v>377</v>
      </c>
      <c r="M157" s="92" t="str">
        <f>'Key Inputs_BY Techs'!F141</f>
        <v>GW</v>
      </c>
      <c r="N157" s="84"/>
      <c r="O157" s="243">
        <f>SUMIFS('Key Inputs_BY Techs'!I:I,'Key Inputs_BY Techs'!$A:$A,$L157,'Key Inputs_BY Techs'!$C:$C,'RSD_BY Techs'!$B157,'Key Inputs_BY Techs'!$E:$E,'RSD_BY Techs'!$D157)</f>
        <v>0</v>
      </c>
      <c r="P157" s="243">
        <f>SUMIFS('Key Inputs_BY Techs'!J:J,'Key Inputs_BY Techs'!$A:$A,$L157,'Key Inputs_BY Techs'!$C:$C,'RSD_BY Techs'!$B157,'Key Inputs_BY Techs'!$E:$E,'RSD_BY Techs'!$D157)</f>
        <v>0</v>
      </c>
      <c r="Q157" s="243">
        <f>SUMIFS('Key Inputs_BY Techs'!K:K,'Key Inputs_BY Techs'!$A:$A,$L157,'Key Inputs_BY Techs'!$C:$C,'RSD_BY Techs'!$B157,'Key Inputs_BY Techs'!$E:$E,'RSD_BY Techs'!$D157)</f>
        <v>0</v>
      </c>
      <c r="R157" s="243">
        <f>SUMIFS('Key Inputs_BY Techs'!L:L,'Key Inputs_BY Techs'!$A:$A,$L157,'Key Inputs_BY Techs'!$C:$C,'RSD_BY Techs'!$B157,'Key Inputs_BY Techs'!$E:$E,'RSD_BY Techs'!$D157)</f>
        <v>0</v>
      </c>
      <c r="S157" s="243">
        <f>SUMIFS('Key Inputs_BY Techs'!M:M,'Key Inputs_BY Techs'!$A:$A,$L157,'Key Inputs_BY Techs'!$C:$C,'RSD_BY Techs'!$B157,'Key Inputs_BY Techs'!$E:$E,'RSD_BY Techs'!$D157)</f>
        <v>0</v>
      </c>
      <c r="T157" s="243">
        <f>SUMIFS('Key Inputs_BY Techs'!N:N,'Key Inputs_BY Techs'!$A:$A,$L157,'Key Inputs_BY Techs'!$C:$C,'RSD_BY Techs'!$B157,'Key Inputs_BY Techs'!$E:$E,'RSD_BY Techs'!$D157)</f>
        <v>0</v>
      </c>
      <c r="U157" s="243">
        <f>SUMIFS('Key Inputs_BY Techs'!O:O,'Key Inputs_BY Techs'!$A:$A,$L157,'Key Inputs_BY Techs'!$C:$C,'RSD_BY Techs'!$B157,'Key Inputs_BY Techs'!$E:$E,'RSD_BY Techs'!$D157)</f>
        <v>0</v>
      </c>
      <c r="V157" s="243">
        <f>SUMIFS('Key Inputs_BY Techs'!P:P,'Key Inputs_BY Techs'!$A:$A,$L157,'Key Inputs_BY Techs'!$C:$C,'RSD_BY Techs'!$B157,'Key Inputs_BY Techs'!$E:$E,'RSD_BY Techs'!$D157)</f>
        <v>0</v>
      </c>
      <c r="W157" s="243">
        <f>SUMIFS('Key Inputs_BY Techs'!Q:Q,'Key Inputs_BY Techs'!$A:$A,$L157,'Key Inputs_BY Techs'!$C:$C,'RSD_BY Techs'!$B157,'Key Inputs_BY Techs'!$E:$E,'RSD_BY Techs'!$D157)</f>
        <v>0</v>
      </c>
      <c r="X157" s="243">
        <f>SUMIFS('Key Inputs_BY Techs'!R:R,'Key Inputs_BY Techs'!$A:$A,$L157,'Key Inputs_BY Techs'!$C:$C,'RSD_BY Techs'!$B157,'Key Inputs_BY Techs'!$E:$E,'RSD_BY Techs'!$D157)</f>
        <v>0</v>
      </c>
      <c r="Y157" s="243">
        <f>SUMIFS('Key Inputs_BY Techs'!S:S,'Key Inputs_BY Techs'!$A:$A,$L157,'Key Inputs_BY Techs'!$C:$C,'RSD_BY Techs'!$B157,'Key Inputs_BY Techs'!$E:$E,'RSD_BY Techs'!$D157)</f>
        <v>0</v>
      </c>
      <c r="Z157" s="243">
        <f>SUMIFS('Key Inputs_BY Techs'!T:T,'Key Inputs_BY Techs'!$A:$A,$L157,'Key Inputs_BY Techs'!$C:$C,'RSD_BY Techs'!$B157,'Key Inputs_BY Techs'!$E:$E,'RSD_BY Techs'!$D157)</f>
        <v>0</v>
      </c>
      <c r="AA157" s="243">
        <f>SUMIFS('Key Inputs_BY Techs'!U:U,'Key Inputs_BY Techs'!$A:$A,$L157,'Key Inputs_BY Techs'!$C:$C,'RSD_BY Techs'!$B157,'Key Inputs_BY Techs'!$E:$E,'RSD_BY Techs'!$D157)</f>
        <v>0</v>
      </c>
      <c r="AB157" s="243">
        <f>SUMIFS('Key Inputs_BY Techs'!V:V,'Key Inputs_BY Techs'!$A:$A,$L157,'Key Inputs_BY Techs'!$C:$C,'RSD_BY Techs'!$B157,'Key Inputs_BY Techs'!$E:$E,'RSD_BY Techs'!$D157)</f>
        <v>0</v>
      </c>
      <c r="AC157" s="243">
        <f>SUMIFS('Key Inputs_BY Techs'!W:W,'Key Inputs_BY Techs'!$A:$A,$L157,'Key Inputs_BY Techs'!$C:$C,'RSD_BY Techs'!$B157,'Key Inputs_BY Techs'!$E:$E,'RSD_BY Techs'!$D157)</f>
        <v>0</v>
      </c>
      <c r="AD157" s="243">
        <f>SUMIFS('Key Inputs_BY Techs'!X:X,'Key Inputs_BY Techs'!$A:$A,$L157,'Key Inputs_BY Techs'!$C:$C,'RSD_BY Techs'!$B157,'Key Inputs_BY Techs'!$E:$E,'RSD_BY Techs'!$D157)</f>
        <v>0</v>
      </c>
      <c r="AE157" s="243">
        <f>SUMIFS('Key Inputs_BY Techs'!Y:Y,'Key Inputs_BY Techs'!$A:$A,$L157,'Key Inputs_BY Techs'!$C:$C,'RSD_BY Techs'!$B157,'Key Inputs_BY Techs'!$E:$E,'RSD_BY Techs'!$D157)</f>
        <v>0</v>
      </c>
      <c r="AF157" s="243">
        <f>SUMIFS('Key Inputs_BY Techs'!Z:Z,'Key Inputs_BY Techs'!$A:$A,$L157,'Key Inputs_BY Techs'!$C:$C,'RSD_BY Techs'!$B157,'Key Inputs_BY Techs'!$E:$E,'RSD_BY Techs'!$D157)</f>
        <v>0</v>
      </c>
      <c r="AG157" s="243">
        <f>SUMIFS('Key Inputs_BY Techs'!AA:AA,'Key Inputs_BY Techs'!$A:$A,$L157,'Key Inputs_BY Techs'!$C:$C,'RSD_BY Techs'!$B157,'Key Inputs_BY Techs'!$E:$E,'RSD_BY Techs'!$D157)</f>
        <v>0</v>
      </c>
      <c r="AH157" s="243">
        <f>SUMIFS('Key Inputs_BY Techs'!AB:AB,'Key Inputs_BY Techs'!$A:$A,$L157,'Key Inputs_BY Techs'!$C:$C,'RSD_BY Techs'!$B157,'Key Inputs_BY Techs'!$E:$E,'RSD_BY Techs'!$D157)</f>
        <v>0</v>
      </c>
      <c r="AI157" s="243">
        <f>SUMIFS('Key Inputs_BY Techs'!AC:AC,'Key Inputs_BY Techs'!$A:$A,$L157,'Key Inputs_BY Techs'!$C:$C,'RSD_BY Techs'!$B157,'Key Inputs_BY Techs'!$E:$E,'RSD_BY Techs'!$D157)</f>
        <v>0</v>
      </c>
      <c r="AJ157" s="243">
        <f>SUMIFS('Key Inputs_BY Techs'!AD:AD,'Key Inputs_BY Techs'!$A:$A,$L157,'Key Inputs_BY Techs'!$C:$C,'RSD_BY Techs'!$B157,'Key Inputs_BY Techs'!$E:$E,'RSD_BY Techs'!$D157)</f>
        <v>0</v>
      </c>
      <c r="AK157" s="243">
        <f>SUMIFS('Key Inputs_BY Techs'!AE:AE,'Key Inputs_BY Techs'!$A:$A,$L157,'Key Inputs_BY Techs'!$C:$C,'RSD_BY Techs'!$B157,'Key Inputs_BY Techs'!$E:$E,'RSD_BY Techs'!$D157)</f>
        <v>0</v>
      </c>
      <c r="AL157" s="243">
        <f>SUMIFS('Key Inputs_BY Techs'!AF:AF,'Key Inputs_BY Techs'!$A:$A,$L157,'Key Inputs_BY Techs'!$C:$C,'RSD_BY Techs'!$B157,'Key Inputs_BY Techs'!$E:$E,'RSD_BY Techs'!$D157)</f>
        <v>0</v>
      </c>
      <c r="AM157" s="243">
        <f>SUMIFS('Key Inputs_BY Techs'!AG:AG,'Key Inputs_BY Techs'!$A:$A,$L157,'Key Inputs_BY Techs'!$C:$C,'RSD_BY Techs'!$B157,'Key Inputs_BY Techs'!$E:$E,'RSD_BY Techs'!$D157)</f>
        <v>0</v>
      </c>
      <c r="AN157" s="243">
        <f>SUMIFS('Key Inputs_BY Techs'!AH:AH,'Key Inputs_BY Techs'!$A:$A,$L157,'Key Inputs_BY Techs'!$C:$C,'RSD_BY Techs'!$B157,'Key Inputs_BY Techs'!$E:$E,'RSD_BY Techs'!$D157)</f>
        <v>0</v>
      </c>
      <c r="AO157" s="243">
        <f>SUMIFS('Key Inputs_BY Techs'!AI:AI,'Key Inputs_BY Techs'!$A:$A,$L157,'Key Inputs_BY Techs'!$C:$C,'RSD_BY Techs'!$B157,'Key Inputs_BY Techs'!$E:$E,'RSD_BY Techs'!$D157)</f>
        <v>0</v>
      </c>
      <c r="AP157" s="243">
        <f>SUMIFS('Key Inputs_BY Techs'!AJ:AJ,'Key Inputs_BY Techs'!$A:$A,$L157,'Key Inputs_BY Techs'!$C:$C,'RSD_BY Techs'!$B157,'Key Inputs_BY Techs'!$E:$E,'RSD_BY Techs'!$D157)</f>
        <v>0</v>
      </c>
    </row>
    <row r="158" spans="1:42" x14ac:dyDescent="0.25">
      <c r="A158" s="282" t="s">
        <v>94</v>
      </c>
      <c r="B158" s="282" t="s">
        <v>125</v>
      </c>
      <c r="C158" s="282" t="str">
        <f>Legend!A$66</f>
        <v>Electricity</v>
      </c>
      <c r="D158" s="282" t="str">
        <f>Legend!B$66</f>
        <v>RSDELC</v>
      </c>
      <c r="E158" s="282" t="str">
        <f t="shared" si="39"/>
        <v>RSDELC</v>
      </c>
      <c r="F158" s="254"/>
      <c r="G158" s="254"/>
      <c r="I158" s="81" t="str">
        <f t="shared" si="37"/>
        <v>R-LIG_ELC00</v>
      </c>
      <c r="J158" s="81" t="str">
        <f t="shared" si="37"/>
        <v>RSD Lighting technology: Electricity - Existing</v>
      </c>
      <c r="L158" s="81" t="s">
        <v>377</v>
      </c>
      <c r="M158" s="92" t="str">
        <f>'Key Inputs_BY Techs'!F142</f>
        <v>Munits-y</v>
      </c>
      <c r="O158" s="243">
        <f>SUMIFS('Key Inputs_BY Techs'!I:I,'Key Inputs_BY Techs'!$A:$A,$L158,'Key Inputs_BY Techs'!$C:$C,'RSD_BY Techs'!$B158,'Key Inputs_BY Techs'!$E:$E,'RSD_BY Techs'!$D158)</f>
        <v>462.04978003849328</v>
      </c>
      <c r="P158" s="243">
        <f>SUMIFS('Key Inputs_BY Techs'!J:J,'Key Inputs_BY Techs'!$A:$A,$L158,'Key Inputs_BY Techs'!$C:$C,'RSD_BY Techs'!$B158,'Key Inputs_BY Techs'!$E:$E,'RSD_BY Techs'!$D158)</f>
        <v>2365.0595683255428</v>
      </c>
      <c r="Q158" s="243">
        <f>SUMIFS('Key Inputs_BY Techs'!K:K,'Key Inputs_BY Techs'!$A:$A,$L158,'Key Inputs_BY Techs'!$C:$C,'RSD_BY Techs'!$B158,'Key Inputs_BY Techs'!$E:$E,'RSD_BY Techs'!$D158)</f>
        <v>453.9700508660984</v>
      </c>
      <c r="R158" s="243">
        <f>SUMIFS('Key Inputs_BY Techs'!L:L,'Key Inputs_BY Techs'!$A:$A,$L158,'Key Inputs_BY Techs'!$C:$C,'RSD_BY Techs'!$B158,'Key Inputs_BY Techs'!$E:$E,'RSD_BY Techs'!$D158)</f>
        <v>1232.5306777563928</v>
      </c>
      <c r="S158" s="243">
        <f>SUMIFS('Key Inputs_BY Techs'!M:M,'Key Inputs_BY Techs'!$A:$A,$L158,'Key Inputs_BY Techs'!$C:$C,'RSD_BY Techs'!$B158,'Key Inputs_BY Techs'!$E:$E,'RSD_BY Techs'!$D158)</f>
        <v>676.48643803139419</v>
      </c>
      <c r="T158" s="243">
        <f>SUMIFS('Key Inputs_BY Techs'!N:N,'Key Inputs_BY Techs'!$A:$A,$L158,'Key Inputs_BY Techs'!$C:$C,'RSD_BY Techs'!$B158,'Key Inputs_BY Techs'!$E:$E,'RSD_BY Techs'!$D158)</f>
        <v>556.7600000000001</v>
      </c>
      <c r="U158" s="243">
        <f>SUMIFS('Key Inputs_BY Techs'!O:O,'Key Inputs_BY Techs'!$A:$A,$L158,'Key Inputs_BY Techs'!$C:$C,'RSD_BY Techs'!$B158,'Key Inputs_BY Techs'!$E:$E,'RSD_BY Techs'!$D158)</f>
        <v>961.95500000000004</v>
      </c>
      <c r="V158" s="243">
        <f>SUMIFS('Key Inputs_BY Techs'!P:P,'Key Inputs_BY Techs'!$A:$A,$L158,'Key Inputs_BY Techs'!$C:$C,'RSD_BY Techs'!$B158,'Key Inputs_BY Techs'!$E:$E,'RSD_BY Techs'!$D158)</f>
        <v>885.56750000000011</v>
      </c>
      <c r="W158" s="243">
        <f>SUMIFS('Key Inputs_BY Techs'!Q:Q,'Key Inputs_BY Techs'!$A:$A,$L158,'Key Inputs_BY Techs'!$C:$C,'RSD_BY Techs'!$B158,'Key Inputs_BY Techs'!$E:$E,'RSD_BY Techs'!$D158)</f>
        <v>800.96802861466506</v>
      </c>
      <c r="X158" s="243">
        <f>SUMIFS('Key Inputs_BY Techs'!R:R,'Key Inputs_BY Techs'!$A:$A,$L158,'Key Inputs_BY Techs'!$C:$C,'RSD_BY Techs'!$B158,'Key Inputs_BY Techs'!$E:$E,'RSD_BY Techs'!$D158)</f>
        <v>1293.9243443518305</v>
      </c>
      <c r="Y158" s="243">
        <f>SUMIFS('Key Inputs_BY Techs'!S:S,'Key Inputs_BY Techs'!$A:$A,$L158,'Key Inputs_BY Techs'!$C:$C,'RSD_BY Techs'!$B158,'Key Inputs_BY Techs'!$E:$E,'RSD_BY Techs'!$D158)</f>
        <v>199.1052874013314</v>
      </c>
      <c r="Z158" s="243">
        <f>SUMIFS('Key Inputs_BY Techs'!T:T,'Key Inputs_BY Techs'!$A:$A,$L158,'Key Inputs_BY Techs'!$C:$C,'RSD_BY Techs'!$B158,'Key Inputs_BY Techs'!$E:$E,'RSD_BY Techs'!$D158)</f>
        <v>7635.0949501635923</v>
      </c>
      <c r="AA158" s="243">
        <f>SUMIFS('Key Inputs_BY Techs'!U:U,'Key Inputs_BY Techs'!$A:$A,$L158,'Key Inputs_BY Techs'!$C:$C,'RSD_BY Techs'!$B158,'Key Inputs_BY Techs'!$E:$E,'RSD_BY Techs'!$D158)</f>
        <v>127.57481651701559</v>
      </c>
      <c r="AB158" s="243">
        <f>SUMIFS('Key Inputs_BY Techs'!V:V,'Key Inputs_BY Techs'!$A:$A,$L158,'Key Inputs_BY Techs'!$C:$C,'RSD_BY Techs'!$B158,'Key Inputs_BY Techs'!$E:$E,'RSD_BY Techs'!$D158)</f>
        <v>1383.9164004065369</v>
      </c>
      <c r="AC158" s="243">
        <f>SUMIFS('Key Inputs_BY Techs'!W:W,'Key Inputs_BY Techs'!$A:$A,$L158,'Key Inputs_BY Techs'!$C:$C,'RSD_BY Techs'!$B158,'Key Inputs_BY Techs'!$E:$E,'RSD_BY Techs'!$D158)</f>
        <v>181.74704056627027</v>
      </c>
      <c r="AD158" s="243">
        <f>SUMIFS('Key Inputs_BY Techs'!X:X,'Key Inputs_BY Techs'!$A:$A,$L158,'Key Inputs_BY Techs'!$C:$C,'RSD_BY Techs'!$B158,'Key Inputs_BY Techs'!$E:$E,'RSD_BY Techs'!$D158)</f>
        <v>2235.9452584167957</v>
      </c>
      <c r="AE158" s="243">
        <f>SUMIFS('Key Inputs_BY Techs'!Y:Y,'Key Inputs_BY Techs'!$A:$A,$L158,'Key Inputs_BY Techs'!$C:$C,'RSD_BY Techs'!$B158,'Key Inputs_BY Techs'!$E:$E,'RSD_BY Techs'!$D158)</f>
        <v>1349.65446587205</v>
      </c>
      <c r="AF158" s="243">
        <f>SUMIFS('Key Inputs_BY Techs'!Z:Z,'Key Inputs_BY Techs'!$A:$A,$L158,'Key Inputs_BY Techs'!$C:$C,'RSD_BY Techs'!$B158,'Key Inputs_BY Techs'!$E:$E,'RSD_BY Techs'!$D158)</f>
        <v>1834.4</v>
      </c>
      <c r="AG158" s="243">
        <f>SUMIFS('Key Inputs_BY Techs'!AA:AA,'Key Inputs_BY Techs'!$A:$A,$L158,'Key Inputs_BY Techs'!$C:$C,'RSD_BY Techs'!$B158,'Key Inputs_BY Techs'!$E:$E,'RSD_BY Techs'!$D158)</f>
        <v>2791.36</v>
      </c>
      <c r="AH158" s="243">
        <f>SUMIFS('Key Inputs_BY Techs'!AB:AB,'Key Inputs_BY Techs'!$A:$A,$L158,'Key Inputs_BY Techs'!$C:$C,'RSD_BY Techs'!$B158,'Key Inputs_BY Techs'!$E:$E,'RSD_BY Techs'!$D158)</f>
        <v>2268.56</v>
      </c>
      <c r="AI158" s="243">
        <f>SUMIFS('Key Inputs_BY Techs'!AC:AC,'Key Inputs_BY Techs'!$A:$A,$L158,'Key Inputs_BY Techs'!$C:$C,'RSD_BY Techs'!$B158,'Key Inputs_BY Techs'!$E:$E,'RSD_BY Techs'!$D158)</f>
        <v>3790.1585561841093</v>
      </c>
      <c r="AJ158" s="243">
        <f>SUMIFS('Key Inputs_BY Techs'!AD:AD,'Key Inputs_BY Techs'!$A:$A,$L158,'Key Inputs_BY Techs'!$C:$C,'RSD_BY Techs'!$B158,'Key Inputs_BY Techs'!$E:$E,'RSD_BY Techs'!$D158)</f>
        <v>822.95630438918886</v>
      </c>
      <c r="AK158" s="243">
        <f>SUMIFS('Key Inputs_BY Techs'!AE:AE,'Key Inputs_BY Techs'!$A:$A,$L158,'Key Inputs_BY Techs'!$C:$C,'RSD_BY Techs'!$B158,'Key Inputs_BY Techs'!$E:$E,'RSD_BY Techs'!$D158)</f>
        <v>2852.7391617180224</v>
      </c>
      <c r="AL158" s="243">
        <f>SUMIFS('Key Inputs_BY Techs'!AF:AF,'Key Inputs_BY Techs'!$A:$A,$L158,'Key Inputs_BY Techs'!$C:$C,'RSD_BY Techs'!$B158,'Key Inputs_BY Techs'!$E:$E,'RSD_BY Techs'!$D158)</f>
        <v>338.62615734482227</v>
      </c>
      <c r="AM158" s="243">
        <f>SUMIFS('Key Inputs_BY Techs'!AG:AG,'Key Inputs_BY Techs'!$A:$A,$L158,'Key Inputs_BY Techs'!$C:$C,'RSD_BY Techs'!$B158,'Key Inputs_BY Techs'!$E:$E,'RSD_BY Techs'!$D158)</f>
        <v>331.21122491064068</v>
      </c>
      <c r="AN158" s="243">
        <f>SUMIFS('Key Inputs_BY Techs'!AH:AH,'Key Inputs_BY Techs'!$A:$A,$L158,'Key Inputs_BY Techs'!$C:$C,'RSD_BY Techs'!$B158,'Key Inputs_BY Techs'!$E:$E,'RSD_BY Techs'!$D158)</f>
        <v>1447.8999999999999</v>
      </c>
      <c r="AO158" s="243">
        <f>SUMIFS('Key Inputs_BY Techs'!AI:AI,'Key Inputs_BY Techs'!$A:$A,$L158,'Key Inputs_BY Techs'!$C:$C,'RSD_BY Techs'!$B158,'Key Inputs_BY Techs'!$E:$E,'RSD_BY Techs'!$D158)</f>
        <v>277.0473970248114</v>
      </c>
      <c r="AP158" s="243">
        <f>SUMIFS('Key Inputs_BY Techs'!AJ:AJ,'Key Inputs_BY Techs'!$A:$A,$L158,'Key Inputs_BY Techs'!$C:$C,'RSD_BY Techs'!$B158,'Key Inputs_BY Techs'!$E:$E,'RSD_BY Techs'!$D158)</f>
        <v>7543.5318039918429</v>
      </c>
    </row>
    <row r="159" spans="1:42" x14ac:dyDescent="0.25">
      <c r="A159" s="283" t="s">
        <v>148</v>
      </c>
      <c r="B159" s="283" t="s">
        <v>173</v>
      </c>
      <c r="C159" s="283" t="str">
        <f>Legend!A$66</f>
        <v>Electricity</v>
      </c>
      <c r="D159" s="283" t="str">
        <f>Legend!B$66</f>
        <v>RSDELC</v>
      </c>
      <c r="E159" s="283" t="str">
        <f>LEFT(D159,6)</f>
        <v>RSDELC</v>
      </c>
      <c r="F159" s="284"/>
      <c r="G159" s="284"/>
      <c r="I159" s="85" t="str">
        <f t="shared" si="37"/>
        <v>R-EAP_ELC00</v>
      </c>
      <c r="J159" s="85" t="str">
        <f t="shared" si="37"/>
        <v>RSD Electric Appliances technology: Electricity - Existing</v>
      </c>
      <c r="K159" s="85"/>
      <c r="L159" s="85" t="s">
        <v>377</v>
      </c>
      <c r="M159" s="92" t="str">
        <f>'Key Inputs_BY Techs'!F143</f>
        <v>GW</v>
      </c>
      <c r="N159" s="85"/>
      <c r="O159" s="243">
        <f>SUMIFS('Key Inputs_BY Techs'!I:I,'Key Inputs_BY Techs'!$A:$A,$L159,'Key Inputs_BY Techs'!$C:$C,'RSD_BY Techs'!$B159,'Key Inputs_BY Techs'!$E:$E,'RSD_BY Techs'!$D159)</f>
        <v>3.4289818060378243</v>
      </c>
      <c r="P159" s="243">
        <f>SUMIFS('Key Inputs_BY Techs'!J:J,'Key Inputs_BY Techs'!$A:$A,$L159,'Key Inputs_BY Techs'!$C:$C,'RSD_BY Techs'!$B159,'Key Inputs_BY Techs'!$E:$E,'RSD_BY Techs'!$D159)</f>
        <v>17.551672093228433</v>
      </c>
      <c r="Q159" s="243">
        <f>SUMIFS('Key Inputs_BY Techs'!K:K,'Key Inputs_BY Techs'!$A:$A,$L159,'Key Inputs_BY Techs'!$C:$C,'RSD_BY Techs'!$B159,'Key Inputs_BY Techs'!$E:$E,'RSD_BY Techs'!$D159)</f>
        <v>3.3690202055203504</v>
      </c>
      <c r="R159" s="243">
        <f>SUMIFS('Key Inputs_BY Techs'!L:L,'Key Inputs_BY Techs'!$A:$A,$L159,'Key Inputs_BY Techs'!$C:$C,'RSD_BY Techs'!$B159,'Key Inputs_BY Techs'!$E:$E,'RSD_BY Techs'!$D159)</f>
        <v>9.1469046236923752</v>
      </c>
      <c r="S159" s="243">
        <f>SUMIFS('Key Inputs_BY Techs'!M:M,'Key Inputs_BY Techs'!$A:$A,$L159,'Key Inputs_BY Techs'!$C:$C,'RSD_BY Techs'!$B159,'Key Inputs_BY Techs'!$E:$E,'RSD_BY Techs'!$D159)</f>
        <v>7.0608714549515454</v>
      </c>
      <c r="T159" s="243">
        <f>SUMIFS('Key Inputs_BY Techs'!N:N,'Key Inputs_BY Techs'!$A:$A,$L159,'Key Inputs_BY Techs'!$C:$C,'RSD_BY Techs'!$B159,'Key Inputs_BY Techs'!$E:$E,'RSD_BY Techs'!$D159)</f>
        <v>9.1607231495013597</v>
      </c>
      <c r="U159" s="243">
        <f>SUMIFS('Key Inputs_BY Techs'!O:O,'Key Inputs_BY Techs'!$A:$A,$L159,'Key Inputs_BY Techs'!$C:$C,'RSD_BY Techs'!$B159,'Key Inputs_BY Techs'!$E:$E,'RSD_BY Techs'!$D159)</f>
        <v>15.827651837916841</v>
      </c>
      <c r="V159" s="243">
        <f>SUMIFS('Key Inputs_BY Techs'!P:P,'Key Inputs_BY Techs'!$A:$A,$L159,'Key Inputs_BY Techs'!$C:$C,'RSD_BY Techs'!$B159,'Key Inputs_BY Techs'!$E:$E,'RSD_BY Techs'!$D159)</f>
        <v>14.570800161103609</v>
      </c>
      <c r="W159" s="243">
        <f>SUMIFS('Key Inputs_BY Techs'!Q:Q,'Key Inputs_BY Techs'!$A:$A,$L159,'Key Inputs_BY Techs'!$C:$C,'RSD_BY Techs'!$B159,'Key Inputs_BY Techs'!$E:$E,'RSD_BY Techs'!$D159)</f>
        <v>17.913815638353316</v>
      </c>
      <c r="X159" s="243">
        <f>SUMIFS('Key Inputs_BY Techs'!R:R,'Key Inputs_BY Techs'!$A:$A,$L159,'Key Inputs_BY Techs'!$C:$C,'RSD_BY Techs'!$B159,'Key Inputs_BY Techs'!$E:$E,'RSD_BY Techs'!$D159)</f>
        <v>9.1887487011409039</v>
      </c>
      <c r="Y159" s="243">
        <f>SUMIFS('Key Inputs_BY Techs'!S:S,'Key Inputs_BY Techs'!$A:$A,$L159,'Key Inputs_BY Techs'!$C:$C,'RSD_BY Techs'!$B159,'Key Inputs_BY Techs'!$E:$E,'RSD_BY Techs'!$D159)</f>
        <v>2.0728253182721774</v>
      </c>
      <c r="Z159" s="243">
        <f>SUMIFS('Key Inputs_BY Techs'!T:T,'Key Inputs_BY Techs'!$A:$A,$L159,'Key Inputs_BY Techs'!$C:$C,'RSD_BY Techs'!$B159,'Key Inputs_BY Techs'!$E:$E,'RSD_BY Techs'!$D159)</f>
        <v>94.614169663531612</v>
      </c>
      <c r="AA159" s="243">
        <f>SUMIFS('Key Inputs_BY Techs'!U:U,'Key Inputs_BY Techs'!$A:$A,$L159,'Key Inputs_BY Techs'!$C:$C,'RSD_BY Techs'!$B159,'Key Inputs_BY Techs'!$E:$E,'RSD_BY Techs'!$D159)</f>
        <v>11.01892741022688</v>
      </c>
      <c r="AB159" s="243">
        <f>SUMIFS('Key Inputs_BY Techs'!V:V,'Key Inputs_BY Techs'!$A:$A,$L159,'Key Inputs_BY Techs'!$C:$C,'RSD_BY Techs'!$B159,'Key Inputs_BY Techs'!$E:$E,'RSD_BY Techs'!$D159)</f>
        <v>12.750576442951846</v>
      </c>
      <c r="AC159" s="243">
        <f>SUMIFS('Key Inputs_BY Techs'!W:W,'Key Inputs_BY Techs'!$A:$A,$L159,'Key Inputs_BY Techs'!$C:$C,'RSD_BY Techs'!$B159,'Key Inputs_BY Techs'!$E:$E,'RSD_BY Techs'!$D159)</f>
        <v>15.697905759920749</v>
      </c>
      <c r="AD159" s="243">
        <f>SUMIFS('Key Inputs_BY Techs'!X:X,'Key Inputs_BY Techs'!$A:$A,$L159,'Key Inputs_BY Techs'!$C:$C,'RSD_BY Techs'!$B159,'Key Inputs_BY Techs'!$E:$E,'RSD_BY Techs'!$D159)</f>
        <v>40.998641565235005</v>
      </c>
      <c r="AE159" s="243">
        <f>SUMIFS('Key Inputs_BY Techs'!Y:Y,'Key Inputs_BY Techs'!$A:$A,$L159,'Key Inputs_BY Techs'!$C:$C,'RSD_BY Techs'!$B159,'Key Inputs_BY Techs'!$E:$E,'RSD_BY Techs'!$D159)</f>
        <v>35.257522277999932</v>
      </c>
      <c r="AF159" s="243">
        <f>SUMIFS('Key Inputs_BY Techs'!Z:Z,'Key Inputs_BY Techs'!$A:$A,$L159,'Key Inputs_BY Techs'!$C:$C,'RSD_BY Techs'!$B159,'Key Inputs_BY Techs'!$E:$E,'RSD_BY Techs'!$D159)</f>
        <v>30.182539236736282</v>
      </c>
      <c r="AG159" s="243">
        <f>SUMIFS('Key Inputs_BY Techs'!AA:AA,'Key Inputs_BY Techs'!$A:$A,$L159,'Key Inputs_BY Techs'!$C:$C,'RSD_BY Techs'!$B159,'Key Inputs_BY Techs'!$E:$E,'RSD_BY Techs'!$D159)</f>
        <v>45.928005191809959</v>
      </c>
      <c r="AH159" s="243">
        <f>SUMIFS('Key Inputs_BY Techs'!AB:AB,'Key Inputs_BY Techs'!$A:$A,$L159,'Key Inputs_BY Techs'!$C:$C,'RSD_BY Techs'!$B159,'Key Inputs_BY Techs'!$E:$E,'RSD_BY Techs'!$D159)</f>
        <v>32.315859895372512</v>
      </c>
      <c r="AI159" s="243">
        <f>SUMIFS('Key Inputs_BY Techs'!AC:AC,'Key Inputs_BY Techs'!$A:$A,$L159,'Key Inputs_BY Techs'!$C:$C,'RSD_BY Techs'!$B159,'Key Inputs_BY Techs'!$E:$E,'RSD_BY Techs'!$D159)</f>
        <v>18.722088971451242</v>
      </c>
      <c r="AJ159" s="243">
        <f>SUMIFS('Key Inputs_BY Techs'!AD:AD,'Key Inputs_BY Techs'!$A:$A,$L159,'Key Inputs_BY Techs'!$C:$C,'RSD_BY Techs'!$B159,'Key Inputs_BY Techs'!$E:$E,'RSD_BY Techs'!$D159)</f>
        <v>12.26645964518749</v>
      </c>
      <c r="AK159" s="243">
        <f>SUMIFS('Key Inputs_BY Techs'!AE:AE,'Key Inputs_BY Techs'!$A:$A,$L159,'Key Inputs_BY Techs'!$C:$C,'RSD_BY Techs'!$B159,'Key Inputs_BY Techs'!$E:$E,'RSD_BY Techs'!$D159)</f>
        <v>42.521103026766987</v>
      </c>
      <c r="AL159" s="243">
        <f>SUMIFS('Key Inputs_BY Techs'!AF:AF,'Key Inputs_BY Techs'!$A:$A,$L159,'Key Inputs_BY Techs'!$C:$C,'RSD_BY Techs'!$B159,'Key Inputs_BY Techs'!$E:$E,'RSD_BY Techs'!$D159)</f>
        <v>7.2693982324567861</v>
      </c>
      <c r="AM159" s="243">
        <f>SUMIFS('Key Inputs_BY Techs'!AG:AG,'Key Inputs_BY Techs'!$A:$A,$L159,'Key Inputs_BY Techs'!$C:$C,'RSD_BY Techs'!$B159,'Key Inputs_BY Techs'!$E:$E,'RSD_BY Techs'!$D159)</f>
        <v>2.4579976297780561</v>
      </c>
      <c r="AN159" s="243">
        <f>SUMIFS('Key Inputs_BY Techs'!AH:AH,'Key Inputs_BY Techs'!$A:$A,$L159,'Key Inputs_BY Techs'!$C:$C,'RSD_BY Techs'!$B159,'Key Inputs_BY Techs'!$E:$E,'RSD_BY Techs'!$D159)</f>
        <v>23.823211164887955</v>
      </c>
      <c r="AO159" s="243">
        <f>SUMIFS('Key Inputs_BY Techs'!AI:AI,'Key Inputs_BY Techs'!$A:$A,$L159,'Key Inputs_BY Techs'!$C:$C,'RSD_BY Techs'!$B159,'Key Inputs_BY Techs'!$E:$E,'RSD_BY Techs'!$D159)</f>
        <v>9.826129811223959</v>
      </c>
      <c r="AP159" s="243">
        <f>SUMIFS('Key Inputs_BY Techs'!AJ:AJ,'Key Inputs_BY Techs'!$A:$A,$L159,'Key Inputs_BY Techs'!$C:$C,'RSD_BY Techs'!$B159,'Key Inputs_BY Techs'!$E:$E,'RSD_BY Techs'!$D159)</f>
        <v>161.93945911443433</v>
      </c>
    </row>
    <row r="160" spans="1:42" x14ac:dyDescent="0.25">
      <c r="A160" s="282" t="s">
        <v>169</v>
      </c>
      <c r="B160" s="282" t="s">
        <v>120</v>
      </c>
      <c r="C160" s="282"/>
      <c r="D160" s="282"/>
      <c r="E160" s="282" t="str">
        <f t="shared" ref="E160" si="40">LEFT(D160,6)</f>
        <v/>
      </c>
      <c r="F160" s="254"/>
      <c r="G160" s="254"/>
      <c r="I160" s="85" t="str">
        <f t="shared" si="37"/>
        <v>R-OTH_00</v>
      </c>
      <c r="J160" s="85" t="str">
        <f t="shared" si="37"/>
        <v>RSD Other uses - Existing</v>
      </c>
      <c r="K160" s="85"/>
      <c r="L160" s="236" t="s">
        <v>377</v>
      </c>
      <c r="M160" s="92" t="str">
        <f>'Key Inputs_BY Techs'!F144</f>
        <v>PJ-y</v>
      </c>
      <c r="N160" s="85"/>
      <c r="O160" s="243">
        <f>SUMIFS('Key Inputs_BY Techs'!I:I,'Key Inputs_BY Techs'!$A:$A,$L160,'Key Inputs_BY Techs'!$C:$C,'RSD_BY Techs'!$B160)</f>
        <v>0.37969873339248417</v>
      </c>
      <c r="P160" s="243">
        <f>SUMIFS('Key Inputs_BY Techs'!J:J,'Key Inputs_BY Techs'!$A:$A,$L160,'Key Inputs_BY Techs'!$C:$C,'RSD_BY Techs'!$B160)</f>
        <v>6.6029879983889987</v>
      </c>
      <c r="Q160" s="243">
        <f>SUMIFS('Key Inputs_BY Techs'!K:K,'Key Inputs_BY Techs'!$A:$A,$L160,'Key Inputs_BY Techs'!$C:$C,'RSD_BY Techs'!$B160)</f>
        <v>0.40265995196032428</v>
      </c>
      <c r="R160" s="243">
        <f>SUMIFS('Key Inputs_BY Techs'!L:L,'Key Inputs_BY Techs'!$A:$A,$L160,'Key Inputs_BY Techs'!$C:$C,'RSD_BY Techs'!$B160)</f>
        <v>1.1033267738227654</v>
      </c>
      <c r="S160" s="243">
        <f>SUMIFS('Key Inputs_BY Techs'!M:M,'Key Inputs_BY Techs'!$A:$A,$L160,'Key Inputs_BY Techs'!$C:$C,'RSD_BY Techs'!$B160)</f>
        <v>0</v>
      </c>
      <c r="T160" s="243">
        <f>SUMIFS('Key Inputs_BY Techs'!N:N,'Key Inputs_BY Techs'!$A:$A,$L160,'Key Inputs_BY Techs'!$C:$C,'RSD_BY Techs'!$B160)</f>
        <v>0</v>
      </c>
      <c r="U160" s="243">
        <f>SUMIFS('Key Inputs_BY Techs'!O:O,'Key Inputs_BY Techs'!$A:$A,$L160,'Key Inputs_BY Techs'!$C:$C,'RSD_BY Techs'!$B160)</f>
        <v>0</v>
      </c>
      <c r="V160" s="243">
        <f>SUMIFS('Key Inputs_BY Techs'!P:P,'Key Inputs_BY Techs'!$A:$A,$L160,'Key Inputs_BY Techs'!$C:$C,'RSD_BY Techs'!$B160)</f>
        <v>0</v>
      </c>
      <c r="W160" s="243">
        <f>SUMIFS('Key Inputs_BY Techs'!Q:Q,'Key Inputs_BY Techs'!$A:$A,$L160,'Key Inputs_BY Techs'!$C:$C,'RSD_BY Techs'!$B160)</f>
        <v>0</v>
      </c>
      <c r="X160" s="243">
        <f>SUMIFS('Key Inputs_BY Techs'!R:R,'Key Inputs_BY Techs'!$A:$A,$L160,'Key Inputs_BY Techs'!$C:$C,'RSD_BY Techs'!$B160)</f>
        <v>0</v>
      </c>
      <c r="Y160" s="243">
        <f>SUMIFS('Key Inputs_BY Techs'!S:S,'Key Inputs_BY Techs'!$A:$A,$L160,'Key Inputs_BY Techs'!$C:$C,'RSD_BY Techs'!$B160)</f>
        <v>9.5678994426908535</v>
      </c>
      <c r="Z160" s="243">
        <f>SUMIFS('Key Inputs_BY Techs'!T:T,'Key Inputs_BY Techs'!$A:$A,$L160,'Key Inputs_BY Techs'!$C:$C,'RSD_BY Techs'!$B160)</f>
        <v>0</v>
      </c>
      <c r="AA160" s="243">
        <f>SUMIFS('Key Inputs_BY Techs'!U:U,'Key Inputs_BY Techs'!$A:$A,$L160,'Key Inputs_BY Techs'!$C:$C,'RSD_BY Techs'!$B160)</f>
        <v>2.9913974377740207</v>
      </c>
      <c r="AB160" s="243">
        <f>SUMIFS('Key Inputs_BY Techs'!V:V,'Key Inputs_BY Techs'!$A:$A,$L160,'Key Inputs_BY Techs'!$C:$C,'RSD_BY Techs'!$B160)</f>
        <v>52.533019158628669</v>
      </c>
      <c r="AC160" s="243">
        <f>SUMIFS('Key Inputs_BY Techs'!W:W,'Key Inputs_BY Techs'!$A:$A,$L160,'Key Inputs_BY Techs'!$C:$C,'RSD_BY Techs'!$B160)</f>
        <v>1.5561738999773025</v>
      </c>
      <c r="AD160" s="243">
        <f>SUMIFS('Key Inputs_BY Techs'!X:X,'Key Inputs_BY Techs'!$A:$A,$L160,'Key Inputs_BY Techs'!$C:$C,'RSD_BY Techs'!$B160)</f>
        <v>24.436613005279639</v>
      </c>
      <c r="AE160" s="243">
        <f>SUMIFS('Key Inputs_BY Techs'!Y:Y,'Key Inputs_BY Techs'!$A:$A,$L160,'Key Inputs_BY Techs'!$C:$C,'RSD_BY Techs'!$B160)</f>
        <v>62.111273157519186</v>
      </c>
      <c r="AF160" s="243">
        <f>SUMIFS('Key Inputs_BY Techs'!Z:Z,'Key Inputs_BY Techs'!$A:$A,$L160,'Key Inputs_BY Techs'!$C:$C,'RSD_BY Techs'!$B160)</f>
        <v>0</v>
      </c>
      <c r="AG160" s="243">
        <f>SUMIFS('Key Inputs_BY Techs'!AA:AA,'Key Inputs_BY Techs'!$A:$A,$L160,'Key Inputs_BY Techs'!$C:$C,'RSD_BY Techs'!$B160)</f>
        <v>0</v>
      </c>
      <c r="AH160" s="243">
        <f>SUMIFS('Key Inputs_BY Techs'!AB:AB,'Key Inputs_BY Techs'!$A:$A,$L160,'Key Inputs_BY Techs'!$C:$C,'RSD_BY Techs'!$B160)</f>
        <v>0</v>
      </c>
      <c r="AI160" s="243">
        <f>SUMIFS('Key Inputs_BY Techs'!AC:AC,'Key Inputs_BY Techs'!$A:$A,$L160,'Key Inputs_BY Techs'!$C:$C,'RSD_BY Techs'!$B160)</f>
        <v>0</v>
      </c>
      <c r="AJ160" s="243">
        <f>SUMIFS('Key Inputs_BY Techs'!AD:AD,'Key Inputs_BY Techs'!$A:$A,$L160,'Key Inputs_BY Techs'!$C:$C,'RSD_BY Techs'!$B160)</f>
        <v>30.267935305849551</v>
      </c>
      <c r="AK160" s="243">
        <f>SUMIFS('Key Inputs_BY Techs'!AE:AE,'Key Inputs_BY Techs'!$A:$A,$L160,'Key Inputs_BY Techs'!$C:$C,'RSD_BY Techs'!$B160)</f>
        <v>187.53914018747903</v>
      </c>
      <c r="AL160" s="243">
        <f>SUMIFS('Key Inputs_BY Techs'!AF:AF,'Key Inputs_BY Techs'!$A:$A,$L160,'Key Inputs_BY Techs'!$C:$C,'RSD_BY Techs'!$B160)</f>
        <v>15.326245739774526</v>
      </c>
      <c r="AM160" s="243">
        <f>SUMIFS('Key Inputs_BY Techs'!AG:AG,'Key Inputs_BY Techs'!$A:$A,$L160,'Key Inputs_BY Techs'!$C:$C,'RSD_BY Techs'!$B160)</f>
        <v>0.29377597851840626</v>
      </c>
      <c r="AN160" s="243">
        <f>SUMIFS('Key Inputs_BY Techs'!AH:AH,'Key Inputs_BY Techs'!$A:$A,$L160,'Key Inputs_BY Techs'!$C:$C,'RSD_BY Techs'!$B160)</f>
        <v>0</v>
      </c>
      <c r="AO160" s="243">
        <f>SUMIFS('Key Inputs_BY Techs'!AI:AI,'Key Inputs_BY Techs'!$A:$A,$L160,'Key Inputs_BY Techs'!$C:$C,'RSD_BY Techs'!$B160)</f>
        <v>3.9263593195781161</v>
      </c>
      <c r="AP160" s="243">
        <f>SUMIFS('Key Inputs_BY Techs'!AJ:AJ,'Key Inputs_BY Techs'!$A:$A,$L160,'Key Inputs_BY Techs'!$C:$C,'RSD_BY Techs'!$B160)</f>
        <v>176.19630728643028</v>
      </c>
    </row>
    <row r="161" spans="1:42" ht="13.9" customHeight="1" x14ac:dyDescent="0.25">
      <c r="A161" s="280"/>
      <c r="B161" s="280"/>
      <c r="C161" s="280"/>
      <c r="D161" s="280"/>
      <c r="E161" s="280"/>
      <c r="F161" s="254"/>
      <c r="G161" s="254"/>
      <c r="I161" s="231" t="str">
        <f>"*"&amp;L162</f>
        <v>*Share-I</v>
      </c>
      <c r="J161" s="232"/>
      <c r="K161" s="232"/>
      <c r="L161" s="232"/>
      <c r="M161" s="232"/>
      <c r="N161" s="232"/>
      <c r="O161" s="232"/>
      <c r="P161" s="232"/>
      <c r="Q161" s="232"/>
      <c r="R161" s="232"/>
      <c r="S161" s="232"/>
      <c r="T161" s="232"/>
      <c r="U161" s="232"/>
      <c r="V161" s="232"/>
      <c r="W161" s="232"/>
      <c r="X161" s="232"/>
      <c r="Y161" s="232"/>
      <c r="Z161" s="232"/>
      <c r="AA161" s="232"/>
      <c r="AB161" s="232"/>
      <c r="AC161" s="232"/>
      <c r="AD161" s="232"/>
      <c r="AE161" s="232"/>
      <c r="AF161" s="232"/>
      <c r="AG161" s="232"/>
      <c r="AH161" s="232"/>
      <c r="AI161" s="232"/>
      <c r="AJ161" s="232"/>
      <c r="AK161" s="232"/>
      <c r="AL161" s="232"/>
      <c r="AM161" s="232"/>
      <c r="AN161" s="232"/>
      <c r="AO161" s="232"/>
      <c r="AP161" s="232"/>
    </row>
    <row r="162" spans="1:42" x14ac:dyDescent="0.25">
      <c r="A162" s="254" t="s">
        <v>122</v>
      </c>
      <c r="B162" s="254" t="s">
        <v>468</v>
      </c>
      <c r="C162" s="254" t="str">
        <f>Legend!$A$71&amp;", "&amp;Legend!$A$63&amp;", "&amp;Legend!$A$72</f>
        <v>Natural gas, Biogas, Manufactured gas</v>
      </c>
      <c r="D162" s="254" t="str">
        <f>Legend!$B$71&amp;", "&amp;Legend!$B$63&amp;", "&amp;Legend!$B$72</f>
        <v>RSDGAS, RSDBGS, RSDGAM</v>
      </c>
      <c r="E162" s="254" t="str">
        <f t="shared" ref="E162:E174" si="41">LEFT(D162,6)</f>
        <v>RSDGAS</v>
      </c>
      <c r="F162" s="254"/>
      <c r="G162" s="254"/>
      <c r="I162" s="209" t="str">
        <f>I$10</f>
        <v>R-THL-BLR_GAS00</v>
      </c>
      <c r="J162" s="209" t="str">
        <f>J$10</f>
        <v>RSD Thermal uses technology: Natural gas, Biogas, Manufactured gas - Existing</v>
      </c>
      <c r="K162" s="209" t="str">
        <f>LEFT(K$10, 6)</f>
        <v>RSDGAS</v>
      </c>
      <c r="L162" s="208" t="s">
        <v>203</v>
      </c>
      <c r="M162" s="208" t="s">
        <v>174</v>
      </c>
      <c r="N162" s="295" t="s">
        <v>404</v>
      </c>
      <c r="O162" s="213">
        <f>1-'Key Inputs_BY Techs'!I$218-'Key Inputs_BY Techs'!I$219</f>
        <v>1</v>
      </c>
      <c r="P162" s="213">
        <f>1-'Key Inputs_BY Techs'!J$218-'Key Inputs_BY Techs'!J$219</f>
        <v>1</v>
      </c>
      <c r="Q162" s="213">
        <f>1-'Key Inputs_BY Techs'!K$218-'Key Inputs_BY Techs'!K$219</f>
        <v>1</v>
      </c>
      <c r="R162" s="213">
        <f>1-'Key Inputs_BY Techs'!L$218-'Key Inputs_BY Techs'!L$219</f>
        <v>1</v>
      </c>
      <c r="S162" s="213">
        <f>1-'Key Inputs_BY Techs'!M$218-'Key Inputs_BY Techs'!M$219</f>
        <v>1</v>
      </c>
      <c r="T162" s="213">
        <f>1-'Key Inputs_BY Techs'!N$218-'Key Inputs_BY Techs'!N$219</f>
        <v>1</v>
      </c>
      <c r="U162" s="213">
        <f>1-'Key Inputs_BY Techs'!O$218-'Key Inputs_BY Techs'!O$219</f>
        <v>0.99968789013732839</v>
      </c>
      <c r="V162" s="213">
        <f>1-'Key Inputs_BY Techs'!P$218-'Key Inputs_BY Techs'!P$219</f>
        <v>0.98421123646366515</v>
      </c>
      <c r="W162" s="213">
        <f>1-'Key Inputs_BY Techs'!Q$218-'Key Inputs_BY Techs'!Q$219</f>
        <v>1</v>
      </c>
      <c r="X162" s="213">
        <f>1-'Key Inputs_BY Techs'!R$218-'Key Inputs_BY Techs'!R$219</f>
        <v>1</v>
      </c>
      <c r="Y162" s="213">
        <f>1-'Key Inputs_BY Techs'!S$218-'Key Inputs_BY Techs'!S$219</f>
        <v>0.99942799942799943</v>
      </c>
      <c r="Z162" s="213">
        <f>1-'Key Inputs_BY Techs'!T$218-'Key Inputs_BY Techs'!T$219</f>
        <v>0.99271623245252438</v>
      </c>
      <c r="AA162" s="213">
        <f>1-'Key Inputs_BY Techs'!U$218-'Key Inputs_BY Techs'!U$219</f>
        <v>1</v>
      </c>
      <c r="AB162" s="213">
        <f>1-'Key Inputs_BY Techs'!V$218-'Key Inputs_BY Techs'!V$219</f>
        <v>1</v>
      </c>
      <c r="AC162" s="213">
        <f>1-'Key Inputs_BY Techs'!W$218-'Key Inputs_BY Techs'!W$219</f>
        <v>1</v>
      </c>
      <c r="AD162" s="213">
        <f>1-'Key Inputs_BY Techs'!X$218-'Key Inputs_BY Techs'!X$219</f>
        <v>1</v>
      </c>
      <c r="AE162" s="213">
        <f>1-'Key Inputs_BY Techs'!Y$218-'Key Inputs_BY Techs'!Y$219</f>
        <v>0.99451149908862901</v>
      </c>
      <c r="AF162" s="213">
        <f>1-'Key Inputs_BY Techs'!Z$218-'Key Inputs_BY Techs'!Z$219</f>
        <v>0.64285714285714279</v>
      </c>
      <c r="AG162" s="213">
        <f>1-'Key Inputs_BY Techs'!AA$218-'Key Inputs_BY Techs'!AA$219</f>
        <v>1</v>
      </c>
      <c r="AH162" s="213">
        <f>1-'Key Inputs_BY Techs'!AB$218-'Key Inputs_BY Techs'!AB$219</f>
        <v>1</v>
      </c>
      <c r="AI162" s="213">
        <f>1-'Key Inputs_BY Techs'!AC$218-'Key Inputs_BY Techs'!AC$219</f>
        <v>0.99999477784972746</v>
      </c>
      <c r="AJ162" s="213">
        <f>1-'Key Inputs_BY Techs'!AD$218-'Key Inputs_BY Techs'!AD$219</f>
        <v>1</v>
      </c>
      <c r="AK162" s="213">
        <f>1-'Key Inputs_BY Techs'!AE$218-'Key Inputs_BY Techs'!AE$219</f>
        <v>1</v>
      </c>
      <c r="AL162" s="213">
        <f>1-'Key Inputs_BY Techs'!AF$218-'Key Inputs_BY Techs'!AF$219</f>
        <v>1</v>
      </c>
      <c r="AM162" s="213">
        <f>1-'Key Inputs_BY Techs'!AG$218-'Key Inputs_BY Techs'!AG$219</f>
        <v>1</v>
      </c>
      <c r="AN162" s="213">
        <f>1-'Key Inputs_BY Techs'!AH$218-'Key Inputs_BY Techs'!AH$219</f>
        <v>1</v>
      </c>
      <c r="AO162" s="213">
        <f>1-'Key Inputs_BY Techs'!AI$218-'Key Inputs_BY Techs'!AI$219</f>
        <v>1</v>
      </c>
      <c r="AP162" s="213">
        <f>1-'Key Inputs_BY Techs'!AJ$218-'Key Inputs_BY Techs'!AJ$219</f>
        <v>1</v>
      </c>
    </row>
    <row r="163" spans="1:42" x14ac:dyDescent="0.25">
      <c r="A163" s="254" t="s">
        <v>122</v>
      </c>
      <c r="B163" s="254" t="s">
        <v>468</v>
      </c>
      <c r="C163" s="254" t="str">
        <f>Legend!$A$71&amp;", "&amp;Legend!$A$63&amp;", "&amp;Legend!$A$72</f>
        <v>Natural gas, Biogas, Manufactured gas</v>
      </c>
      <c r="D163" s="254" t="str">
        <f>Legend!$B$71&amp;", "&amp;Legend!$B$63&amp;", "&amp;Legend!$B$72</f>
        <v>RSDGAS, RSDBGS, RSDGAM</v>
      </c>
      <c r="E163" s="254" t="str">
        <f>RIGHT(D163,6)</f>
        <v>RSDGAM</v>
      </c>
      <c r="F163" s="254"/>
      <c r="G163" s="254"/>
      <c r="I163" s="81" t="str">
        <f>I$10</f>
        <v>R-THL-BLR_GAS00</v>
      </c>
      <c r="J163" s="81" t="str">
        <f>J$10</f>
        <v>RSD Thermal uses technology: Natural gas, Biogas, Manufactured gas - Existing</v>
      </c>
      <c r="K163" s="81" t="str">
        <f>RIGHT(K$10, 6)</f>
        <v>RSDGAM</v>
      </c>
      <c r="L163" s="87" t="s">
        <v>203</v>
      </c>
      <c r="M163" s="87" t="s">
        <v>174</v>
      </c>
      <c r="N163" s="294" t="s">
        <v>404</v>
      </c>
      <c r="O163" s="211">
        <f>'Key Inputs_BY Techs'!I$219</f>
        <v>0</v>
      </c>
      <c r="P163" s="211">
        <f>'Key Inputs_BY Techs'!J$219</f>
        <v>0</v>
      </c>
      <c r="Q163" s="211">
        <f>'Key Inputs_BY Techs'!K$219</f>
        <v>0</v>
      </c>
      <c r="R163" s="211">
        <f>'Key Inputs_BY Techs'!L$219</f>
        <v>0</v>
      </c>
      <c r="S163" s="211">
        <f>'Key Inputs_BY Techs'!M$219</f>
        <v>0</v>
      </c>
      <c r="T163" s="211">
        <f>'Key Inputs_BY Techs'!N$219</f>
        <v>0</v>
      </c>
      <c r="U163" s="211">
        <f>'Key Inputs_BY Techs'!O$219</f>
        <v>0</v>
      </c>
      <c r="V163" s="211">
        <f>'Key Inputs_BY Techs'!P$219</f>
        <v>0</v>
      </c>
      <c r="W163" s="211">
        <f>'Key Inputs_BY Techs'!Q$219</f>
        <v>0</v>
      </c>
      <c r="X163" s="211">
        <f>'Key Inputs_BY Techs'!R$219</f>
        <v>0</v>
      </c>
      <c r="Y163" s="211">
        <f>'Key Inputs_BY Techs'!S$219</f>
        <v>0</v>
      </c>
      <c r="Z163" s="211">
        <f>'Key Inputs_BY Techs'!T$219</f>
        <v>7.2837675474756117E-3</v>
      </c>
      <c r="AA163" s="211">
        <f>'Key Inputs_BY Techs'!U$219</f>
        <v>0</v>
      </c>
      <c r="AB163" s="211">
        <f>'Key Inputs_BY Techs'!V$219</f>
        <v>0</v>
      </c>
      <c r="AC163" s="211">
        <f>'Key Inputs_BY Techs'!W$219</f>
        <v>0</v>
      </c>
      <c r="AD163" s="211">
        <f>'Key Inputs_BY Techs'!X$219</f>
        <v>0</v>
      </c>
      <c r="AE163" s="211">
        <f>'Key Inputs_BY Techs'!Y$219</f>
        <v>0</v>
      </c>
      <c r="AF163" s="211">
        <f>'Key Inputs_BY Techs'!Z$219</f>
        <v>0</v>
      </c>
      <c r="AG163" s="211">
        <f>'Key Inputs_BY Techs'!AA$219</f>
        <v>0</v>
      </c>
      <c r="AH163" s="211">
        <f>'Key Inputs_BY Techs'!AB$219</f>
        <v>0</v>
      </c>
      <c r="AI163" s="211">
        <f>'Key Inputs_BY Techs'!AC$219</f>
        <v>0</v>
      </c>
      <c r="AJ163" s="211">
        <f>'Key Inputs_BY Techs'!AD$219</f>
        <v>0</v>
      </c>
      <c r="AK163" s="211">
        <f>'Key Inputs_BY Techs'!AE$219</f>
        <v>0</v>
      </c>
      <c r="AL163" s="211">
        <f>'Key Inputs_BY Techs'!AF$219</f>
        <v>0</v>
      </c>
      <c r="AM163" s="211">
        <f>'Key Inputs_BY Techs'!AG$219</f>
        <v>0</v>
      </c>
      <c r="AN163" s="211">
        <f>'Key Inputs_BY Techs'!AH$219</f>
        <v>0</v>
      </c>
      <c r="AO163" s="211">
        <f>'Key Inputs_BY Techs'!AI$219</f>
        <v>0</v>
      </c>
      <c r="AP163" s="211">
        <f>'Key Inputs_BY Techs'!AJ$219</f>
        <v>0</v>
      </c>
    </row>
    <row r="164" spans="1:42" x14ac:dyDescent="0.25">
      <c r="A164" s="254" t="s">
        <v>122</v>
      </c>
      <c r="B164" s="254" t="s">
        <v>469</v>
      </c>
      <c r="C164" s="254" t="str">
        <f>Legend!$A$71&amp;", "&amp;Legend!$A$63&amp;", "&amp;Legend!$A$72</f>
        <v>Natural gas, Biogas, Manufactured gas</v>
      </c>
      <c r="D164" s="254" t="str">
        <f>Legend!$B$71&amp;", "&amp;Legend!$B$63&amp;", "&amp;Legend!$B$72</f>
        <v>RSDGAS, RSDBGS, RSDGAM</v>
      </c>
      <c r="E164" s="254" t="str">
        <f t="shared" si="41"/>
        <v>RSDGAS</v>
      </c>
      <c r="F164" s="254"/>
      <c r="G164" s="254"/>
      <c r="I164" s="81" t="str">
        <f>I$20</f>
        <v>R-THH-BLR_GAS00</v>
      </c>
      <c r="J164" s="81" t="str">
        <f>J$10</f>
        <v>RSD Thermal uses technology: Natural gas, Biogas, Manufactured gas - Existing</v>
      </c>
      <c r="K164" s="81" t="str">
        <f t="shared" ref="K164" si="42">LEFT(K$10, 6)</f>
        <v>RSDGAS</v>
      </c>
      <c r="L164" s="87" t="s">
        <v>203</v>
      </c>
      <c r="M164" s="87" t="s">
        <v>174</v>
      </c>
      <c r="N164" s="294" t="s">
        <v>404</v>
      </c>
      <c r="O164" s="213">
        <f>1-'Key Inputs_BY Techs'!I$218-'Key Inputs_BY Techs'!I$219</f>
        <v>1</v>
      </c>
      <c r="P164" s="213">
        <f>1-'Key Inputs_BY Techs'!J$218-'Key Inputs_BY Techs'!J$219</f>
        <v>1</v>
      </c>
      <c r="Q164" s="213">
        <f>1-'Key Inputs_BY Techs'!K$218-'Key Inputs_BY Techs'!K$219</f>
        <v>1</v>
      </c>
      <c r="R164" s="213">
        <f>1-'Key Inputs_BY Techs'!L$218-'Key Inputs_BY Techs'!L$219</f>
        <v>1</v>
      </c>
      <c r="S164" s="213">
        <f>1-'Key Inputs_BY Techs'!M$218-'Key Inputs_BY Techs'!M$219</f>
        <v>1</v>
      </c>
      <c r="T164" s="213">
        <f>1-'Key Inputs_BY Techs'!N$218-'Key Inputs_BY Techs'!N$219</f>
        <v>1</v>
      </c>
      <c r="U164" s="213">
        <f>1-'Key Inputs_BY Techs'!O$218-'Key Inputs_BY Techs'!O$219</f>
        <v>0.99968789013732839</v>
      </c>
      <c r="V164" s="213">
        <f>1-'Key Inputs_BY Techs'!P$218-'Key Inputs_BY Techs'!P$219</f>
        <v>0.98421123646366515</v>
      </c>
      <c r="W164" s="213">
        <f>1-'Key Inputs_BY Techs'!Q$218-'Key Inputs_BY Techs'!Q$219</f>
        <v>1</v>
      </c>
      <c r="X164" s="213">
        <f>1-'Key Inputs_BY Techs'!R$218-'Key Inputs_BY Techs'!R$219</f>
        <v>1</v>
      </c>
      <c r="Y164" s="213">
        <f>1-'Key Inputs_BY Techs'!S$218-'Key Inputs_BY Techs'!S$219</f>
        <v>0.99942799942799943</v>
      </c>
      <c r="Z164" s="213">
        <f>1-'Key Inputs_BY Techs'!T$218-'Key Inputs_BY Techs'!T$219</f>
        <v>0.99271623245252438</v>
      </c>
      <c r="AA164" s="213">
        <f>1-'Key Inputs_BY Techs'!U$218-'Key Inputs_BY Techs'!U$219</f>
        <v>1</v>
      </c>
      <c r="AB164" s="213">
        <f>1-'Key Inputs_BY Techs'!V$218-'Key Inputs_BY Techs'!V$219</f>
        <v>1</v>
      </c>
      <c r="AC164" s="213">
        <f>1-'Key Inputs_BY Techs'!W$218-'Key Inputs_BY Techs'!W$219</f>
        <v>1</v>
      </c>
      <c r="AD164" s="213">
        <f>1-'Key Inputs_BY Techs'!X$218-'Key Inputs_BY Techs'!X$219</f>
        <v>1</v>
      </c>
      <c r="AE164" s="213">
        <f>1-'Key Inputs_BY Techs'!Y$218-'Key Inputs_BY Techs'!Y$219</f>
        <v>0.99451149908862901</v>
      </c>
      <c r="AF164" s="213">
        <f>1-'Key Inputs_BY Techs'!Z$218-'Key Inputs_BY Techs'!Z$219</f>
        <v>0.64285714285714279</v>
      </c>
      <c r="AG164" s="213">
        <f>1-'Key Inputs_BY Techs'!AA$218-'Key Inputs_BY Techs'!AA$219</f>
        <v>1</v>
      </c>
      <c r="AH164" s="213">
        <f>1-'Key Inputs_BY Techs'!AB$218-'Key Inputs_BY Techs'!AB$219</f>
        <v>1</v>
      </c>
      <c r="AI164" s="213">
        <f>1-'Key Inputs_BY Techs'!AC$218-'Key Inputs_BY Techs'!AC$219</f>
        <v>0.99999477784972746</v>
      </c>
      <c r="AJ164" s="213">
        <f>1-'Key Inputs_BY Techs'!AD$218-'Key Inputs_BY Techs'!AD$219</f>
        <v>1</v>
      </c>
      <c r="AK164" s="213">
        <f>1-'Key Inputs_BY Techs'!AE$218-'Key Inputs_BY Techs'!AE$219</f>
        <v>1</v>
      </c>
      <c r="AL164" s="213">
        <f>1-'Key Inputs_BY Techs'!AF$218-'Key Inputs_BY Techs'!AF$219</f>
        <v>1</v>
      </c>
      <c r="AM164" s="213">
        <f>1-'Key Inputs_BY Techs'!AG$218-'Key Inputs_BY Techs'!AG$219</f>
        <v>1</v>
      </c>
      <c r="AN164" s="213">
        <f>1-'Key Inputs_BY Techs'!AH$218-'Key Inputs_BY Techs'!AH$219</f>
        <v>1</v>
      </c>
      <c r="AO164" s="213">
        <f>1-'Key Inputs_BY Techs'!AI$218-'Key Inputs_BY Techs'!AI$219</f>
        <v>1</v>
      </c>
      <c r="AP164" s="213">
        <f>1-'Key Inputs_BY Techs'!AJ$218-'Key Inputs_BY Techs'!AJ$219</f>
        <v>1</v>
      </c>
    </row>
    <row r="165" spans="1:42" x14ac:dyDescent="0.25">
      <c r="A165" s="254" t="s">
        <v>122</v>
      </c>
      <c r="B165" s="254" t="s">
        <v>469</v>
      </c>
      <c r="C165" s="254" t="str">
        <f>Legend!$A$71&amp;", "&amp;Legend!$A$63&amp;", "&amp;Legend!$A$72</f>
        <v>Natural gas, Biogas, Manufactured gas</v>
      </c>
      <c r="D165" s="254" t="str">
        <f>Legend!$B$71&amp;", "&amp;Legend!$B$63&amp;", "&amp;Legend!$B$72</f>
        <v>RSDGAS, RSDBGS, RSDGAM</v>
      </c>
      <c r="E165" s="254" t="str">
        <f>RIGHT(D165,6)</f>
        <v>RSDGAM</v>
      </c>
      <c r="F165" s="254"/>
      <c r="G165" s="254"/>
      <c r="I165" s="81" t="str">
        <f>I$20</f>
        <v>R-THH-BLR_GAS00</v>
      </c>
      <c r="J165" s="81" t="str">
        <f>J$10</f>
        <v>RSD Thermal uses technology: Natural gas, Biogas, Manufactured gas - Existing</v>
      </c>
      <c r="K165" s="81" t="str">
        <f>RIGHT(K$10, 6)</f>
        <v>RSDGAM</v>
      </c>
      <c r="L165" s="87" t="s">
        <v>203</v>
      </c>
      <c r="M165" s="87" t="s">
        <v>174</v>
      </c>
      <c r="N165" s="294" t="s">
        <v>404</v>
      </c>
      <c r="O165" s="211">
        <f>'Key Inputs_BY Techs'!I$219</f>
        <v>0</v>
      </c>
      <c r="P165" s="211">
        <f>'Key Inputs_BY Techs'!J$219</f>
        <v>0</v>
      </c>
      <c r="Q165" s="211">
        <f>'Key Inputs_BY Techs'!K$219</f>
        <v>0</v>
      </c>
      <c r="R165" s="211">
        <f>'Key Inputs_BY Techs'!L$219</f>
        <v>0</v>
      </c>
      <c r="S165" s="211">
        <f>'Key Inputs_BY Techs'!M$219</f>
        <v>0</v>
      </c>
      <c r="T165" s="211">
        <f>'Key Inputs_BY Techs'!N$219</f>
        <v>0</v>
      </c>
      <c r="U165" s="211">
        <f>'Key Inputs_BY Techs'!O$219</f>
        <v>0</v>
      </c>
      <c r="V165" s="211">
        <f>'Key Inputs_BY Techs'!P$219</f>
        <v>0</v>
      </c>
      <c r="W165" s="211">
        <f>'Key Inputs_BY Techs'!Q$219</f>
        <v>0</v>
      </c>
      <c r="X165" s="211">
        <f>'Key Inputs_BY Techs'!R$219</f>
        <v>0</v>
      </c>
      <c r="Y165" s="211">
        <f>'Key Inputs_BY Techs'!S$219</f>
        <v>0</v>
      </c>
      <c r="Z165" s="211">
        <f>'Key Inputs_BY Techs'!T$219</f>
        <v>7.2837675474756117E-3</v>
      </c>
      <c r="AA165" s="211">
        <f>'Key Inputs_BY Techs'!U$219</f>
        <v>0</v>
      </c>
      <c r="AB165" s="211">
        <f>'Key Inputs_BY Techs'!V$219</f>
        <v>0</v>
      </c>
      <c r="AC165" s="211">
        <f>'Key Inputs_BY Techs'!W$219</f>
        <v>0</v>
      </c>
      <c r="AD165" s="211">
        <f>'Key Inputs_BY Techs'!X$219</f>
        <v>0</v>
      </c>
      <c r="AE165" s="211">
        <f>'Key Inputs_BY Techs'!Y$219</f>
        <v>0</v>
      </c>
      <c r="AF165" s="211">
        <f>'Key Inputs_BY Techs'!Z$219</f>
        <v>0</v>
      </c>
      <c r="AG165" s="211">
        <f>'Key Inputs_BY Techs'!AA$219</f>
        <v>0</v>
      </c>
      <c r="AH165" s="211">
        <f>'Key Inputs_BY Techs'!AB$219</f>
        <v>0</v>
      </c>
      <c r="AI165" s="211">
        <f>'Key Inputs_BY Techs'!AC$219</f>
        <v>0</v>
      </c>
      <c r="AJ165" s="211">
        <f>'Key Inputs_BY Techs'!AD$219</f>
        <v>0</v>
      </c>
      <c r="AK165" s="211">
        <f>'Key Inputs_BY Techs'!AE$219</f>
        <v>0</v>
      </c>
      <c r="AL165" s="211">
        <f>'Key Inputs_BY Techs'!AF$219</f>
        <v>0</v>
      </c>
      <c r="AM165" s="211">
        <f>'Key Inputs_BY Techs'!AG$219</f>
        <v>0</v>
      </c>
      <c r="AN165" s="211">
        <f>'Key Inputs_BY Techs'!AH$219</f>
        <v>0</v>
      </c>
      <c r="AO165" s="211">
        <f>'Key Inputs_BY Techs'!AI$219</f>
        <v>0</v>
      </c>
      <c r="AP165" s="211">
        <f>'Key Inputs_BY Techs'!AJ$219</f>
        <v>0</v>
      </c>
    </row>
    <row r="166" spans="1:42" x14ac:dyDescent="0.25">
      <c r="A166" s="254" t="s">
        <v>122</v>
      </c>
      <c r="B166" s="254" t="s">
        <v>468</v>
      </c>
      <c r="C166" s="254" t="str">
        <f>Legend!$A$73&amp;", "&amp;Legend!$A$69</f>
        <v>Oil, Liquid biofuels</v>
      </c>
      <c r="D166" s="254" t="str">
        <f>Legend!$B$73&amp;", "&amp;Legend!$B$69</f>
        <v>RSDOIL, RSDBLQ</v>
      </c>
      <c r="E166" s="254" t="str">
        <f t="shared" si="41"/>
        <v>RSDOIL</v>
      </c>
      <c r="F166" s="254"/>
      <c r="G166" s="254"/>
      <c r="I166" s="81" t="str">
        <f>I14</f>
        <v>R-THL-BLR_OIL00</v>
      </c>
      <c r="J166" s="81" t="str">
        <f>J14</f>
        <v>RSD Thermal uses technology: Oil, Liquid biofuels - Existing</v>
      </c>
      <c r="K166" s="81" t="str">
        <f>LEFT(K14,6)</f>
        <v>RSDOIL</v>
      </c>
      <c r="L166" s="87" t="s">
        <v>203</v>
      </c>
      <c r="M166" s="87" t="s">
        <v>174</v>
      </c>
      <c r="N166" s="87" t="s">
        <v>404</v>
      </c>
      <c r="O166" s="290">
        <f>1-'Key Inputs_BY Techs'!I$220</f>
        <v>1</v>
      </c>
      <c r="P166" s="290">
        <f>1-'Key Inputs_BY Techs'!J$220</f>
        <v>1</v>
      </c>
      <c r="Q166" s="290">
        <f>1-'Key Inputs_BY Techs'!K$220</f>
        <v>1</v>
      </c>
      <c r="R166" s="290">
        <f>1-'Key Inputs_BY Techs'!L$220</f>
        <v>1</v>
      </c>
      <c r="S166" s="290">
        <f>1-'Key Inputs_BY Techs'!M$220</f>
        <v>1</v>
      </c>
      <c r="T166" s="290">
        <f>1-'Key Inputs_BY Techs'!N$220</f>
        <v>1</v>
      </c>
      <c r="U166" s="290">
        <f>1-'Key Inputs_BY Techs'!O$220</f>
        <v>1</v>
      </c>
      <c r="V166" s="290">
        <f>1-'Key Inputs_BY Techs'!P$220</f>
        <v>1</v>
      </c>
      <c r="W166" s="290">
        <f>1-'Key Inputs_BY Techs'!Q$220</f>
        <v>1</v>
      </c>
      <c r="X166" s="290">
        <f>1-'Key Inputs_BY Techs'!R$220</f>
        <v>1</v>
      </c>
      <c r="Y166" s="290">
        <f>1-'Key Inputs_BY Techs'!S$220</f>
        <v>1</v>
      </c>
      <c r="Z166" s="290">
        <f>1-'Key Inputs_BY Techs'!T$220</f>
        <v>0.97800489685622227</v>
      </c>
      <c r="AA166" s="290">
        <f>1-'Key Inputs_BY Techs'!U$220</f>
        <v>1</v>
      </c>
      <c r="AB166" s="290">
        <f>1-'Key Inputs_BY Techs'!V$220</f>
        <v>1</v>
      </c>
      <c r="AC166" s="290">
        <f>1-'Key Inputs_BY Techs'!W$220</f>
        <v>1</v>
      </c>
      <c r="AD166" s="290">
        <f>1-'Key Inputs_BY Techs'!X$220</f>
        <v>1</v>
      </c>
      <c r="AE166" s="290">
        <f>1-'Key Inputs_BY Techs'!Y$220</f>
        <v>0.99899157591583843</v>
      </c>
      <c r="AF166" s="290">
        <f>1-'Key Inputs_BY Techs'!Z$220</f>
        <v>1</v>
      </c>
      <c r="AG166" s="290">
        <f>1-'Key Inputs_BY Techs'!AA$220</f>
        <v>1</v>
      </c>
      <c r="AH166" s="290">
        <f>1-'Key Inputs_BY Techs'!AB$220</f>
        <v>1</v>
      </c>
      <c r="AI166" s="290">
        <f>1-'Key Inputs_BY Techs'!AC$220</f>
        <v>0.96535753982956651</v>
      </c>
      <c r="AJ166" s="290">
        <f>1-'Key Inputs_BY Techs'!AD$220</f>
        <v>1</v>
      </c>
      <c r="AK166" s="290">
        <f>1-'Key Inputs_BY Techs'!AE$220</f>
        <v>1</v>
      </c>
      <c r="AL166" s="290">
        <f>1-'Key Inputs_BY Techs'!AF$220</f>
        <v>1</v>
      </c>
      <c r="AM166" s="290">
        <f>1-'Key Inputs_BY Techs'!AG$220</f>
        <v>1</v>
      </c>
      <c r="AN166" s="290">
        <f>1-'Key Inputs_BY Techs'!AH$220</f>
        <v>1</v>
      </c>
      <c r="AO166" s="290">
        <f>1-'Key Inputs_BY Techs'!AI$220</f>
        <v>1</v>
      </c>
      <c r="AP166" s="290">
        <f>1-'Key Inputs_BY Techs'!AJ$220</f>
        <v>0.98089044120598978</v>
      </c>
    </row>
    <row r="167" spans="1:42" x14ac:dyDescent="0.25">
      <c r="A167" s="254" t="s">
        <v>122</v>
      </c>
      <c r="B167" s="254" t="s">
        <v>469</v>
      </c>
      <c r="C167" s="254" t="str">
        <f>Legend!$A$73&amp;", "&amp;Legend!$A$69</f>
        <v>Oil, Liquid biofuels</v>
      </c>
      <c r="D167" s="254" t="str">
        <f>Legend!$B$73&amp;", "&amp;Legend!$B$69</f>
        <v>RSDOIL, RSDBLQ</v>
      </c>
      <c r="E167" s="254" t="str">
        <f t="shared" ref="E167" si="43">LEFT(D167,6)</f>
        <v>RSDOIL</v>
      </c>
      <c r="F167" s="254"/>
      <c r="G167" s="254"/>
      <c r="I167" s="81" t="str">
        <f>I24</f>
        <v>R-THH-BLR_OIL00</v>
      </c>
      <c r="J167" s="81" t="str">
        <f>J24</f>
        <v>RSD Thermal uses technology: Oil, Liquid biofuels - Existing</v>
      </c>
      <c r="K167" s="81" t="str">
        <f>LEFT(K24,6)</f>
        <v>RSDOIL</v>
      </c>
      <c r="L167" s="87" t="s">
        <v>203</v>
      </c>
      <c r="M167" s="87" t="s">
        <v>174</v>
      </c>
      <c r="N167" s="87" t="s">
        <v>404</v>
      </c>
      <c r="O167" s="290">
        <f>1-'Key Inputs_BY Techs'!I$220</f>
        <v>1</v>
      </c>
      <c r="P167" s="290">
        <f>1-'Key Inputs_BY Techs'!J$220</f>
        <v>1</v>
      </c>
      <c r="Q167" s="290">
        <f>1-'Key Inputs_BY Techs'!K$220</f>
        <v>1</v>
      </c>
      <c r="R167" s="290">
        <f>1-'Key Inputs_BY Techs'!L$220</f>
        <v>1</v>
      </c>
      <c r="S167" s="290">
        <f>1-'Key Inputs_BY Techs'!M$220</f>
        <v>1</v>
      </c>
      <c r="T167" s="290">
        <f>1-'Key Inputs_BY Techs'!N$220</f>
        <v>1</v>
      </c>
      <c r="U167" s="290">
        <f>1-'Key Inputs_BY Techs'!O$220</f>
        <v>1</v>
      </c>
      <c r="V167" s="290">
        <f>1-'Key Inputs_BY Techs'!P$220</f>
        <v>1</v>
      </c>
      <c r="W167" s="290">
        <f>1-'Key Inputs_BY Techs'!Q$220</f>
        <v>1</v>
      </c>
      <c r="X167" s="290">
        <f>1-'Key Inputs_BY Techs'!R$220</f>
        <v>1</v>
      </c>
      <c r="Y167" s="290">
        <f>1-'Key Inputs_BY Techs'!S$220</f>
        <v>1</v>
      </c>
      <c r="Z167" s="290">
        <f>1-'Key Inputs_BY Techs'!T$220</f>
        <v>0.97800489685622227</v>
      </c>
      <c r="AA167" s="290">
        <f>1-'Key Inputs_BY Techs'!U$220</f>
        <v>1</v>
      </c>
      <c r="AB167" s="290">
        <f>1-'Key Inputs_BY Techs'!V$220</f>
        <v>1</v>
      </c>
      <c r="AC167" s="290">
        <f>1-'Key Inputs_BY Techs'!W$220</f>
        <v>1</v>
      </c>
      <c r="AD167" s="290">
        <f>1-'Key Inputs_BY Techs'!X$220</f>
        <v>1</v>
      </c>
      <c r="AE167" s="290">
        <f>1-'Key Inputs_BY Techs'!Y$220</f>
        <v>0.99899157591583843</v>
      </c>
      <c r="AF167" s="290">
        <f>1-'Key Inputs_BY Techs'!Z$220</f>
        <v>1</v>
      </c>
      <c r="AG167" s="290">
        <f>1-'Key Inputs_BY Techs'!AA$220</f>
        <v>1</v>
      </c>
      <c r="AH167" s="290">
        <f>1-'Key Inputs_BY Techs'!AB$220</f>
        <v>1</v>
      </c>
      <c r="AI167" s="290">
        <f>1-'Key Inputs_BY Techs'!AC$220</f>
        <v>0.96535753982956651</v>
      </c>
      <c r="AJ167" s="290">
        <f>1-'Key Inputs_BY Techs'!AD$220</f>
        <v>1</v>
      </c>
      <c r="AK167" s="290">
        <f>1-'Key Inputs_BY Techs'!AE$220</f>
        <v>1</v>
      </c>
      <c r="AL167" s="290">
        <f>1-'Key Inputs_BY Techs'!AF$220</f>
        <v>1</v>
      </c>
      <c r="AM167" s="290">
        <f>1-'Key Inputs_BY Techs'!AG$220</f>
        <v>1</v>
      </c>
      <c r="AN167" s="290">
        <f>1-'Key Inputs_BY Techs'!AH$220</f>
        <v>1</v>
      </c>
      <c r="AO167" s="290">
        <f>1-'Key Inputs_BY Techs'!AI$220</f>
        <v>1</v>
      </c>
      <c r="AP167" s="290">
        <f>1-'Key Inputs_BY Techs'!AJ$220</f>
        <v>0.98089044120598978</v>
      </c>
    </row>
    <row r="168" spans="1:42" x14ac:dyDescent="0.25">
      <c r="A168" s="254" t="s">
        <v>124</v>
      </c>
      <c r="B168" s="254" t="s">
        <v>470</v>
      </c>
      <c r="C168" s="254" t="str">
        <f>Legend!$A$71&amp;", "&amp;Legend!$A$63&amp;", "&amp;Legend!$A$72</f>
        <v>Natural gas, Biogas, Manufactured gas</v>
      </c>
      <c r="D168" s="254" t="str">
        <f>Legend!$B$71&amp;", "&amp;Legend!$B$63&amp;", "&amp;Legend!$B$72</f>
        <v>RSDGAS, RSDBGS, RSDGAM</v>
      </c>
      <c r="E168" s="254" t="str">
        <f t="shared" si="41"/>
        <v>RSDGAS</v>
      </c>
      <c r="F168" s="254"/>
      <c r="G168" s="254"/>
      <c r="I168" s="81" t="str">
        <f>I26</f>
        <v>R-ACL_GAS00</v>
      </c>
      <c r="J168" s="81" t="str">
        <f>J26</f>
        <v>RSD Air conditioning technology: Natural gas, Biogas, Manufactured gas - Existing</v>
      </c>
      <c r="K168" s="81" t="str">
        <f>LEFT(K26,6)</f>
        <v>RSDGAS</v>
      </c>
      <c r="L168" s="87" t="s">
        <v>203</v>
      </c>
      <c r="M168" s="87" t="s">
        <v>174</v>
      </c>
      <c r="N168" s="87" t="s">
        <v>404</v>
      </c>
      <c r="O168" s="213">
        <f>1-'Key Inputs_BY Techs'!I$218-'Key Inputs_BY Techs'!I$219</f>
        <v>1</v>
      </c>
      <c r="P168" s="213">
        <f>1-'Key Inputs_BY Techs'!J$218-'Key Inputs_BY Techs'!J$219</f>
        <v>1</v>
      </c>
      <c r="Q168" s="213">
        <f>1-'Key Inputs_BY Techs'!K$218-'Key Inputs_BY Techs'!K$219</f>
        <v>1</v>
      </c>
      <c r="R168" s="213">
        <f>1-'Key Inputs_BY Techs'!L$218-'Key Inputs_BY Techs'!L$219</f>
        <v>1</v>
      </c>
      <c r="S168" s="213">
        <f>1-'Key Inputs_BY Techs'!M$218-'Key Inputs_BY Techs'!M$219</f>
        <v>1</v>
      </c>
      <c r="T168" s="213">
        <f>1-'Key Inputs_BY Techs'!N$218-'Key Inputs_BY Techs'!N$219</f>
        <v>1</v>
      </c>
      <c r="U168" s="213">
        <f>1-'Key Inputs_BY Techs'!O$218-'Key Inputs_BY Techs'!O$219</f>
        <v>0.99968789013732839</v>
      </c>
      <c r="V168" s="213">
        <f>1-'Key Inputs_BY Techs'!P$218-'Key Inputs_BY Techs'!P$219</f>
        <v>0.98421123646366515</v>
      </c>
      <c r="W168" s="213">
        <f>1-'Key Inputs_BY Techs'!Q$218-'Key Inputs_BY Techs'!Q$219</f>
        <v>1</v>
      </c>
      <c r="X168" s="213">
        <f>1-'Key Inputs_BY Techs'!R$218-'Key Inputs_BY Techs'!R$219</f>
        <v>1</v>
      </c>
      <c r="Y168" s="213">
        <f>1-'Key Inputs_BY Techs'!S$218-'Key Inputs_BY Techs'!S$219</f>
        <v>0.99942799942799943</v>
      </c>
      <c r="Z168" s="213">
        <f>1-'Key Inputs_BY Techs'!T$218-'Key Inputs_BY Techs'!T$219</f>
        <v>0.99271623245252438</v>
      </c>
      <c r="AA168" s="213">
        <f>1-'Key Inputs_BY Techs'!U$218-'Key Inputs_BY Techs'!U$219</f>
        <v>1</v>
      </c>
      <c r="AB168" s="213">
        <f>1-'Key Inputs_BY Techs'!V$218-'Key Inputs_BY Techs'!V$219</f>
        <v>1</v>
      </c>
      <c r="AC168" s="213">
        <f>1-'Key Inputs_BY Techs'!W$218-'Key Inputs_BY Techs'!W$219</f>
        <v>1</v>
      </c>
      <c r="AD168" s="213">
        <f>1-'Key Inputs_BY Techs'!X$218-'Key Inputs_BY Techs'!X$219</f>
        <v>1</v>
      </c>
      <c r="AE168" s="213">
        <f>1-'Key Inputs_BY Techs'!Y$218-'Key Inputs_BY Techs'!Y$219</f>
        <v>0.99451149908862901</v>
      </c>
      <c r="AF168" s="213">
        <f>1-'Key Inputs_BY Techs'!Z$218-'Key Inputs_BY Techs'!Z$219</f>
        <v>0.64285714285714279</v>
      </c>
      <c r="AG168" s="213">
        <f>1-'Key Inputs_BY Techs'!AA$218-'Key Inputs_BY Techs'!AA$219</f>
        <v>1</v>
      </c>
      <c r="AH168" s="213">
        <f>1-'Key Inputs_BY Techs'!AB$218-'Key Inputs_BY Techs'!AB$219</f>
        <v>1</v>
      </c>
      <c r="AI168" s="213">
        <f>1-'Key Inputs_BY Techs'!AC$218-'Key Inputs_BY Techs'!AC$219</f>
        <v>0.99999477784972746</v>
      </c>
      <c r="AJ168" s="213">
        <f>1-'Key Inputs_BY Techs'!AD$218-'Key Inputs_BY Techs'!AD$219</f>
        <v>1</v>
      </c>
      <c r="AK168" s="213">
        <f>1-'Key Inputs_BY Techs'!AE$218-'Key Inputs_BY Techs'!AE$219</f>
        <v>1</v>
      </c>
      <c r="AL168" s="213">
        <f>1-'Key Inputs_BY Techs'!AF$218-'Key Inputs_BY Techs'!AF$219</f>
        <v>1</v>
      </c>
      <c r="AM168" s="213">
        <f>1-'Key Inputs_BY Techs'!AG$218-'Key Inputs_BY Techs'!AG$219</f>
        <v>1</v>
      </c>
      <c r="AN168" s="213">
        <f>1-'Key Inputs_BY Techs'!AH$218-'Key Inputs_BY Techs'!AH$219</f>
        <v>1</v>
      </c>
      <c r="AO168" s="213">
        <f>1-'Key Inputs_BY Techs'!AI$218-'Key Inputs_BY Techs'!AI$219</f>
        <v>1</v>
      </c>
      <c r="AP168" s="213">
        <f>1-'Key Inputs_BY Techs'!AJ$218-'Key Inputs_BY Techs'!AJ$219</f>
        <v>1</v>
      </c>
    </row>
    <row r="169" spans="1:42" x14ac:dyDescent="0.25">
      <c r="A169" s="254" t="s">
        <v>124</v>
      </c>
      <c r="B169" s="254" t="s">
        <v>470</v>
      </c>
      <c r="C169" s="254" t="str">
        <f>Legend!$A$71&amp;", "&amp;Legend!$A$63&amp;", "&amp;Legend!$A$72</f>
        <v>Natural gas, Biogas, Manufactured gas</v>
      </c>
      <c r="D169" s="254" t="str">
        <f>Legend!$B$71&amp;", "&amp;Legend!$B$63&amp;", "&amp;Legend!$B$72</f>
        <v>RSDGAS, RSDBGS, RSDGAM</v>
      </c>
      <c r="E169" s="254" t="str">
        <f>RIGHT(D169,6)</f>
        <v>RSDGAM</v>
      </c>
      <c r="F169" s="254"/>
      <c r="G169" s="254"/>
      <c r="I169" s="81" t="str">
        <f>I26</f>
        <v>R-ACL_GAS00</v>
      </c>
      <c r="J169" s="81" t="str">
        <f>J26</f>
        <v>RSD Air conditioning technology: Natural gas, Biogas, Manufactured gas - Existing</v>
      </c>
      <c r="K169" s="81" t="str">
        <f>RIGHT(K26,6)</f>
        <v>RSDGAM</v>
      </c>
      <c r="L169" s="87" t="s">
        <v>203</v>
      </c>
      <c r="M169" s="87" t="s">
        <v>174</v>
      </c>
      <c r="N169" s="87" t="s">
        <v>404</v>
      </c>
      <c r="O169" s="211">
        <f>'Key Inputs_BY Techs'!I$219</f>
        <v>0</v>
      </c>
      <c r="P169" s="211">
        <f>'Key Inputs_BY Techs'!J$219</f>
        <v>0</v>
      </c>
      <c r="Q169" s="211">
        <f>'Key Inputs_BY Techs'!K$219</f>
        <v>0</v>
      </c>
      <c r="R169" s="211">
        <f>'Key Inputs_BY Techs'!L$219</f>
        <v>0</v>
      </c>
      <c r="S169" s="211">
        <f>'Key Inputs_BY Techs'!M$219</f>
        <v>0</v>
      </c>
      <c r="T169" s="211">
        <f>'Key Inputs_BY Techs'!N$219</f>
        <v>0</v>
      </c>
      <c r="U169" s="211">
        <f>'Key Inputs_BY Techs'!O$219</f>
        <v>0</v>
      </c>
      <c r="V169" s="211">
        <f>'Key Inputs_BY Techs'!P$219</f>
        <v>0</v>
      </c>
      <c r="W169" s="211">
        <f>'Key Inputs_BY Techs'!Q$219</f>
        <v>0</v>
      </c>
      <c r="X169" s="211">
        <f>'Key Inputs_BY Techs'!R$219</f>
        <v>0</v>
      </c>
      <c r="Y169" s="211">
        <f>'Key Inputs_BY Techs'!S$219</f>
        <v>0</v>
      </c>
      <c r="Z169" s="211">
        <f>'Key Inputs_BY Techs'!T$219</f>
        <v>7.2837675474756117E-3</v>
      </c>
      <c r="AA169" s="211">
        <f>'Key Inputs_BY Techs'!U$219</f>
        <v>0</v>
      </c>
      <c r="AB169" s="211">
        <f>'Key Inputs_BY Techs'!V$219</f>
        <v>0</v>
      </c>
      <c r="AC169" s="211">
        <f>'Key Inputs_BY Techs'!W$219</f>
        <v>0</v>
      </c>
      <c r="AD169" s="211">
        <f>'Key Inputs_BY Techs'!X$219</f>
        <v>0</v>
      </c>
      <c r="AE169" s="211">
        <f>'Key Inputs_BY Techs'!Y$219</f>
        <v>0</v>
      </c>
      <c r="AF169" s="211">
        <f>'Key Inputs_BY Techs'!Z$219</f>
        <v>0</v>
      </c>
      <c r="AG169" s="211">
        <f>'Key Inputs_BY Techs'!AA$219</f>
        <v>0</v>
      </c>
      <c r="AH169" s="211">
        <f>'Key Inputs_BY Techs'!AB$219</f>
        <v>0</v>
      </c>
      <c r="AI169" s="211">
        <f>'Key Inputs_BY Techs'!AC$219</f>
        <v>0</v>
      </c>
      <c r="AJ169" s="211">
        <f>'Key Inputs_BY Techs'!AD$219</f>
        <v>0</v>
      </c>
      <c r="AK169" s="211">
        <f>'Key Inputs_BY Techs'!AE$219</f>
        <v>0</v>
      </c>
      <c r="AL169" s="211">
        <f>'Key Inputs_BY Techs'!AF$219</f>
        <v>0</v>
      </c>
      <c r="AM169" s="211">
        <f>'Key Inputs_BY Techs'!AG$219</f>
        <v>0</v>
      </c>
      <c r="AN169" s="211">
        <f>'Key Inputs_BY Techs'!AH$219</f>
        <v>0</v>
      </c>
      <c r="AO169" s="211">
        <f>'Key Inputs_BY Techs'!AI$219</f>
        <v>0</v>
      </c>
      <c r="AP169" s="211">
        <f>'Key Inputs_BY Techs'!AJ$219</f>
        <v>0</v>
      </c>
    </row>
    <row r="170" spans="1:42" x14ac:dyDescent="0.25">
      <c r="A170" s="254" t="s">
        <v>124</v>
      </c>
      <c r="B170" s="254" t="s">
        <v>471</v>
      </c>
      <c r="C170" s="254" t="str">
        <f>Legend!$A$71&amp;", "&amp;Legend!$A$63&amp;", "&amp;Legend!$A$72</f>
        <v>Natural gas, Biogas, Manufactured gas</v>
      </c>
      <c r="D170" s="254" t="str">
        <f>Legend!$B$71&amp;", "&amp;Legend!$B$63&amp;", "&amp;Legend!$B$72</f>
        <v>RSDGAS, RSDBGS, RSDGAM</v>
      </c>
      <c r="E170" s="254" t="str">
        <f t="shared" si="41"/>
        <v>RSDGAS</v>
      </c>
      <c r="F170" s="254"/>
      <c r="G170" s="254"/>
      <c r="I170" s="81" t="str">
        <f t="shared" ref="I170:J170" si="44">I28</f>
        <v>R-ACH_GAS00</v>
      </c>
      <c r="J170" s="81" t="str">
        <f t="shared" si="44"/>
        <v>RSD Air conditioning technology: Natural gas, Biogas, Manufactured gas - Existing</v>
      </c>
      <c r="K170" s="81" t="str">
        <f t="shared" ref="K170" si="45">LEFT(K28,6)</f>
        <v>RSDGAS</v>
      </c>
      <c r="L170" s="87" t="s">
        <v>203</v>
      </c>
      <c r="M170" s="87" t="s">
        <v>174</v>
      </c>
      <c r="N170" s="87" t="s">
        <v>404</v>
      </c>
      <c r="O170" s="213">
        <f>1-'Key Inputs_BY Techs'!I$218-'Key Inputs_BY Techs'!I$219</f>
        <v>1</v>
      </c>
      <c r="P170" s="213">
        <f>1-'Key Inputs_BY Techs'!J$218-'Key Inputs_BY Techs'!J$219</f>
        <v>1</v>
      </c>
      <c r="Q170" s="213">
        <f>1-'Key Inputs_BY Techs'!K$218-'Key Inputs_BY Techs'!K$219</f>
        <v>1</v>
      </c>
      <c r="R170" s="213">
        <f>1-'Key Inputs_BY Techs'!L$218-'Key Inputs_BY Techs'!L$219</f>
        <v>1</v>
      </c>
      <c r="S170" s="213">
        <f>1-'Key Inputs_BY Techs'!M$218-'Key Inputs_BY Techs'!M$219</f>
        <v>1</v>
      </c>
      <c r="T170" s="213">
        <f>1-'Key Inputs_BY Techs'!N$218-'Key Inputs_BY Techs'!N$219</f>
        <v>1</v>
      </c>
      <c r="U170" s="213">
        <f>1-'Key Inputs_BY Techs'!O$218-'Key Inputs_BY Techs'!O$219</f>
        <v>0.99968789013732839</v>
      </c>
      <c r="V170" s="213">
        <f>1-'Key Inputs_BY Techs'!P$218-'Key Inputs_BY Techs'!P$219</f>
        <v>0.98421123646366515</v>
      </c>
      <c r="W170" s="213">
        <f>1-'Key Inputs_BY Techs'!Q$218-'Key Inputs_BY Techs'!Q$219</f>
        <v>1</v>
      </c>
      <c r="X170" s="213">
        <f>1-'Key Inputs_BY Techs'!R$218-'Key Inputs_BY Techs'!R$219</f>
        <v>1</v>
      </c>
      <c r="Y170" s="213">
        <f>1-'Key Inputs_BY Techs'!S$218-'Key Inputs_BY Techs'!S$219</f>
        <v>0.99942799942799943</v>
      </c>
      <c r="Z170" s="213">
        <f>1-'Key Inputs_BY Techs'!T$218-'Key Inputs_BY Techs'!T$219</f>
        <v>0.99271623245252438</v>
      </c>
      <c r="AA170" s="213">
        <f>1-'Key Inputs_BY Techs'!U$218-'Key Inputs_BY Techs'!U$219</f>
        <v>1</v>
      </c>
      <c r="AB170" s="213">
        <f>1-'Key Inputs_BY Techs'!V$218-'Key Inputs_BY Techs'!V$219</f>
        <v>1</v>
      </c>
      <c r="AC170" s="213">
        <f>1-'Key Inputs_BY Techs'!W$218-'Key Inputs_BY Techs'!W$219</f>
        <v>1</v>
      </c>
      <c r="AD170" s="213">
        <f>1-'Key Inputs_BY Techs'!X$218-'Key Inputs_BY Techs'!X$219</f>
        <v>1</v>
      </c>
      <c r="AE170" s="213">
        <f>1-'Key Inputs_BY Techs'!Y$218-'Key Inputs_BY Techs'!Y$219</f>
        <v>0.99451149908862901</v>
      </c>
      <c r="AF170" s="213">
        <f>1-'Key Inputs_BY Techs'!Z$218-'Key Inputs_BY Techs'!Z$219</f>
        <v>0.64285714285714279</v>
      </c>
      <c r="AG170" s="213">
        <f>1-'Key Inputs_BY Techs'!AA$218-'Key Inputs_BY Techs'!AA$219</f>
        <v>1</v>
      </c>
      <c r="AH170" s="213">
        <f>1-'Key Inputs_BY Techs'!AB$218-'Key Inputs_BY Techs'!AB$219</f>
        <v>1</v>
      </c>
      <c r="AI170" s="213">
        <f>1-'Key Inputs_BY Techs'!AC$218-'Key Inputs_BY Techs'!AC$219</f>
        <v>0.99999477784972746</v>
      </c>
      <c r="AJ170" s="213">
        <f>1-'Key Inputs_BY Techs'!AD$218-'Key Inputs_BY Techs'!AD$219</f>
        <v>1</v>
      </c>
      <c r="AK170" s="213">
        <f>1-'Key Inputs_BY Techs'!AE$218-'Key Inputs_BY Techs'!AE$219</f>
        <v>1</v>
      </c>
      <c r="AL170" s="213">
        <f>1-'Key Inputs_BY Techs'!AF$218-'Key Inputs_BY Techs'!AF$219</f>
        <v>1</v>
      </c>
      <c r="AM170" s="213">
        <f>1-'Key Inputs_BY Techs'!AG$218-'Key Inputs_BY Techs'!AG$219</f>
        <v>1</v>
      </c>
      <c r="AN170" s="213">
        <f>1-'Key Inputs_BY Techs'!AH$218-'Key Inputs_BY Techs'!AH$219</f>
        <v>1</v>
      </c>
      <c r="AO170" s="213">
        <f>1-'Key Inputs_BY Techs'!AI$218-'Key Inputs_BY Techs'!AI$219</f>
        <v>1</v>
      </c>
      <c r="AP170" s="213">
        <f>1-'Key Inputs_BY Techs'!AJ$218-'Key Inputs_BY Techs'!AJ$219</f>
        <v>1</v>
      </c>
    </row>
    <row r="171" spans="1:42" x14ac:dyDescent="0.25">
      <c r="A171" s="254" t="s">
        <v>124</v>
      </c>
      <c r="B171" s="254" t="s">
        <v>471</v>
      </c>
      <c r="C171" s="254" t="str">
        <f>Legend!$A$71&amp;", "&amp;Legend!$A$63&amp;", "&amp;Legend!$A$72</f>
        <v>Natural gas, Biogas, Manufactured gas</v>
      </c>
      <c r="D171" s="254" t="str">
        <f>Legend!$B$71&amp;", "&amp;Legend!$B$63&amp;", "&amp;Legend!$B$72</f>
        <v>RSDGAS, RSDBGS, RSDGAM</v>
      </c>
      <c r="E171" s="254" t="str">
        <f>RIGHT(D171,6)</f>
        <v>RSDGAM</v>
      </c>
      <c r="F171" s="254"/>
      <c r="G171" s="254"/>
      <c r="I171" s="81" t="str">
        <f>I28</f>
        <v>R-ACH_GAS00</v>
      </c>
      <c r="J171" s="81" t="str">
        <f t="shared" ref="J171" si="46">J29</f>
        <v>RSD Air conditioning technology: Electricity - Existing</v>
      </c>
      <c r="K171" s="81" t="str">
        <f>RIGHT(K28,6)</f>
        <v>RSDGAM</v>
      </c>
      <c r="L171" s="87" t="s">
        <v>203</v>
      </c>
      <c r="M171" s="87" t="s">
        <v>174</v>
      </c>
      <c r="N171" s="87" t="s">
        <v>404</v>
      </c>
      <c r="O171" s="211">
        <f>'Key Inputs_BY Techs'!I$219</f>
        <v>0</v>
      </c>
      <c r="P171" s="211">
        <f>'Key Inputs_BY Techs'!J$219</f>
        <v>0</v>
      </c>
      <c r="Q171" s="211">
        <f>'Key Inputs_BY Techs'!K$219</f>
        <v>0</v>
      </c>
      <c r="R171" s="211">
        <f>'Key Inputs_BY Techs'!L$219</f>
        <v>0</v>
      </c>
      <c r="S171" s="211">
        <f>'Key Inputs_BY Techs'!M$219</f>
        <v>0</v>
      </c>
      <c r="T171" s="211">
        <f>'Key Inputs_BY Techs'!N$219</f>
        <v>0</v>
      </c>
      <c r="U171" s="211">
        <f>'Key Inputs_BY Techs'!O$219</f>
        <v>0</v>
      </c>
      <c r="V171" s="211">
        <f>'Key Inputs_BY Techs'!P$219</f>
        <v>0</v>
      </c>
      <c r="W171" s="211">
        <f>'Key Inputs_BY Techs'!Q$219</f>
        <v>0</v>
      </c>
      <c r="X171" s="211">
        <f>'Key Inputs_BY Techs'!R$219</f>
        <v>0</v>
      </c>
      <c r="Y171" s="211">
        <f>'Key Inputs_BY Techs'!S$219</f>
        <v>0</v>
      </c>
      <c r="Z171" s="211">
        <f>'Key Inputs_BY Techs'!T$219</f>
        <v>7.2837675474756117E-3</v>
      </c>
      <c r="AA171" s="211">
        <f>'Key Inputs_BY Techs'!U$219</f>
        <v>0</v>
      </c>
      <c r="AB171" s="211">
        <f>'Key Inputs_BY Techs'!V$219</f>
        <v>0</v>
      </c>
      <c r="AC171" s="211">
        <f>'Key Inputs_BY Techs'!W$219</f>
        <v>0</v>
      </c>
      <c r="AD171" s="211">
        <f>'Key Inputs_BY Techs'!X$219</f>
        <v>0</v>
      </c>
      <c r="AE171" s="211">
        <f>'Key Inputs_BY Techs'!Y$219</f>
        <v>0</v>
      </c>
      <c r="AF171" s="211">
        <f>'Key Inputs_BY Techs'!Z$219</f>
        <v>0</v>
      </c>
      <c r="AG171" s="211">
        <f>'Key Inputs_BY Techs'!AA$219</f>
        <v>0</v>
      </c>
      <c r="AH171" s="211">
        <f>'Key Inputs_BY Techs'!AB$219</f>
        <v>0</v>
      </c>
      <c r="AI171" s="211">
        <f>'Key Inputs_BY Techs'!AC$219</f>
        <v>0</v>
      </c>
      <c r="AJ171" s="211">
        <f>'Key Inputs_BY Techs'!AD$219</f>
        <v>0</v>
      </c>
      <c r="AK171" s="211">
        <f>'Key Inputs_BY Techs'!AE$219</f>
        <v>0</v>
      </c>
      <c r="AL171" s="211">
        <f>'Key Inputs_BY Techs'!AF$219</f>
        <v>0</v>
      </c>
      <c r="AM171" s="211">
        <f>'Key Inputs_BY Techs'!AG$219</f>
        <v>0</v>
      </c>
      <c r="AN171" s="211">
        <f>'Key Inputs_BY Techs'!AH$219</f>
        <v>0</v>
      </c>
      <c r="AO171" s="211">
        <f>'Key Inputs_BY Techs'!AI$219</f>
        <v>0</v>
      </c>
      <c r="AP171" s="211">
        <f>'Key Inputs_BY Techs'!AJ$219</f>
        <v>0</v>
      </c>
    </row>
    <row r="172" spans="1:42" x14ac:dyDescent="0.25">
      <c r="A172" s="254" t="s">
        <v>119</v>
      </c>
      <c r="B172" s="254" t="s">
        <v>118</v>
      </c>
      <c r="C172" s="254" t="str">
        <f>Legend!$A$71&amp;", "&amp;Legend!$A$63&amp;", "&amp;Legend!$A$72</f>
        <v>Natural gas, Biogas, Manufactured gas</v>
      </c>
      <c r="D172" s="254" t="str">
        <f>Legend!$B$71&amp;", "&amp;Legend!$B$63&amp;", "&amp;Legend!$B$72</f>
        <v>RSDGAS, RSDBGS, RSDGAM</v>
      </c>
      <c r="E172" s="254" t="str">
        <f t="shared" si="41"/>
        <v>RSDGAS</v>
      </c>
      <c r="F172" s="254"/>
      <c r="G172" s="254"/>
      <c r="I172" s="81" t="str">
        <f>I33</f>
        <v>R-CK_GAS00</v>
      </c>
      <c r="J172" s="81" t="str">
        <f>J33</f>
        <v>RSD Cooking technology: Natural gas, Biogas, Manufactured gas - Existing</v>
      </c>
      <c r="K172" s="81" t="str">
        <f>LEFT(K33,6)</f>
        <v>RSDGAS</v>
      </c>
      <c r="L172" s="87" t="s">
        <v>203</v>
      </c>
      <c r="M172" s="87" t="s">
        <v>174</v>
      </c>
      <c r="N172" s="87" t="s">
        <v>404</v>
      </c>
      <c r="O172" s="213">
        <f>1-'Key Inputs_BY Techs'!I$218-'Key Inputs_BY Techs'!I$219</f>
        <v>1</v>
      </c>
      <c r="P172" s="213">
        <f>1-'Key Inputs_BY Techs'!J$218-'Key Inputs_BY Techs'!J$219</f>
        <v>1</v>
      </c>
      <c r="Q172" s="213">
        <f>1-'Key Inputs_BY Techs'!K$218-'Key Inputs_BY Techs'!K$219</f>
        <v>1</v>
      </c>
      <c r="R172" s="213">
        <f>1-'Key Inputs_BY Techs'!L$218-'Key Inputs_BY Techs'!L$219</f>
        <v>1</v>
      </c>
      <c r="S172" s="213">
        <f>1-'Key Inputs_BY Techs'!M$218-'Key Inputs_BY Techs'!M$219</f>
        <v>1</v>
      </c>
      <c r="T172" s="213">
        <f>1-'Key Inputs_BY Techs'!N$218-'Key Inputs_BY Techs'!N$219</f>
        <v>1</v>
      </c>
      <c r="U172" s="213">
        <f>1-'Key Inputs_BY Techs'!O$218-'Key Inputs_BY Techs'!O$219</f>
        <v>0.99968789013732839</v>
      </c>
      <c r="V172" s="213">
        <f>1-'Key Inputs_BY Techs'!P$218-'Key Inputs_BY Techs'!P$219</f>
        <v>0.98421123646366515</v>
      </c>
      <c r="W172" s="213">
        <f>1-'Key Inputs_BY Techs'!Q$218-'Key Inputs_BY Techs'!Q$219</f>
        <v>1</v>
      </c>
      <c r="X172" s="213">
        <f>1-'Key Inputs_BY Techs'!R$218-'Key Inputs_BY Techs'!R$219</f>
        <v>1</v>
      </c>
      <c r="Y172" s="213">
        <f>1-'Key Inputs_BY Techs'!S$218-'Key Inputs_BY Techs'!S$219</f>
        <v>0.99942799942799943</v>
      </c>
      <c r="Z172" s="213">
        <f>1-'Key Inputs_BY Techs'!T$218-'Key Inputs_BY Techs'!T$219</f>
        <v>0.99271623245252438</v>
      </c>
      <c r="AA172" s="213">
        <f>1-'Key Inputs_BY Techs'!U$218-'Key Inputs_BY Techs'!U$219</f>
        <v>1</v>
      </c>
      <c r="AB172" s="213">
        <f>1-'Key Inputs_BY Techs'!V$218-'Key Inputs_BY Techs'!V$219</f>
        <v>1</v>
      </c>
      <c r="AC172" s="213">
        <f>1-'Key Inputs_BY Techs'!W$218-'Key Inputs_BY Techs'!W$219</f>
        <v>1</v>
      </c>
      <c r="AD172" s="213">
        <f>1-'Key Inputs_BY Techs'!X$218-'Key Inputs_BY Techs'!X$219</f>
        <v>1</v>
      </c>
      <c r="AE172" s="213">
        <f>1-'Key Inputs_BY Techs'!Y$218-'Key Inputs_BY Techs'!Y$219</f>
        <v>0.99451149908862901</v>
      </c>
      <c r="AF172" s="213">
        <f>1-'Key Inputs_BY Techs'!Z$218-'Key Inputs_BY Techs'!Z$219</f>
        <v>0.64285714285714279</v>
      </c>
      <c r="AG172" s="213">
        <f>1-'Key Inputs_BY Techs'!AA$218-'Key Inputs_BY Techs'!AA$219</f>
        <v>1</v>
      </c>
      <c r="AH172" s="213">
        <f>1-'Key Inputs_BY Techs'!AB$218-'Key Inputs_BY Techs'!AB$219</f>
        <v>1</v>
      </c>
      <c r="AI172" s="213">
        <f>1-'Key Inputs_BY Techs'!AC$218-'Key Inputs_BY Techs'!AC$219</f>
        <v>0.99999477784972746</v>
      </c>
      <c r="AJ172" s="213">
        <f>1-'Key Inputs_BY Techs'!AD$218-'Key Inputs_BY Techs'!AD$219</f>
        <v>1</v>
      </c>
      <c r="AK172" s="213">
        <f>1-'Key Inputs_BY Techs'!AE$218-'Key Inputs_BY Techs'!AE$219</f>
        <v>1</v>
      </c>
      <c r="AL172" s="213">
        <f>1-'Key Inputs_BY Techs'!AF$218-'Key Inputs_BY Techs'!AF$219</f>
        <v>1</v>
      </c>
      <c r="AM172" s="213">
        <f>1-'Key Inputs_BY Techs'!AG$218-'Key Inputs_BY Techs'!AG$219</f>
        <v>1</v>
      </c>
      <c r="AN172" s="213">
        <f>1-'Key Inputs_BY Techs'!AH$218-'Key Inputs_BY Techs'!AH$219</f>
        <v>1</v>
      </c>
      <c r="AO172" s="213">
        <f>1-'Key Inputs_BY Techs'!AI$218-'Key Inputs_BY Techs'!AI$219</f>
        <v>1</v>
      </c>
      <c r="AP172" s="213">
        <f>1-'Key Inputs_BY Techs'!AJ$218-'Key Inputs_BY Techs'!AJ$219</f>
        <v>1</v>
      </c>
    </row>
    <row r="173" spans="1:42" x14ac:dyDescent="0.25">
      <c r="A173" s="254" t="s">
        <v>119</v>
      </c>
      <c r="B173" s="254" t="s">
        <v>118</v>
      </c>
      <c r="C173" s="254" t="str">
        <f>Legend!$A$71&amp;", "&amp;Legend!$A$63&amp;", "&amp;Legend!$A$72</f>
        <v>Natural gas, Biogas, Manufactured gas</v>
      </c>
      <c r="D173" s="254" t="str">
        <f>Legend!$B$71&amp;", "&amp;Legend!$B$63&amp;", "&amp;Legend!$B$72</f>
        <v>RSDGAS, RSDBGS, RSDGAM</v>
      </c>
      <c r="E173" s="254" t="str">
        <f>RIGHT(D173,6)</f>
        <v>RSDGAM</v>
      </c>
      <c r="F173" s="254"/>
      <c r="G173" s="254"/>
      <c r="I173" s="81" t="str">
        <f>I33</f>
        <v>R-CK_GAS00</v>
      </c>
      <c r="J173" s="81" t="str">
        <f>J33</f>
        <v>RSD Cooking technology: Natural gas, Biogas, Manufactured gas - Existing</v>
      </c>
      <c r="K173" s="81" t="str">
        <f>RIGHT(K33,6)</f>
        <v>RSDGAM</v>
      </c>
      <c r="L173" s="87" t="s">
        <v>203</v>
      </c>
      <c r="M173" s="87" t="s">
        <v>174</v>
      </c>
      <c r="N173" s="87" t="s">
        <v>404</v>
      </c>
      <c r="O173" s="215">
        <f>'Key Inputs_BY Techs'!I$219</f>
        <v>0</v>
      </c>
      <c r="P173" s="215">
        <f>'Key Inputs_BY Techs'!J$219</f>
        <v>0</v>
      </c>
      <c r="Q173" s="215">
        <f>'Key Inputs_BY Techs'!K$219</f>
        <v>0</v>
      </c>
      <c r="R173" s="215">
        <f>'Key Inputs_BY Techs'!L$219</f>
        <v>0</v>
      </c>
      <c r="S173" s="215">
        <f>'Key Inputs_BY Techs'!M$219</f>
        <v>0</v>
      </c>
      <c r="T173" s="215">
        <f>'Key Inputs_BY Techs'!N$219</f>
        <v>0</v>
      </c>
      <c r="U173" s="215">
        <f>'Key Inputs_BY Techs'!O$219</f>
        <v>0</v>
      </c>
      <c r="V173" s="215">
        <f>'Key Inputs_BY Techs'!P$219</f>
        <v>0</v>
      </c>
      <c r="W173" s="215">
        <f>'Key Inputs_BY Techs'!Q$219</f>
        <v>0</v>
      </c>
      <c r="X173" s="215">
        <f>'Key Inputs_BY Techs'!R$219</f>
        <v>0</v>
      </c>
      <c r="Y173" s="215">
        <f>'Key Inputs_BY Techs'!S$219</f>
        <v>0</v>
      </c>
      <c r="Z173" s="215">
        <f>'Key Inputs_BY Techs'!T$219</f>
        <v>7.2837675474756117E-3</v>
      </c>
      <c r="AA173" s="215">
        <f>'Key Inputs_BY Techs'!U$219</f>
        <v>0</v>
      </c>
      <c r="AB173" s="215">
        <f>'Key Inputs_BY Techs'!V$219</f>
        <v>0</v>
      </c>
      <c r="AC173" s="215">
        <f>'Key Inputs_BY Techs'!W$219</f>
        <v>0</v>
      </c>
      <c r="AD173" s="215">
        <f>'Key Inputs_BY Techs'!X$219</f>
        <v>0</v>
      </c>
      <c r="AE173" s="215">
        <f>'Key Inputs_BY Techs'!Y$219</f>
        <v>0</v>
      </c>
      <c r="AF173" s="215">
        <f>'Key Inputs_BY Techs'!Z$219</f>
        <v>0</v>
      </c>
      <c r="AG173" s="215">
        <f>'Key Inputs_BY Techs'!AA$219</f>
        <v>0</v>
      </c>
      <c r="AH173" s="215">
        <f>'Key Inputs_BY Techs'!AB$219</f>
        <v>0</v>
      </c>
      <c r="AI173" s="215">
        <f>'Key Inputs_BY Techs'!AC$219</f>
        <v>0</v>
      </c>
      <c r="AJ173" s="215">
        <f>'Key Inputs_BY Techs'!AD$219</f>
        <v>0</v>
      </c>
      <c r="AK173" s="215">
        <f>'Key Inputs_BY Techs'!AE$219</f>
        <v>0</v>
      </c>
      <c r="AL173" s="215">
        <f>'Key Inputs_BY Techs'!AF$219</f>
        <v>0</v>
      </c>
      <c r="AM173" s="215">
        <f>'Key Inputs_BY Techs'!AG$219</f>
        <v>0</v>
      </c>
      <c r="AN173" s="215">
        <f>'Key Inputs_BY Techs'!AH$219</f>
        <v>0</v>
      </c>
      <c r="AO173" s="215">
        <f>'Key Inputs_BY Techs'!AI$219</f>
        <v>0</v>
      </c>
      <c r="AP173" s="215">
        <f>'Key Inputs_BY Techs'!AJ$219</f>
        <v>0</v>
      </c>
    </row>
    <row r="174" spans="1:42" x14ac:dyDescent="0.25">
      <c r="A174" s="281" t="s">
        <v>119</v>
      </c>
      <c r="B174" s="281" t="s">
        <v>118</v>
      </c>
      <c r="C174" s="281" t="str">
        <f>Legend!$A$73&amp;", "&amp;Legend!$A$69</f>
        <v>Oil, Liquid biofuels</v>
      </c>
      <c r="D174" s="281" t="str">
        <f>Legend!$B$73&amp;", "&amp;Legend!$B$69</f>
        <v>RSDOIL, RSDBLQ</v>
      </c>
      <c r="E174" s="281" t="str">
        <f t="shared" si="41"/>
        <v>RSDOIL</v>
      </c>
      <c r="F174" s="254"/>
      <c r="G174" s="254"/>
      <c r="I174" s="84" t="str">
        <f>I35</f>
        <v>R-CK_OIL00</v>
      </c>
      <c r="J174" s="84" t="str">
        <f>J35</f>
        <v>RSD Cooking technology: Oil, Liquid biofuels - Existing</v>
      </c>
      <c r="K174" s="84" t="str">
        <f>LEFT(K35,6)</f>
        <v>RSDOIL</v>
      </c>
      <c r="L174" s="92" t="s">
        <v>203</v>
      </c>
      <c r="M174" s="92" t="s">
        <v>174</v>
      </c>
      <c r="N174" s="92" t="s">
        <v>404</v>
      </c>
      <c r="O174" s="290">
        <f>1-'Key Inputs_BY Techs'!I$220</f>
        <v>1</v>
      </c>
      <c r="P174" s="290">
        <f>1-'Key Inputs_BY Techs'!J$220</f>
        <v>1</v>
      </c>
      <c r="Q174" s="290">
        <f>1-'Key Inputs_BY Techs'!K$220</f>
        <v>1</v>
      </c>
      <c r="R174" s="290">
        <f>1-'Key Inputs_BY Techs'!L$220</f>
        <v>1</v>
      </c>
      <c r="S174" s="290">
        <f>1-'Key Inputs_BY Techs'!M$220</f>
        <v>1</v>
      </c>
      <c r="T174" s="290">
        <f>1-'Key Inputs_BY Techs'!N$220</f>
        <v>1</v>
      </c>
      <c r="U174" s="290">
        <f>1-'Key Inputs_BY Techs'!O$220</f>
        <v>1</v>
      </c>
      <c r="V174" s="290">
        <f>1-'Key Inputs_BY Techs'!P$220</f>
        <v>1</v>
      </c>
      <c r="W174" s="290">
        <f>1-'Key Inputs_BY Techs'!Q$220</f>
        <v>1</v>
      </c>
      <c r="X174" s="290">
        <f>1-'Key Inputs_BY Techs'!R$220</f>
        <v>1</v>
      </c>
      <c r="Y174" s="290">
        <f>1-'Key Inputs_BY Techs'!S$220</f>
        <v>1</v>
      </c>
      <c r="Z174" s="290">
        <f>1-'Key Inputs_BY Techs'!T$220</f>
        <v>0.97800489685622227</v>
      </c>
      <c r="AA174" s="290">
        <f>1-'Key Inputs_BY Techs'!U$220</f>
        <v>1</v>
      </c>
      <c r="AB174" s="290">
        <f>1-'Key Inputs_BY Techs'!V$220</f>
        <v>1</v>
      </c>
      <c r="AC174" s="290">
        <f>1-'Key Inputs_BY Techs'!W$220</f>
        <v>1</v>
      </c>
      <c r="AD174" s="290">
        <f>1-'Key Inputs_BY Techs'!X$220</f>
        <v>1</v>
      </c>
      <c r="AE174" s="290">
        <f>1-'Key Inputs_BY Techs'!Y$220</f>
        <v>0.99899157591583843</v>
      </c>
      <c r="AF174" s="290">
        <f>1-'Key Inputs_BY Techs'!Z$220</f>
        <v>1</v>
      </c>
      <c r="AG174" s="290">
        <f>1-'Key Inputs_BY Techs'!AA$220</f>
        <v>1</v>
      </c>
      <c r="AH174" s="290">
        <f>1-'Key Inputs_BY Techs'!AB$220</f>
        <v>1</v>
      </c>
      <c r="AI174" s="290">
        <f>1-'Key Inputs_BY Techs'!AC$220</f>
        <v>0.96535753982956651</v>
      </c>
      <c r="AJ174" s="290">
        <f>1-'Key Inputs_BY Techs'!AD$220</f>
        <v>1</v>
      </c>
      <c r="AK174" s="290">
        <f>1-'Key Inputs_BY Techs'!AE$220</f>
        <v>1</v>
      </c>
      <c r="AL174" s="290">
        <f>1-'Key Inputs_BY Techs'!AF$220</f>
        <v>1</v>
      </c>
      <c r="AM174" s="290">
        <f>1-'Key Inputs_BY Techs'!AG$220</f>
        <v>1</v>
      </c>
      <c r="AN174" s="290">
        <f>1-'Key Inputs_BY Techs'!AH$220</f>
        <v>1</v>
      </c>
      <c r="AO174" s="290">
        <f>1-'Key Inputs_BY Techs'!AI$220</f>
        <v>1</v>
      </c>
      <c r="AP174" s="290">
        <f>1-'Key Inputs_BY Techs'!AJ$220</f>
        <v>0.98089044120598978</v>
      </c>
    </row>
    <row r="175" spans="1:42" x14ac:dyDescent="0.25">
      <c r="A175" s="254" t="str">
        <f>Legend!A$54</f>
        <v>Other uses</v>
      </c>
      <c r="B175" s="254" t="str">
        <f>LEFT(Legend!$C$4)&amp;"-"&amp;Legend!B$54</f>
        <v>R-OTH</v>
      </c>
      <c r="C175" s="254" t="str">
        <f>Legend!A$63</f>
        <v>Biogas</v>
      </c>
      <c r="D175" s="254" t="str">
        <f>Legend!B$63</f>
        <v>RSDBGS</v>
      </c>
      <c r="E175" s="254" t="str">
        <f t="shared" ref="E175:E185" si="47">LEFT(D175,6)</f>
        <v>RSDBGS</v>
      </c>
      <c r="F175" s="254"/>
      <c r="G175" s="254"/>
      <c r="I175" s="81" t="str">
        <f>$I$39</f>
        <v>R-OTH_00</v>
      </c>
      <c r="J175" s="81" t="str">
        <f>$J$39</f>
        <v>RSD Other uses - Existing</v>
      </c>
      <c r="K175" s="229" t="str">
        <f>D175</f>
        <v>RSDBGS</v>
      </c>
      <c r="L175" s="87" t="s">
        <v>203</v>
      </c>
      <c r="M175" s="87" t="s">
        <v>174</v>
      </c>
      <c r="N175" s="294" t="s">
        <v>77</v>
      </c>
      <c r="O175" s="421">
        <f>IFERROR(SUMIFS('OMNIA - Key Inputs_EB'!H$249:H$260,'OMNIA - Key Inputs_EB'!$C$249:$C$260,'RSD_BY Techs'!$B175,'OMNIA - Key Inputs_EB'!$E$249:$E$260,'RSD_BY Techs'!$D175)/SUMIFS('OMNIA - Key Inputs_EB'!H$249:H$260,'OMNIA - Key Inputs_EB'!$C$249:$C$260,'RSD_BY Techs'!$B175),"")</f>
        <v>0</v>
      </c>
      <c r="P175" s="421">
        <f>IFERROR(SUMIFS('OMNIA - Key Inputs_EB'!I$249:I$260,'OMNIA - Key Inputs_EB'!$C$249:$C$260,'RSD_BY Techs'!$B175,'OMNIA - Key Inputs_EB'!$E$249:$E$260,'RSD_BY Techs'!$D175)/SUMIFS('OMNIA - Key Inputs_EB'!I$249:I$260,'OMNIA - Key Inputs_EB'!$C$249:$C$260,'RSD_BY Techs'!$B175),"")</f>
        <v>0</v>
      </c>
      <c r="Q175" s="421">
        <f>IFERROR(SUMIFS('OMNIA - Key Inputs_EB'!J$249:J$260,'OMNIA - Key Inputs_EB'!$C$249:$C$260,'RSD_BY Techs'!$B175,'OMNIA - Key Inputs_EB'!$E$249:$E$260,'RSD_BY Techs'!$D175)/SUMIFS('OMNIA - Key Inputs_EB'!J$249:J$260,'OMNIA - Key Inputs_EB'!$C$249:$C$260,'RSD_BY Techs'!$B175),"")</f>
        <v>0</v>
      </c>
      <c r="R175" s="421">
        <f>IFERROR(SUMIFS('OMNIA - Key Inputs_EB'!K$249:K$260,'OMNIA - Key Inputs_EB'!$C$249:$C$260,'RSD_BY Techs'!$B175,'OMNIA - Key Inputs_EB'!$E$249:$E$260,'RSD_BY Techs'!$D175)/SUMIFS('OMNIA - Key Inputs_EB'!K$249:K$260,'OMNIA - Key Inputs_EB'!$C$249:$C$260,'RSD_BY Techs'!$B175),"")</f>
        <v>0</v>
      </c>
      <c r="S175" s="421" t="str">
        <f>IFERROR(SUMIFS('OMNIA - Key Inputs_EB'!L$249:L$260,'OMNIA - Key Inputs_EB'!$C$249:$C$260,'RSD_BY Techs'!$B175,'OMNIA - Key Inputs_EB'!$E$249:$E$260,'RSD_BY Techs'!$D175)/SUMIFS('OMNIA - Key Inputs_EB'!L$249:L$260,'OMNIA - Key Inputs_EB'!$C$249:$C$260,'RSD_BY Techs'!$B175),"")</f>
        <v/>
      </c>
      <c r="T175" s="421" t="str">
        <f>IFERROR(SUMIFS('OMNIA - Key Inputs_EB'!M$249:M$260,'OMNIA - Key Inputs_EB'!$C$249:$C$260,'RSD_BY Techs'!$B175,'OMNIA - Key Inputs_EB'!$E$249:$E$260,'RSD_BY Techs'!$D175)/SUMIFS('OMNIA - Key Inputs_EB'!M$249:M$260,'OMNIA - Key Inputs_EB'!$C$249:$C$260,'RSD_BY Techs'!$B175),"")</f>
        <v/>
      </c>
      <c r="U175" s="421" t="str">
        <f>IFERROR(SUMIFS('OMNIA - Key Inputs_EB'!N$249:N$260,'OMNIA - Key Inputs_EB'!$C$249:$C$260,'RSD_BY Techs'!$B175,'OMNIA - Key Inputs_EB'!$E$249:$E$260,'RSD_BY Techs'!$D175)/SUMIFS('OMNIA - Key Inputs_EB'!N$249:N$260,'OMNIA - Key Inputs_EB'!$C$249:$C$260,'RSD_BY Techs'!$B175),"")</f>
        <v/>
      </c>
      <c r="V175" s="421" t="str">
        <f>IFERROR(SUMIFS('OMNIA - Key Inputs_EB'!O$249:O$260,'OMNIA - Key Inputs_EB'!$C$249:$C$260,'RSD_BY Techs'!$B175,'OMNIA - Key Inputs_EB'!$E$249:$E$260,'RSD_BY Techs'!$D175)/SUMIFS('OMNIA - Key Inputs_EB'!O$249:O$260,'OMNIA - Key Inputs_EB'!$C$249:$C$260,'RSD_BY Techs'!$B175),"")</f>
        <v/>
      </c>
      <c r="W175" s="421" t="str">
        <f>IFERROR(SUMIFS('OMNIA - Key Inputs_EB'!P$249:P$260,'OMNIA - Key Inputs_EB'!$C$249:$C$260,'RSD_BY Techs'!$B175,'OMNIA - Key Inputs_EB'!$E$249:$E$260,'RSD_BY Techs'!$D175)/SUMIFS('OMNIA - Key Inputs_EB'!P$249:P$260,'OMNIA - Key Inputs_EB'!$C$249:$C$260,'RSD_BY Techs'!$B175),"")</f>
        <v/>
      </c>
      <c r="X175" s="421" t="str">
        <f>IFERROR(SUMIFS('OMNIA - Key Inputs_EB'!Q$249:Q$260,'OMNIA - Key Inputs_EB'!$C$249:$C$260,'RSD_BY Techs'!$B175,'OMNIA - Key Inputs_EB'!$E$249:$E$260,'RSD_BY Techs'!$D175)/SUMIFS('OMNIA - Key Inputs_EB'!Q$249:Q$260,'OMNIA - Key Inputs_EB'!$C$249:$C$260,'RSD_BY Techs'!$B175),"")</f>
        <v/>
      </c>
      <c r="Y175" s="421">
        <f>IFERROR(SUMIFS('OMNIA - Key Inputs_EB'!R$249:R$260,'OMNIA - Key Inputs_EB'!$C$249:$C$260,'RSD_BY Techs'!$B175,'OMNIA - Key Inputs_EB'!$E$249:$E$260,'RSD_BY Techs'!$D175)/SUMIFS('OMNIA - Key Inputs_EB'!R$249:R$260,'OMNIA - Key Inputs_EB'!$C$249:$C$260,'RSD_BY Techs'!$B175),"")</f>
        <v>6.6445505053249227E-5</v>
      </c>
      <c r="Z175" s="421" t="str">
        <f>IFERROR(SUMIFS('OMNIA - Key Inputs_EB'!S$249:S$260,'OMNIA - Key Inputs_EB'!$C$249:$C$260,'RSD_BY Techs'!$B175,'OMNIA - Key Inputs_EB'!$E$249:$E$260,'RSD_BY Techs'!$D175)/SUMIFS('OMNIA - Key Inputs_EB'!S$249:S$260,'OMNIA - Key Inputs_EB'!$C$249:$C$260,'RSD_BY Techs'!$B175),"")</f>
        <v/>
      </c>
      <c r="AA175" s="421">
        <f>IFERROR(SUMIFS('OMNIA - Key Inputs_EB'!T$249:T$260,'OMNIA - Key Inputs_EB'!$C$249:$C$260,'RSD_BY Techs'!$B175,'OMNIA - Key Inputs_EB'!$E$249:$E$260,'RSD_BY Techs'!$D175)/SUMIFS('OMNIA - Key Inputs_EB'!T$249:T$260,'OMNIA - Key Inputs_EB'!$C$249:$C$260,'RSD_BY Techs'!$B175),"")</f>
        <v>0</v>
      </c>
      <c r="AB175" s="421">
        <f>IFERROR(SUMIFS('OMNIA - Key Inputs_EB'!U$249:U$260,'OMNIA - Key Inputs_EB'!$C$249:$C$260,'RSD_BY Techs'!$B175,'OMNIA - Key Inputs_EB'!$E$249:$E$260,'RSD_BY Techs'!$D175)/SUMIFS('OMNIA - Key Inputs_EB'!U$249:U$260,'OMNIA - Key Inputs_EB'!$C$249:$C$260,'RSD_BY Techs'!$B175),"")</f>
        <v>0</v>
      </c>
      <c r="AC175" s="421">
        <f>IFERROR(SUMIFS('OMNIA - Key Inputs_EB'!V$249:V$260,'OMNIA - Key Inputs_EB'!$C$249:$C$260,'RSD_BY Techs'!$B175,'OMNIA - Key Inputs_EB'!$E$249:$E$260,'RSD_BY Techs'!$D175)/SUMIFS('OMNIA - Key Inputs_EB'!V$249:V$260,'OMNIA - Key Inputs_EB'!$C$249:$C$260,'RSD_BY Techs'!$B175),"")</f>
        <v>0</v>
      </c>
      <c r="AD175" s="421">
        <f>IFERROR(SUMIFS('OMNIA - Key Inputs_EB'!W$249:W$260,'OMNIA - Key Inputs_EB'!$C$249:$C$260,'RSD_BY Techs'!$B175,'OMNIA - Key Inputs_EB'!$E$249:$E$260,'RSD_BY Techs'!$D175)/SUMIFS('OMNIA - Key Inputs_EB'!W$249:W$260,'OMNIA - Key Inputs_EB'!$C$249:$C$260,'RSD_BY Techs'!$B175),"")</f>
        <v>0</v>
      </c>
      <c r="AE175" s="421">
        <f>IFERROR(SUMIFS('OMNIA - Key Inputs_EB'!X$249:X$260,'OMNIA - Key Inputs_EB'!$C$249:$C$260,'RSD_BY Techs'!$B175,'OMNIA - Key Inputs_EB'!$E$249:$E$260,'RSD_BY Techs'!$D175)/SUMIFS('OMNIA - Key Inputs_EB'!X$249:X$260,'OMNIA - Key Inputs_EB'!$C$249:$C$260,'RSD_BY Techs'!$B175),"")</f>
        <v>3.0567460254440032E-3</v>
      </c>
      <c r="AF175" s="421" t="str">
        <f>IFERROR(SUMIFS('OMNIA - Key Inputs_EB'!Y$249:Y$260,'OMNIA - Key Inputs_EB'!$C$249:$C$260,'RSD_BY Techs'!$B175,'OMNIA - Key Inputs_EB'!$E$249:$E$260,'RSD_BY Techs'!$D175)/SUMIFS('OMNIA - Key Inputs_EB'!Y$249:Y$260,'OMNIA - Key Inputs_EB'!$C$249:$C$260,'RSD_BY Techs'!$B175),"")</f>
        <v/>
      </c>
      <c r="AG175" s="421" t="str">
        <f>IFERROR(SUMIFS('OMNIA - Key Inputs_EB'!Z$249:Z$260,'OMNIA - Key Inputs_EB'!$C$249:$C$260,'RSD_BY Techs'!$B175,'OMNIA - Key Inputs_EB'!$E$249:$E$260,'RSD_BY Techs'!$D175)/SUMIFS('OMNIA - Key Inputs_EB'!Z$249:Z$260,'OMNIA - Key Inputs_EB'!$C$249:$C$260,'RSD_BY Techs'!$B175),"")</f>
        <v/>
      </c>
      <c r="AH175" s="421" t="str">
        <f>IFERROR(SUMIFS('OMNIA - Key Inputs_EB'!AA$249:AA$260,'OMNIA - Key Inputs_EB'!$C$249:$C$260,'RSD_BY Techs'!$B175,'OMNIA - Key Inputs_EB'!$E$249:$E$260,'RSD_BY Techs'!$D175)/SUMIFS('OMNIA - Key Inputs_EB'!AA$249:AA$260,'OMNIA - Key Inputs_EB'!$C$249:$C$260,'RSD_BY Techs'!$B175),"")</f>
        <v/>
      </c>
      <c r="AI175" s="421" t="str">
        <f>IFERROR(SUMIFS('OMNIA - Key Inputs_EB'!AB$249:AB$260,'OMNIA - Key Inputs_EB'!$C$249:$C$260,'RSD_BY Techs'!$B175,'OMNIA - Key Inputs_EB'!$E$249:$E$260,'RSD_BY Techs'!$D175)/SUMIFS('OMNIA - Key Inputs_EB'!AB$249:AB$260,'OMNIA - Key Inputs_EB'!$C$249:$C$260,'RSD_BY Techs'!$B175),"")</f>
        <v/>
      </c>
      <c r="AJ175" s="421">
        <f>IFERROR(SUMIFS('OMNIA - Key Inputs_EB'!AC$249:AC$260,'OMNIA - Key Inputs_EB'!$C$249:$C$260,'RSD_BY Techs'!$B175,'OMNIA - Key Inputs_EB'!$E$249:$E$260,'RSD_BY Techs'!$D175)/SUMIFS('OMNIA - Key Inputs_EB'!AC$249:AC$260,'OMNIA - Key Inputs_EB'!$C$249:$C$260,'RSD_BY Techs'!$B175),"")</f>
        <v>0</v>
      </c>
      <c r="AK175" s="421">
        <f>IFERROR(SUMIFS('OMNIA - Key Inputs_EB'!AD$249:AD$260,'OMNIA - Key Inputs_EB'!$C$249:$C$260,'RSD_BY Techs'!$B175,'OMNIA - Key Inputs_EB'!$E$249:$E$260,'RSD_BY Techs'!$D175)/SUMIFS('OMNIA - Key Inputs_EB'!AD$249:AD$260,'OMNIA - Key Inputs_EB'!$C$249:$C$260,'RSD_BY Techs'!$B175),"")</f>
        <v>0</v>
      </c>
      <c r="AL175" s="421">
        <f>IFERROR(SUMIFS('OMNIA - Key Inputs_EB'!AE$249:AE$260,'OMNIA - Key Inputs_EB'!$C$249:$C$260,'RSD_BY Techs'!$B175,'OMNIA - Key Inputs_EB'!$E$249:$E$260,'RSD_BY Techs'!$D175)/SUMIFS('OMNIA - Key Inputs_EB'!AE$249:AE$260,'OMNIA - Key Inputs_EB'!$C$249:$C$260,'RSD_BY Techs'!$B175),"")</f>
        <v>0</v>
      </c>
      <c r="AM175" s="421">
        <f>IFERROR(SUMIFS('OMNIA - Key Inputs_EB'!AF$249:AF$260,'OMNIA - Key Inputs_EB'!$C$249:$C$260,'RSD_BY Techs'!$B175,'OMNIA - Key Inputs_EB'!$E$249:$E$260,'RSD_BY Techs'!$D175)/SUMIFS('OMNIA - Key Inputs_EB'!AF$249:AF$260,'OMNIA - Key Inputs_EB'!$C$249:$C$260,'RSD_BY Techs'!$B175),"")</f>
        <v>0</v>
      </c>
      <c r="AN175" s="421" t="str">
        <f>IFERROR(SUMIFS('OMNIA - Key Inputs_EB'!AG$249:AG$260,'OMNIA - Key Inputs_EB'!$C$249:$C$260,'RSD_BY Techs'!$B175,'OMNIA - Key Inputs_EB'!$E$249:$E$260,'RSD_BY Techs'!$D175)/SUMIFS('OMNIA - Key Inputs_EB'!AG$249:AG$260,'OMNIA - Key Inputs_EB'!$C$249:$C$260,'RSD_BY Techs'!$B175),"")</f>
        <v/>
      </c>
      <c r="AO175" s="421">
        <f>IFERROR(SUMIFS('OMNIA - Key Inputs_EB'!AH$249:AH$260,'OMNIA - Key Inputs_EB'!$C$249:$C$260,'RSD_BY Techs'!$B175,'OMNIA - Key Inputs_EB'!$E$249:$E$260,'RSD_BY Techs'!$D175)/SUMIFS('OMNIA - Key Inputs_EB'!AH$249:AH$260,'OMNIA - Key Inputs_EB'!$C$249:$C$260,'RSD_BY Techs'!$B175),"")</f>
        <v>0</v>
      </c>
      <c r="AP175" s="421">
        <f>IFERROR(SUMIFS('OMNIA - Key Inputs_EB'!AI$249:AI$260,'OMNIA - Key Inputs_EB'!$C$249:$C$260,'RSD_BY Techs'!$B175,'OMNIA - Key Inputs_EB'!$E$249:$E$260,'RSD_BY Techs'!$D175)/SUMIFS('OMNIA - Key Inputs_EB'!AI$249:AI$260,'OMNIA - Key Inputs_EB'!$C$249:$C$260,'RSD_BY Techs'!$B175),"")</f>
        <v>0</v>
      </c>
    </row>
    <row r="176" spans="1:42" x14ac:dyDescent="0.25">
      <c r="A176" s="254" t="str">
        <f>Legend!A$54</f>
        <v>Other uses</v>
      </c>
      <c r="B176" s="254" t="str">
        <f>LEFT(Legend!$C$4)&amp;"-"&amp;Legend!B$54</f>
        <v>R-OTH</v>
      </c>
      <c r="C176" s="254" t="str">
        <f>Legend!A$64</f>
        <v>Biomass</v>
      </c>
      <c r="D176" s="254" t="str">
        <f>Legend!B$64</f>
        <v>RSDBIO</v>
      </c>
      <c r="E176" s="254" t="str">
        <f t="shared" si="47"/>
        <v>RSDBIO</v>
      </c>
      <c r="F176" s="254"/>
      <c r="G176" s="254"/>
      <c r="K176" s="229" t="str">
        <f t="shared" ref="K176:K185" si="48">D176</f>
        <v>RSDBIO</v>
      </c>
      <c r="L176" s="87" t="s">
        <v>203</v>
      </c>
      <c r="M176" s="87" t="s">
        <v>174</v>
      </c>
      <c r="N176" s="87" t="s">
        <v>77</v>
      </c>
      <c r="O176" s="422">
        <f>IFERROR(SUMIFS('OMNIA - Key Inputs_EB'!H$249:H$260,'OMNIA - Key Inputs_EB'!$C$249:$C$260,'RSD_BY Techs'!$B176,'OMNIA - Key Inputs_EB'!$E$249:$E$260,'RSD_BY Techs'!$D176)/SUMIFS('OMNIA - Key Inputs_EB'!H$249:H$260,'OMNIA - Key Inputs_EB'!$C$249:$C$260,'RSD_BY Techs'!$B176),"")</f>
        <v>0</v>
      </c>
      <c r="P176" s="422">
        <f>IFERROR(SUMIFS('OMNIA - Key Inputs_EB'!I$249:I$260,'OMNIA - Key Inputs_EB'!$C$249:$C$260,'RSD_BY Techs'!$B176,'OMNIA - Key Inputs_EB'!$E$249:$E$260,'RSD_BY Techs'!$D176)/SUMIFS('OMNIA - Key Inputs_EB'!I$249:I$260,'OMNIA - Key Inputs_EB'!$C$249:$C$260,'RSD_BY Techs'!$B176),"")</f>
        <v>0</v>
      </c>
      <c r="Q176" s="422">
        <f>IFERROR(SUMIFS('OMNIA - Key Inputs_EB'!J$249:J$260,'OMNIA - Key Inputs_EB'!$C$249:$C$260,'RSD_BY Techs'!$B176,'OMNIA - Key Inputs_EB'!$E$249:$E$260,'RSD_BY Techs'!$D176)/SUMIFS('OMNIA - Key Inputs_EB'!J$249:J$260,'OMNIA - Key Inputs_EB'!$C$249:$C$260,'RSD_BY Techs'!$B176),"")</f>
        <v>0</v>
      </c>
      <c r="R176" s="422">
        <f>IFERROR(SUMIFS('OMNIA - Key Inputs_EB'!K$249:K$260,'OMNIA - Key Inputs_EB'!$C$249:$C$260,'RSD_BY Techs'!$B176,'OMNIA - Key Inputs_EB'!$E$249:$E$260,'RSD_BY Techs'!$D176)/SUMIFS('OMNIA - Key Inputs_EB'!K$249:K$260,'OMNIA - Key Inputs_EB'!$C$249:$C$260,'RSD_BY Techs'!$B176),"")</f>
        <v>0</v>
      </c>
      <c r="S176" s="422" t="str">
        <f>IFERROR(SUMIFS('OMNIA - Key Inputs_EB'!L$249:L$260,'OMNIA - Key Inputs_EB'!$C$249:$C$260,'RSD_BY Techs'!$B176,'OMNIA - Key Inputs_EB'!$E$249:$E$260,'RSD_BY Techs'!$D176)/SUMIFS('OMNIA - Key Inputs_EB'!L$249:L$260,'OMNIA - Key Inputs_EB'!$C$249:$C$260,'RSD_BY Techs'!$B176),"")</f>
        <v/>
      </c>
      <c r="T176" s="422" t="str">
        <f>IFERROR(SUMIFS('OMNIA - Key Inputs_EB'!M$249:M$260,'OMNIA - Key Inputs_EB'!$C$249:$C$260,'RSD_BY Techs'!$B176,'OMNIA - Key Inputs_EB'!$E$249:$E$260,'RSD_BY Techs'!$D176)/SUMIFS('OMNIA - Key Inputs_EB'!M$249:M$260,'OMNIA - Key Inputs_EB'!$C$249:$C$260,'RSD_BY Techs'!$B176),"")</f>
        <v/>
      </c>
      <c r="U176" s="422" t="str">
        <f>IFERROR(SUMIFS('OMNIA - Key Inputs_EB'!N$249:N$260,'OMNIA - Key Inputs_EB'!$C$249:$C$260,'RSD_BY Techs'!$B176,'OMNIA - Key Inputs_EB'!$E$249:$E$260,'RSD_BY Techs'!$D176)/SUMIFS('OMNIA - Key Inputs_EB'!N$249:N$260,'OMNIA - Key Inputs_EB'!$C$249:$C$260,'RSD_BY Techs'!$B176),"")</f>
        <v/>
      </c>
      <c r="V176" s="422" t="str">
        <f>IFERROR(SUMIFS('OMNIA - Key Inputs_EB'!O$249:O$260,'OMNIA - Key Inputs_EB'!$C$249:$C$260,'RSD_BY Techs'!$B176,'OMNIA - Key Inputs_EB'!$E$249:$E$260,'RSD_BY Techs'!$D176)/SUMIFS('OMNIA - Key Inputs_EB'!O$249:O$260,'OMNIA - Key Inputs_EB'!$C$249:$C$260,'RSD_BY Techs'!$B176),"")</f>
        <v/>
      </c>
      <c r="W176" s="422" t="str">
        <f>IFERROR(SUMIFS('OMNIA - Key Inputs_EB'!P$249:P$260,'OMNIA - Key Inputs_EB'!$C$249:$C$260,'RSD_BY Techs'!$B176,'OMNIA - Key Inputs_EB'!$E$249:$E$260,'RSD_BY Techs'!$D176)/SUMIFS('OMNIA - Key Inputs_EB'!P$249:P$260,'OMNIA - Key Inputs_EB'!$C$249:$C$260,'RSD_BY Techs'!$B176),"")</f>
        <v/>
      </c>
      <c r="X176" s="422" t="str">
        <f>IFERROR(SUMIFS('OMNIA - Key Inputs_EB'!Q$249:Q$260,'OMNIA - Key Inputs_EB'!$C$249:$C$260,'RSD_BY Techs'!$B176,'OMNIA - Key Inputs_EB'!$E$249:$E$260,'RSD_BY Techs'!$D176)/SUMIFS('OMNIA - Key Inputs_EB'!Q$249:Q$260,'OMNIA - Key Inputs_EB'!$C$249:$C$260,'RSD_BY Techs'!$B176),"")</f>
        <v/>
      </c>
      <c r="Y176" s="422">
        <f>IFERROR(SUMIFS('OMNIA - Key Inputs_EB'!R$249:R$260,'OMNIA - Key Inputs_EB'!$C$249:$C$260,'RSD_BY Techs'!$B176,'OMNIA - Key Inputs_EB'!$E$249:$E$260,'RSD_BY Techs'!$D176)/SUMIFS('OMNIA - Key Inputs_EB'!R$249:R$260,'OMNIA - Key Inputs_EB'!$C$249:$C$260,'RSD_BY Techs'!$B176),"")</f>
        <v>0.43425459827551038</v>
      </c>
      <c r="Z176" s="422" t="str">
        <f>IFERROR(SUMIFS('OMNIA - Key Inputs_EB'!S$249:S$260,'OMNIA - Key Inputs_EB'!$C$249:$C$260,'RSD_BY Techs'!$B176,'OMNIA - Key Inputs_EB'!$E$249:$E$260,'RSD_BY Techs'!$D176)/SUMIFS('OMNIA - Key Inputs_EB'!S$249:S$260,'OMNIA - Key Inputs_EB'!$C$249:$C$260,'RSD_BY Techs'!$B176),"")</f>
        <v/>
      </c>
      <c r="AA176" s="422">
        <f>IFERROR(SUMIFS('OMNIA - Key Inputs_EB'!T$249:T$260,'OMNIA - Key Inputs_EB'!$C$249:$C$260,'RSD_BY Techs'!$B176,'OMNIA - Key Inputs_EB'!$E$249:$E$260,'RSD_BY Techs'!$D176)/SUMIFS('OMNIA - Key Inputs_EB'!T$249:T$260,'OMNIA - Key Inputs_EB'!$C$249:$C$260,'RSD_BY Techs'!$B176),"")</f>
        <v>2.9735086914443286E-2</v>
      </c>
      <c r="AB176" s="422">
        <f>IFERROR(SUMIFS('OMNIA - Key Inputs_EB'!U$249:U$260,'OMNIA - Key Inputs_EB'!$C$249:$C$260,'RSD_BY Techs'!$B176,'OMNIA - Key Inputs_EB'!$E$249:$E$260,'RSD_BY Techs'!$D176)/SUMIFS('OMNIA - Key Inputs_EB'!U$249:U$260,'OMNIA - Key Inputs_EB'!$C$249:$C$260,'RSD_BY Techs'!$B176),"")</f>
        <v>0</v>
      </c>
      <c r="AC176" s="422">
        <f>IFERROR(SUMIFS('OMNIA - Key Inputs_EB'!V$249:V$260,'OMNIA - Key Inputs_EB'!$C$249:$C$260,'RSD_BY Techs'!$B176,'OMNIA - Key Inputs_EB'!$E$249:$E$260,'RSD_BY Techs'!$D176)/SUMIFS('OMNIA - Key Inputs_EB'!V$249:V$260,'OMNIA - Key Inputs_EB'!$C$249:$C$260,'RSD_BY Techs'!$B176),"")</f>
        <v>0.15355682758810946</v>
      </c>
      <c r="AD176" s="422">
        <f>IFERROR(SUMIFS('OMNIA - Key Inputs_EB'!W$249:W$260,'OMNIA - Key Inputs_EB'!$C$249:$C$260,'RSD_BY Techs'!$B176,'OMNIA - Key Inputs_EB'!$E$249:$E$260,'RSD_BY Techs'!$D176)/SUMIFS('OMNIA - Key Inputs_EB'!W$249:W$260,'OMNIA - Key Inputs_EB'!$C$249:$C$260,'RSD_BY Techs'!$B176),"")</f>
        <v>1.1540766290188629E-2</v>
      </c>
      <c r="AE176" s="422">
        <f>IFERROR(SUMIFS('OMNIA - Key Inputs_EB'!X$249:X$260,'OMNIA - Key Inputs_EB'!$C$249:$C$260,'RSD_BY Techs'!$B176,'OMNIA - Key Inputs_EB'!$E$249:$E$260,'RSD_BY Techs'!$D176)/SUMIFS('OMNIA - Key Inputs_EB'!X$249:X$260,'OMNIA - Key Inputs_EB'!$C$249:$C$260,'RSD_BY Techs'!$B176),"")</f>
        <v>0.18564810671955317</v>
      </c>
      <c r="AF176" s="422" t="str">
        <f>IFERROR(SUMIFS('OMNIA - Key Inputs_EB'!Y$249:Y$260,'OMNIA - Key Inputs_EB'!$C$249:$C$260,'RSD_BY Techs'!$B176,'OMNIA - Key Inputs_EB'!$E$249:$E$260,'RSD_BY Techs'!$D176)/SUMIFS('OMNIA - Key Inputs_EB'!Y$249:Y$260,'OMNIA - Key Inputs_EB'!$C$249:$C$260,'RSD_BY Techs'!$B176),"")</f>
        <v/>
      </c>
      <c r="AG176" s="422" t="str">
        <f>IFERROR(SUMIFS('OMNIA - Key Inputs_EB'!Z$249:Z$260,'OMNIA - Key Inputs_EB'!$C$249:$C$260,'RSD_BY Techs'!$B176,'OMNIA - Key Inputs_EB'!$E$249:$E$260,'RSD_BY Techs'!$D176)/SUMIFS('OMNIA - Key Inputs_EB'!Z$249:Z$260,'OMNIA - Key Inputs_EB'!$C$249:$C$260,'RSD_BY Techs'!$B176),"")</f>
        <v/>
      </c>
      <c r="AH176" s="422" t="str">
        <f>IFERROR(SUMIFS('OMNIA - Key Inputs_EB'!AA$249:AA$260,'OMNIA - Key Inputs_EB'!$C$249:$C$260,'RSD_BY Techs'!$B176,'OMNIA - Key Inputs_EB'!$E$249:$E$260,'RSD_BY Techs'!$D176)/SUMIFS('OMNIA - Key Inputs_EB'!AA$249:AA$260,'OMNIA - Key Inputs_EB'!$C$249:$C$260,'RSD_BY Techs'!$B176),"")</f>
        <v/>
      </c>
      <c r="AI176" s="422" t="str">
        <f>IFERROR(SUMIFS('OMNIA - Key Inputs_EB'!AB$249:AB$260,'OMNIA - Key Inputs_EB'!$C$249:$C$260,'RSD_BY Techs'!$B176,'OMNIA - Key Inputs_EB'!$E$249:$E$260,'RSD_BY Techs'!$D176)/SUMIFS('OMNIA - Key Inputs_EB'!AB$249:AB$260,'OMNIA - Key Inputs_EB'!$C$249:$C$260,'RSD_BY Techs'!$B176),"")</f>
        <v/>
      </c>
      <c r="AJ176" s="422">
        <f>IFERROR(SUMIFS('OMNIA - Key Inputs_EB'!AC$249:AC$260,'OMNIA - Key Inputs_EB'!$C$249:$C$260,'RSD_BY Techs'!$B176,'OMNIA - Key Inputs_EB'!$E$249:$E$260,'RSD_BY Techs'!$D176)/SUMIFS('OMNIA - Key Inputs_EB'!AC$249:AC$260,'OMNIA - Key Inputs_EB'!$C$249:$C$260,'RSD_BY Techs'!$B176),"")</f>
        <v>0</v>
      </c>
      <c r="AK176" s="422">
        <f>IFERROR(SUMIFS('OMNIA - Key Inputs_EB'!AD$249:AD$260,'OMNIA - Key Inputs_EB'!$C$249:$C$260,'RSD_BY Techs'!$B176,'OMNIA - Key Inputs_EB'!$E$249:$E$260,'RSD_BY Techs'!$D176)/SUMIFS('OMNIA - Key Inputs_EB'!AD$249:AD$260,'OMNIA - Key Inputs_EB'!$C$249:$C$260,'RSD_BY Techs'!$B176),"")</f>
        <v>0</v>
      </c>
      <c r="AL176" s="422">
        <f>IFERROR(SUMIFS('OMNIA - Key Inputs_EB'!AE$249:AE$260,'OMNIA - Key Inputs_EB'!$C$249:$C$260,'RSD_BY Techs'!$B176,'OMNIA - Key Inputs_EB'!$E$249:$E$260,'RSD_BY Techs'!$D176)/SUMIFS('OMNIA - Key Inputs_EB'!AE$249:AE$260,'OMNIA - Key Inputs_EB'!$C$249:$C$260,'RSD_BY Techs'!$B176),"")</f>
        <v>0</v>
      </c>
      <c r="AM176" s="422">
        <f>IFERROR(SUMIFS('OMNIA - Key Inputs_EB'!AF$249:AF$260,'OMNIA - Key Inputs_EB'!$C$249:$C$260,'RSD_BY Techs'!$B176,'OMNIA - Key Inputs_EB'!$E$249:$E$260,'RSD_BY Techs'!$D176)/SUMIFS('OMNIA - Key Inputs_EB'!AF$249:AF$260,'OMNIA - Key Inputs_EB'!$C$249:$C$260,'RSD_BY Techs'!$B176),"")</f>
        <v>0</v>
      </c>
      <c r="AN176" s="422" t="str">
        <f>IFERROR(SUMIFS('OMNIA - Key Inputs_EB'!AG$249:AG$260,'OMNIA - Key Inputs_EB'!$C$249:$C$260,'RSD_BY Techs'!$B176,'OMNIA - Key Inputs_EB'!$E$249:$E$260,'RSD_BY Techs'!$D176)/SUMIFS('OMNIA - Key Inputs_EB'!AG$249:AG$260,'OMNIA - Key Inputs_EB'!$C$249:$C$260,'RSD_BY Techs'!$B176),"")</f>
        <v/>
      </c>
      <c r="AO176" s="422">
        <f>IFERROR(SUMIFS('OMNIA - Key Inputs_EB'!AH$249:AH$260,'OMNIA - Key Inputs_EB'!$C$249:$C$260,'RSD_BY Techs'!$B176,'OMNIA - Key Inputs_EB'!$E$249:$E$260,'RSD_BY Techs'!$D176)/SUMIFS('OMNIA - Key Inputs_EB'!AH$249:AH$260,'OMNIA - Key Inputs_EB'!$C$249:$C$260,'RSD_BY Techs'!$B176),"")</f>
        <v>0</v>
      </c>
      <c r="AP176" s="422">
        <f>IFERROR(SUMIFS('OMNIA - Key Inputs_EB'!AI$249:AI$260,'OMNIA - Key Inputs_EB'!$C$249:$C$260,'RSD_BY Techs'!$B176,'OMNIA - Key Inputs_EB'!$E$249:$E$260,'RSD_BY Techs'!$D176)/SUMIFS('OMNIA - Key Inputs_EB'!AI$249:AI$260,'OMNIA - Key Inputs_EB'!$C$249:$C$260,'RSD_BY Techs'!$B176),"")</f>
        <v>0</v>
      </c>
    </row>
    <row r="177" spans="1:42" x14ac:dyDescent="0.25">
      <c r="A177" s="254" t="str">
        <f>Legend!A$54</f>
        <v>Other uses</v>
      </c>
      <c r="B177" s="254" t="str">
        <f>LEFT(Legend!$C$4)&amp;"-"&amp;Legend!B$54</f>
        <v>R-OTH</v>
      </c>
      <c r="C177" s="254" t="str">
        <f>Legend!A$65</f>
        <v>Coal</v>
      </c>
      <c r="D177" s="254" t="str">
        <f>Legend!B$65</f>
        <v>RSDCOA</v>
      </c>
      <c r="E177" s="254" t="str">
        <f t="shared" si="47"/>
        <v>RSDCOA</v>
      </c>
      <c r="F177" s="254"/>
      <c r="G177" s="254"/>
      <c r="K177" s="229" t="str">
        <f t="shared" si="48"/>
        <v>RSDCOA</v>
      </c>
      <c r="L177" s="87" t="s">
        <v>203</v>
      </c>
      <c r="M177" s="87" t="s">
        <v>174</v>
      </c>
      <c r="N177" s="87" t="s">
        <v>77</v>
      </c>
      <c r="O177" s="422">
        <f>IFERROR(SUMIFS('OMNIA - Key Inputs_EB'!H$249:H$260,'OMNIA - Key Inputs_EB'!$C$249:$C$260,'RSD_BY Techs'!$B177,'OMNIA - Key Inputs_EB'!$E$249:$E$260,'RSD_BY Techs'!$D177)/SUMIFS('OMNIA - Key Inputs_EB'!H$249:H$260,'OMNIA - Key Inputs_EB'!$C$249:$C$260,'RSD_BY Techs'!$B177),"")</f>
        <v>0</v>
      </c>
      <c r="P177" s="422">
        <f>IFERROR(SUMIFS('OMNIA - Key Inputs_EB'!I$249:I$260,'OMNIA - Key Inputs_EB'!$C$249:$C$260,'RSD_BY Techs'!$B177,'OMNIA - Key Inputs_EB'!$E$249:$E$260,'RSD_BY Techs'!$D177)/SUMIFS('OMNIA - Key Inputs_EB'!I$249:I$260,'OMNIA - Key Inputs_EB'!$C$249:$C$260,'RSD_BY Techs'!$B177),"")</f>
        <v>0</v>
      </c>
      <c r="Q177" s="422">
        <f>IFERROR(SUMIFS('OMNIA - Key Inputs_EB'!J$249:J$260,'OMNIA - Key Inputs_EB'!$C$249:$C$260,'RSD_BY Techs'!$B177,'OMNIA - Key Inputs_EB'!$E$249:$E$260,'RSD_BY Techs'!$D177)/SUMIFS('OMNIA - Key Inputs_EB'!J$249:J$260,'OMNIA - Key Inputs_EB'!$C$249:$C$260,'RSD_BY Techs'!$B177),"")</f>
        <v>0</v>
      </c>
      <c r="R177" s="422">
        <f>IFERROR(SUMIFS('OMNIA - Key Inputs_EB'!K$249:K$260,'OMNIA - Key Inputs_EB'!$C$249:$C$260,'RSD_BY Techs'!$B177,'OMNIA - Key Inputs_EB'!$E$249:$E$260,'RSD_BY Techs'!$D177)/SUMIFS('OMNIA - Key Inputs_EB'!K$249:K$260,'OMNIA - Key Inputs_EB'!$C$249:$C$260,'RSD_BY Techs'!$B177),"")</f>
        <v>0</v>
      </c>
      <c r="S177" s="422" t="str">
        <f>IFERROR(SUMIFS('OMNIA - Key Inputs_EB'!L$249:L$260,'OMNIA - Key Inputs_EB'!$C$249:$C$260,'RSD_BY Techs'!$B177,'OMNIA - Key Inputs_EB'!$E$249:$E$260,'RSD_BY Techs'!$D177)/SUMIFS('OMNIA - Key Inputs_EB'!L$249:L$260,'OMNIA - Key Inputs_EB'!$C$249:$C$260,'RSD_BY Techs'!$B177),"")</f>
        <v/>
      </c>
      <c r="T177" s="422" t="str">
        <f>IFERROR(SUMIFS('OMNIA - Key Inputs_EB'!M$249:M$260,'OMNIA - Key Inputs_EB'!$C$249:$C$260,'RSD_BY Techs'!$B177,'OMNIA - Key Inputs_EB'!$E$249:$E$260,'RSD_BY Techs'!$D177)/SUMIFS('OMNIA - Key Inputs_EB'!M$249:M$260,'OMNIA - Key Inputs_EB'!$C$249:$C$260,'RSD_BY Techs'!$B177),"")</f>
        <v/>
      </c>
      <c r="U177" s="422" t="str">
        <f>IFERROR(SUMIFS('OMNIA - Key Inputs_EB'!N$249:N$260,'OMNIA - Key Inputs_EB'!$C$249:$C$260,'RSD_BY Techs'!$B177,'OMNIA - Key Inputs_EB'!$E$249:$E$260,'RSD_BY Techs'!$D177)/SUMIFS('OMNIA - Key Inputs_EB'!N$249:N$260,'OMNIA - Key Inputs_EB'!$C$249:$C$260,'RSD_BY Techs'!$B177),"")</f>
        <v/>
      </c>
      <c r="V177" s="422" t="str">
        <f>IFERROR(SUMIFS('OMNIA - Key Inputs_EB'!O$249:O$260,'OMNIA - Key Inputs_EB'!$C$249:$C$260,'RSD_BY Techs'!$B177,'OMNIA - Key Inputs_EB'!$E$249:$E$260,'RSD_BY Techs'!$D177)/SUMIFS('OMNIA - Key Inputs_EB'!O$249:O$260,'OMNIA - Key Inputs_EB'!$C$249:$C$260,'RSD_BY Techs'!$B177),"")</f>
        <v/>
      </c>
      <c r="W177" s="422" t="str">
        <f>IFERROR(SUMIFS('OMNIA - Key Inputs_EB'!P$249:P$260,'OMNIA - Key Inputs_EB'!$C$249:$C$260,'RSD_BY Techs'!$B177,'OMNIA - Key Inputs_EB'!$E$249:$E$260,'RSD_BY Techs'!$D177)/SUMIFS('OMNIA - Key Inputs_EB'!P$249:P$260,'OMNIA - Key Inputs_EB'!$C$249:$C$260,'RSD_BY Techs'!$B177),"")</f>
        <v/>
      </c>
      <c r="X177" s="422" t="str">
        <f>IFERROR(SUMIFS('OMNIA - Key Inputs_EB'!Q$249:Q$260,'OMNIA - Key Inputs_EB'!$C$249:$C$260,'RSD_BY Techs'!$B177,'OMNIA - Key Inputs_EB'!$E$249:$E$260,'RSD_BY Techs'!$D177)/SUMIFS('OMNIA - Key Inputs_EB'!Q$249:Q$260,'OMNIA - Key Inputs_EB'!$C$249:$C$260,'RSD_BY Techs'!$B177),"")</f>
        <v/>
      </c>
      <c r="Y177" s="422">
        <f>IFERROR(SUMIFS('OMNIA - Key Inputs_EB'!R$249:R$260,'OMNIA - Key Inputs_EB'!$C$249:$C$260,'RSD_BY Techs'!$B177,'OMNIA - Key Inputs_EB'!$E$249:$E$260,'RSD_BY Techs'!$D177)/SUMIFS('OMNIA - Key Inputs_EB'!R$249:R$260,'OMNIA - Key Inputs_EB'!$C$249:$C$260,'RSD_BY Techs'!$B177),"")</f>
        <v>0</v>
      </c>
      <c r="Z177" s="422" t="str">
        <f>IFERROR(SUMIFS('OMNIA - Key Inputs_EB'!S$249:S$260,'OMNIA - Key Inputs_EB'!$C$249:$C$260,'RSD_BY Techs'!$B177,'OMNIA - Key Inputs_EB'!$E$249:$E$260,'RSD_BY Techs'!$D177)/SUMIFS('OMNIA - Key Inputs_EB'!S$249:S$260,'OMNIA - Key Inputs_EB'!$C$249:$C$260,'RSD_BY Techs'!$B177),"")</f>
        <v/>
      </c>
      <c r="AA177" s="422">
        <f>IFERROR(SUMIFS('OMNIA - Key Inputs_EB'!T$249:T$260,'OMNIA - Key Inputs_EB'!$C$249:$C$260,'RSD_BY Techs'!$B177,'OMNIA - Key Inputs_EB'!$E$249:$E$260,'RSD_BY Techs'!$D177)/SUMIFS('OMNIA - Key Inputs_EB'!T$249:T$260,'OMNIA - Key Inputs_EB'!$C$249:$C$260,'RSD_BY Techs'!$B177),"")</f>
        <v>0</v>
      </c>
      <c r="AB177" s="422">
        <f>IFERROR(SUMIFS('OMNIA - Key Inputs_EB'!U$249:U$260,'OMNIA - Key Inputs_EB'!$C$249:$C$260,'RSD_BY Techs'!$B177,'OMNIA - Key Inputs_EB'!$E$249:$E$260,'RSD_BY Techs'!$D177)/SUMIFS('OMNIA - Key Inputs_EB'!U$249:U$260,'OMNIA - Key Inputs_EB'!$C$249:$C$260,'RSD_BY Techs'!$B177),"")</f>
        <v>0</v>
      </c>
      <c r="AC177" s="422">
        <f>IFERROR(SUMIFS('OMNIA - Key Inputs_EB'!V$249:V$260,'OMNIA - Key Inputs_EB'!$C$249:$C$260,'RSD_BY Techs'!$B177,'OMNIA - Key Inputs_EB'!$E$249:$E$260,'RSD_BY Techs'!$D177)/SUMIFS('OMNIA - Key Inputs_EB'!V$249:V$260,'OMNIA - Key Inputs_EB'!$C$249:$C$260,'RSD_BY Techs'!$B177),"")</f>
        <v>0</v>
      </c>
      <c r="AD177" s="422">
        <f>IFERROR(SUMIFS('OMNIA - Key Inputs_EB'!W$249:W$260,'OMNIA - Key Inputs_EB'!$C$249:$C$260,'RSD_BY Techs'!$B177,'OMNIA - Key Inputs_EB'!$E$249:$E$260,'RSD_BY Techs'!$D177)/SUMIFS('OMNIA - Key Inputs_EB'!W$249:W$260,'OMNIA - Key Inputs_EB'!$C$249:$C$260,'RSD_BY Techs'!$B177),"")</f>
        <v>0</v>
      </c>
      <c r="AE177" s="422">
        <f>IFERROR(SUMIFS('OMNIA - Key Inputs_EB'!X$249:X$260,'OMNIA - Key Inputs_EB'!$C$249:$C$260,'RSD_BY Techs'!$B177,'OMNIA - Key Inputs_EB'!$E$249:$E$260,'RSD_BY Techs'!$D177)/SUMIFS('OMNIA - Key Inputs_EB'!X$249:X$260,'OMNIA - Key Inputs_EB'!$C$249:$C$260,'RSD_BY Techs'!$B177),"")</f>
        <v>0</v>
      </c>
      <c r="AF177" s="422" t="str">
        <f>IFERROR(SUMIFS('OMNIA - Key Inputs_EB'!Y$249:Y$260,'OMNIA - Key Inputs_EB'!$C$249:$C$260,'RSD_BY Techs'!$B177,'OMNIA - Key Inputs_EB'!$E$249:$E$260,'RSD_BY Techs'!$D177)/SUMIFS('OMNIA - Key Inputs_EB'!Y$249:Y$260,'OMNIA - Key Inputs_EB'!$C$249:$C$260,'RSD_BY Techs'!$B177),"")</f>
        <v/>
      </c>
      <c r="AG177" s="422" t="str">
        <f>IFERROR(SUMIFS('OMNIA - Key Inputs_EB'!Z$249:Z$260,'OMNIA - Key Inputs_EB'!$C$249:$C$260,'RSD_BY Techs'!$B177,'OMNIA - Key Inputs_EB'!$E$249:$E$260,'RSD_BY Techs'!$D177)/SUMIFS('OMNIA - Key Inputs_EB'!Z$249:Z$260,'OMNIA - Key Inputs_EB'!$C$249:$C$260,'RSD_BY Techs'!$B177),"")</f>
        <v/>
      </c>
      <c r="AH177" s="422" t="str">
        <f>IFERROR(SUMIFS('OMNIA - Key Inputs_EB'!AA$249:AA$260,'OMNIA - Key Inputs_EB'!$C$249:$C$260,'RSD_BY Techs'!$B177,'OMNIA - Key Inputs_EB'!$E$249:$E$260,'RSD_BY Techs'!$D177)/SUMIFS('OMNIA - Key Inputs_EB'!AA$249:AA$260,'OMNIA - Key Inputs_EB'!$C$249:$C$260,'RSD_BY Techs'!$B177),"")</f>
        <v/>
      </c>
      <c r="AI177" s="422" t="str">
        <f>IFERROR(SUMIFS('OMNIA - Key Inputs_EB'!AB$249:AB$260,'OMNIA - Key Inputs_EB'!$C$249:$C$260,'RSD_BY Techs'!$B177,'OMNIA - Key Inputs_EB'!$E$249:$E$260,'RSD_BY Techs'!$D177)/SUMIFS('OMNIA - Key Inputs_EB'!AB$249:AB$260,'OMNIA - Key Inputs_EB'!$C$249:$C$260,'RSD_BY Techs'!$B177),"")</f>
        <v/>
      </c>
      <c r="AJ177" s="422">
        <f>IFERROR(SUMIFS('OMNIA - Key Inputs_EB'!AC$249:AC$260,'OMNIA - Key Inputs_EB'!$C$249:$C$260,'RSD_BY Techs'!$B177,'OMNIA - Key Inputs_EB'!$E$249:$E$260,'RSD_BY Techs'!$D177)/SUMIFS('OMNIA - Key Inputs_EB'!AC$249:AC$260,'OMNIA - Key Inputs_EB'!$C$249:$C$260,'RSD_BY Techs'!$B177),"")</f>
        <v>0</v>
      </c>
      <c r="AK177" s="422">
        <f>IFERROR(SUMIFS('OMNIA - Key Inputs_EB'!AD$249:AD$260,'OMNIA - Key Inputs_EB'!$C$249:$C$260,'RSD_BY Techs'!$B177,'OMNIA - Key Inputs_EB'!$E$249:$E$260,'RSD_BY Techs'!$D177)/SUMIFS('OMNIA - Key Inputs_EB'!AD$249:AD$260,'OMNIA - Key Inputs_EB'!$C$249:$C$260,'RSD_BY Techs'!$B177),"")</f>
        <v>0</v>
      </c>
      <c r="AL177" s="422">
        <f>IFERROR(SUMIFS('OMNIA - Key Inputs_EB'!AE$249:AE$260,'OMNIA - Key Inputs_EB'!$C$249:$C$260,'RSD_BY Techs'!$B177,'OMNIA - Key Inputs_EB'!$E$249:$E$260,'RSD_BY Techs'!$D177)/SUMIFS('OMNIA - Key Inputs_EB'!AE$249:AE$260,'OMNIA - Key Inputs_EB'!$C$249:$C$260,'RSD_BY Techs'!$B177),"")</f>
        <v>0</v>
      </c>
      <c r="AM177" s="422">
        <f>IFERROR(SUMIFS('OMNIA - Key Inputs_EB'!AF$249:AF$260,'OMNIA - Key Inputs_EB'!$C$249:$C$260,'RSD_BY Techs'!$B177,'OMNIA - Key Inputs_EB'!$E$249:$E$260,'RSD_BY Techs'!$D177)/SUMIFS('OMNIA - Key Inputs_EB'!AF$249:AF$260,'OMNIA - Key Inputs_EB'!$C$249:$C$260,'RSD_BY Techs'!$B177),"")</f>
        <v>0</v>
      </c>
      <c r="AN177" s="422" t="str">
        <f>IFERROR(SUMIFS('OMNIA - Key Inputs_EB'!AG$249:AG$260,'OMNIA - Key Inputs_EB'!$C$249:$C$260,'RSD_BY Techs'!$B177,'OMNIA - Key Inputs_EB'!$E$249:$E$260,'RSD_BY Techs'!$D177)/SUMIFS('OMNIA - Key Inputs_EB'!AG$249:AG$260,'OMNIA - Key Inputs_EB'!$C$249:$C$260,'RSD_BY Techs'!$B177),"")</f>
        <v/>
      </c>
      <c r="AO177" s="422">
        <f>IFERROR(SUMIFS('OMNIA - Key Inputs_EB'!AH$249:AH$260,'OMNIA - Key Inputs_EB'!$C$249:$C$260,'RSD_BY Techs'!$B177,'OMNIA - Key Inputs_EB'!$E$249:$E$260,'RSD_BY Techs'!$D177)/SUMIFS('OMNIA - Key Inputs_EB'!AH$249:AH$260,'OMNIA - Key Inputs_EB'!$C$249:$C$260,'RSD_BY Techs'!$B177),"")</f>
        <v>0</v>
      </c>
      <c r="AP177" s="422">
        <f>IFERROR(SUMIFS('OMNIA - Key Inputs_EB'!AI$249:AI$260,'OMNIA - Key Inputs_EB'!$C$249:$C$260,'RSD_BY Techs'!$B177,'OMNIA - Key Inputs_EB'!$E$249:$E$260,'RSD_BY Techs'!$D177)/SUMIFS('OMNIA - Key Inputs_EB'!AI$249:AI$260,'OMNIA - Key Inputs_EB'!$C$249:$C$260,'RSD_BY Techs'!$B177),"")</f>
        <v>0</v>
      </c>
    </row>
    <row r="178" spans="1:42" x14ac:dyDescent="0.25">
      <c r="A178" s="254" t="str">
        <f>Legend!A$54</f>
        <v>Other uses</v>
      </c>
      <c r="B178" s="254" t="str">
        <f>LEFT(Legend!$C$4)&amp;"-"&amp;Legend!B$54</f>
        <v>R-OTH</v>
      </c>
      <c r="C178" s="254" t="str">
        <f>Legend!A$66</f>
        <v>Electricity</v>
      </c>
      <c r="D178" s="254" t="str">
        <f>Legend!B$66</f>
        <v>RSDELC</v>
      </c>
      <c r="E178" s="254" t="str">
        <f t="shared" si="47"/>
        <v>RSDELC</v>
      </c>
      <c r="F178" s="254"/>
      <c r="G178" s="254"/>
      <c r="K178" s="229" t="str">
        <f t="shared" si="48"/>
        <v>RSDELC</v>
      </c>
      <c r="L178" s="87" t="s">
        <v>203</v>
      </c>
      <c r="M178" s="87" t="s">
        <v>174</v>
      </c>
      <c r="N178" s="87" t="s">
        <v>77</v>
      </c>
      <c r="O178" s="422">
        <f>IFERROR(SUMIFS('OMNIA - Key Inputs_EB'!H$249:H$260,'OMNIA - Key Inputs_EB'!$C$249:$C$260,'RSD_BY Techs'!$B178,'OMNIA - Key Inputs_EB'!$E$249:$E$260,'RSD_BY Techs'!$D178)/SUMIFS('OMNIA - Key Inputs_EB'!H$249:H$260,'OMNIA - Key Inputs_EB'!$C$249:$C$260,'RSD_BY Techs'!$B178),"")</f>
        <v>1</v>
      </c>
      <c r="P178" s="422">
        <f>IFERROR(SUMIFS('OMNIA - Key Inputs_EB'!I$249:I$260,'OMNIA - Key Inputs_EB'!$C$249:$C$260,'RSD_BY Techs'!$B178,'OMNIA - Key Inputs_EB'!$E$249:$E$260,'RSD_BY Techs'!$D178)/SUMIFS('OMNIA - Key Inputs_EB'!I$249:I$260,'OMNIA - Key Inputs_EB'!$C$249:$C$260,'RSD_BY Techs'!$B178),"")</f>
        <v>0.29614073401281493</v>
      </c>
      <c r="Q178" s="422">
        <f>IFERROR(SUMIFS('OMNIA - Key Inputs_EB'!J$249:J$260,'OMNIA - Key Inputs_EB'!$C$249:$C$260,'RSD_BY Techs'!$B178,'OMNIA - Key Inputs_EB'!$E$249:$E$260,'RSD_BY Techs'!$D178)/SUMIFS('OMNIA - Key Inputs_EB'!J$249:J$260,'OMNIA - Key Inputs_EB'!$C$249:$C$260,'RSD_BY Techs'!$B178),"")</f>
        <v>1</v>
      </c>
      <c r="R178" s="422">
        <f>IFERROR(SUMIFS('OMNIA - Key Inputs_EB'!K$249:K$260,'OMNIA - Key Inputs_EB'!$C$249:$C$260,'RSD_BY Techs'!$B178,'OMNIA - Key Inputs_EB'!$E$249:$E$260,'RSD_BY Techs'!$D178)/SUMIFS('OMNIA - Key Inputs_EB'!K$249:K$260,'OMNIA - Key Inputs_EB'!$C$249:$C$260,'RSD_BY Techs'!$B178),"")</f>
        <v>0.99809899101527233</v>
      </c>
      <c r="S178" s="422" t="str">
        <f>IFERROR(SUMIFS('OMNIA - Key Inputs_EB'!L$249:L$260,'OMNIA - Key Inputs_EB'!$C$249:$C$260,'RSD_BY Techs'!$B178,'OMNIA - Key Inputs_EB'!$E$249:$E$260,'RSD_BY Techs'!$D178)/SUMIFS('OMNIA - Key Inputs_EB'!L$249:L$260,'OMNIA - Key Inputs_EB'!$C$249:$C$260,'RSD_BY Techs'!$B178),"")</f>
        <v/>
      </c>
      <c r="T178" s="422" t="str">
        <f>IFERROR(SUMIFS('OMNIA - Key Inputs_EB'!M$249:M$260,'OMNIA - Key Inputs_EB'!$C$249:$C$260,'RSD_BY Techs'!$B178,'OMNIA - Key Inputs_EB'!$E$249:$E$260,'RSD_BY Techs'!$D178)/SUMIFS('OMNIA - Key Inputs_EB'!M$249:M$260,'OMNIA - Key Inputs_EB'!$C$249:$C$260,'RSD_BY Techs'!$B178),"")</f>
        <v/>
      </c>
      <c r="U178" s="422" t="str">
        <f>IFERROR(SUMIFS('OMNIA - Key Inputs_EB'!N$249:N$260,'OMNIA - Key Inputs_EB'!$C$249:$C$260,'RSD_BY Techs'!$B178,'OMNIA - Key Inputs_EB'!$E$249:$E$260,'RSD_BY Techs'!$D178)/SUMIFS('OMNIA - Key Inputs_EB'!N$249:N$260,'OMNIA - Key Inputs_EB'!$C$249:$C$260,'RSD_BY Techs'!$B178),"")</f>
        <v/>
      </c>
      <c r="V178" s="422" t="str">
        <f>IFERROR(SUMIFS('OMNIA - Key Inputs_EB'!O$249:O$260,'OMNIA - Key Inputs_EB'!$C$249:$C$260,'RSD_BY Techs'!$B178,'OMNIA - Key Inputs_EB'!$E$249:$E$260,'RSD_BY Techs'!$D178)/SUMIFS('OMNIA - Key Inputs_EB'!O$249:O$260,'OMNIA - Key Inputs_EB'!$C$249:$C$260,'RSD_BY Techs'!$B178),"")</f>
        <v/>
      </c>
      <c r="W178" s="422" t="str">
        <f>IFERROR(SUMIFS('OMNIA - Key Inputs_EB'!P$249:P$260,'OMNIA - Key Inputs_EB'!$C$249:$C$260,'RSD_BY Techs'!$B178,'OMNIA - Key Inputs_EB'!$E$249:$E$260,'RSD_BY Techs'!$D178)/SUMIFS('OMNIA - Key Inputs_EB'!P$249:P$260,'OMNIA - Key Inputs_EB'!$C$249:$C$260,'RSD_BY Techs'!$B178),"")</f>
        <v/>
      </c>
      <c r="X178" s="422" t="str">
        <f>IFERROR(SUMIFS('OMNIA - Key Inputs_EB'!Q$249:Q$260,'OMNIA - Key Inputs_EB'!$C$249:$C$260,'RSD_BY Techs'!$B178,'OMNIA - Key Inputs_EB'!$E$249:$E$260,'RSD_BY Techs'!$D178)/SUMIFS('OMNIA - Key Inputs_EB'!Q$249:Q$260,'OMNIA - Key Inputs_EB'!$C$249:$C$260,'RSD_BY Techs'!$B178),"")</f>
        <v/>
      </c>
      <c r="Y178" s="422">
        <f>IFERROR(SUMIFS('OMNIA - Key Inputs_EB'!R$249:R$260,'OMNIA - Key Inputs_EB'!$C$249:$C$260,'RSD_BY Techs'!$B178,'OMNIA - Key Inputs_EB'!$E$249:$E$260,'RSD_BY Techs'!$D178)/SUMIFS('OMNIA - Key Inputs_EB'!R$249:R$260,'OMNIA - Key Inputs_EB'!$C$249:$C$260,'RSD_BY Techs'!$B178),"")</f>
        <v>7.8112965521671116E-2</v>
      </c>
      <c r="Z178" s="422" t="str">
        <f>IFERROR(SUMIFS('OMNIA - Key Inputs_EB'!S$249:S$260,'OMNIA - Key Inputs_EB'!$C$249:$C$260,'RSD_BY Techs'!$B178,'OMNIA - Key Inputs_EB'!$E$249:$E$260,'RSD_BY Techs'!$D178)/SUMIFS('OMNIA - Key Inputs_EB'!S$249:S$260,'OMNIA - Key Inputs_EB'!$C$249:$C$260,'RSD_BY Techs'!$B178),"")</f>
        <v/>
      </c>
      <c r="AA178" s="422">
        <f>IFERROR(SUMIFS('OMNIA - Key Inputs_EB'!T$249:T$260,'OMNIA - Key Inputs_EB'!$C$249:$C$260,'RSD_BY Techs'!$B178,'OMNIA - Key Inputs_EB'!$E$249:$E$260,'RSD_BY Techs'!$D178)/SUMIFS('OMNIA - Key Inputs_EB'!T$249:T$260,'OMNIA - Key Inputs_EB'!$C$249:$C$260,'RSD_BY Techs'!$B178),"")</f>
        <v>0.27601640098091385</v>
      </c>
      <c r="AB178" s="422">
        <f>IFERROR(SUMIFS('OMNIA - Key Inputs_EB'!U$249:U$260,'OMNIA - Key Inputs_EB'!$C$249:$C$260,'RSD_BY Techs'!$B178,'OMNIA - Key Inputs_EB'!$E$249:$E$260,'RSD_BY Techs'!$D178)/SUMIFS('OMNIA - Key Inputs_EB'!U$249:U$260,'OMNIA - Key Inputs_EB'!$C$249:$C$260,'RSD_BY Techs'!$B178),"")</f>
        <v>1</v>
      </c>
      <c r="AC178" s="422">
        <f>IFERROR(SUMIFS('OMNIA - Key Inputs_EB'!V$249:V$260,'OMNIA - Key Inputs_EB'!$C$249:$C$260,'RSD_BY Techs'!$B178,'OMNIA - Key Inputs_EB'!$E$249:$E$260,'RSD_BY Techs'!$D178)/SUMIFS('OMNIA - Key Inputs_EB'!V$249:V$260,'OMNIA - Key Inputs_EB'!$C$249:$C$260,'RSD_BY Techs'!$B178),"")</f>
        <v>0.79795399822349544</v>
      </c>
      <c r="AD178" s="422">
        <f>IFERROR(SUMIFS('OMNIA - Key Inputs_EB'!W$249:W$260,'OMNIA - Key Inputs_EB'!$C$249:$C$260,'RSD_BY Techs'!$B178,'OMNIA - Key Inputs_EB'!$E$249:$E$260,'RSD_BY Techs'!$D178)/SUMIFS('OMNIA - Key Inputs_EB'!W$249:W$260,'OMNIA - Key Inputs_EB'!$C$249:$C$260,'RSD_BY Techs'!$B178),"")</f>
        <v>0.56674078705769582</v>
      </c>
      <c r="AE178" s="422">
        <f>IFERROR(SUMIFS('OMNIA - Key Inputs_EB'!X$249:X$260,'OMNIA - Key Inputs_EB'!$C$249:$C$260,'RSD_BY Techs'!$B178,'OMNIA - Key Inputs_EB'!$E$249:$E$260,'RSD_BY Techs'!$D178)/SUMIFS('OMNIA - Key Inputs_EB'!X$249:X$260,'OMNIA - Key Inputs_EB'!$C$249:$C$260,'RSD_BY Techs'!$B178),"")</f>
        <v>0.10754423427962614</v>
      </c>
      <c r="AF178" s="422" t="str">
        <f>IFERROR(SUMIFS('OMNIA - Key Inputs_EB'!Y$249:Y$260,'OMNIA - Key Inputs_EB'!$C$249:$C$260,'RSD_BY Techs'!$B178,'OMNIA - Key Inputs_EB'!$E$249:$E$260,'RSD_BY Techs'!$D178)/SUMIFS('OMNIA - Key Inputs_EB'!Y$249:Y$260,'OMNIA - Key Inputs_EB'!$C$249:$C$260,'RSD_BY Techs'!$B178),"")</f>
        <v/>
      </c>
      <c r="AG178" s="422" t="str">
        <f>IFERROR(SUMIFS('OMNIA - Key Inputs_EB'!Z$249:Z$260,'OMNIA - Key Inputs_EB'!$C$249:$C$260,'RSD_BY Techs'!$B178,'OMNIA - Key Inputs_EB'!$E$249:$E$260,'RSD_BY Techs'!$D178)/SUMIFS('OMNIA - Key Inputs_EB'!Z$249:Z$260,'OMNIA - Key Inputs_EB'!$C$249:$C$260,'RSD_BY Techs'!$B178),"")</f>
        <v/>
      </c>
      <c r="AH178" s="422" t="str">
        <f>IFERROR(SUMIFS('OMNIA - Key Inputs_EB'!AA$249:AA$260,'OMNIA - Key Inputs_EB'!$C$249:$C$260,'RSD_BY Techs'!$B178,'OMNIA - Key Inputs_EB'!$E$249:$E$260,'RSD_BY Techs'!$D178)/SUMIFS('OMNIA - Key Inputs_EB'!AA$249:AA$260,'OMNIA - Key Inputs_EB'!$C$249:$C$260,'RSD_BY Techs'!$B178),"")</f>
        <v/>
      </c>
      <c r="AI178" s="422" t="str">
        <f>IFERROR(SUMIFS('OMNIA - Key Inputs_EB'!AB$249:AB$260,'OMNIA - Key Inputs_EB'!$C$249:$C$260,'RSD_BY Techs'!$B178,'OMNIA - Key Inputs_EB'!$E$249:$E$260,'RSD_BY Techs'!$D178)/SUMIFS('OMNIA - Key Inputs_EB'!AB$249:AB$260,'OMNIA - Key Inputs_EB'!$C$249:$C$260,'RSD_BY Techs'!$B178),"")</f>
        <v/>
      </c>
      <c r="AJ178" s="422">
        <f>IFERROR(SUMIFS('OMNIA - Key Inputs_EB'!AC$249:AC$260,'OMNIA - Key Inputs_EB'!$C$249:$C$260,'RSD_BY Techs'!$B178,'OMNIA - Key Inputs_EB'!$E$249:$E$260,'RSD_BY Techs'!$D178)/SUMIFS('OMNIA - Key Inputs_EB'!AC$249:AC$260,'OMNIA - Key Inputs_EB'!$C$249:$C$260,'RSD_BY Techs'!$B178),"")</f>
        <v>0.61653493478106169</v>
      </c>
      <c r="AK178" s="422">
        <f>IFERROR(SUMIFS('OMNIA - Key Inputs_EB'!AD$249:AD$260,'OMNIA - Key Inputs_EB'!$C$249:$C$260,'RSD_BY Techs'!$B178,'OMNIA - Key Inputs_EB'!$E$249:$E$260,'RSD_BY Techs'!$D178)/SUMIFS('OMNIA - Key Inputs_EB'!AD$249:AD$260,'OMNIA - Key Inputs_EB'!$C$249:$C$260,'RSD_BY Techs'!$B178),"")</f>
        <v>0.58595589499686196</v>
      </c>
      <c r="AL178" s="422">
        <f>IFERROR(SUMIFS('OMNIA - Key Inputs_EB'!AE$249:AE$260,'OMNIA - Key Inputs_EB'!$C$249:$C$260,'RSD_BY Techs'!$B178,'OMNIA - Key Inputs_EB'!$E$249:$E$260,'RSD_BY Techs'!$D178)/SUMIFS('OMNIA - Key Inputs_EB'!AE$249:AE$260,'OMNIA - Key Inputs_EB'!$C$249:$C$260,'RSD_BY Techs'!$B178),"")</f>
        <v>0.17837869968557074</v>
      </c>
      <c r="AM178" s="422">
        <f>IFERROR(SUMIFS('OMNIA - Key Inputs_EB'!AF$249:AF$260,'OMNIA - Key Inputs_EB'!$C$249:$C$260,'RSD_BY Techs'!$B178,'OMNIA - Key Inputs_EB'!$E$249:$E$260,'RSD_BY Techs'!$D178)/SUMIFS('OMNIA - Key Inputs_EB'!AF$249:AF$260,'OMNIA - Key Inputs_EB'!$C$249:$C$260,'RSD_BY Techs'!$B178),"")</f>
        <v>1</v>
      </c>
      <c r="AN178" s="422" t="str">
        <f>IFERROR(SUMIFS('OMNIA - Key Inputs_EB'!AG$249:AG$260,'OMNIA - Key Inputs_EB'!$C$249:$C$260,'RSD_BY Techs'!$B178,'OMNIA - Key Inputs_EB'!$E$249:$E$260,'RSD_BY Techs'!$D178)/SUMIFS('OMNIA - Key Inputs_EB'!AG$249:AG$260,'OMNIA - Key Inputs_EB'!$C$249:$C$260,'RSD_BY Techs'!$B178),"")</f>
        <v/>
      </c>
      <c r="AO178" s="422">
        <f>IFERROR(SUMIFS('OMNIA - Key Inputs_EB'!AH$249:AH$260,'OMNIA - Key Inputs_EB'!$C$249:$C$260,'RSD_BY Techs'!$B178,'OMNIA - Key Inputs_EB'!$E$249:$E$260,'RSD_BY Techs'!$D178)/SUMIFS('OMNIA - Key Inputs_EB'!AH$249:AH$260,'OMNIA - Key Inputs_EB'!$C$249:$C$260,'RSD_BY Techs'!$B178),"")</f>
        <v>1</v>
      </c>
      <c r="AP178" s="422">
        <f>IFERROR(SUMIFS('OMNIA - Key Inputs_EB'!AI$249:AI$260,'OMNIA - Key Inputs_EB'!$C$249:$C$260,'RSD_BY Techs'!$B178,'OMNIA - Key Inputs_EB'!$E$249:$E$260,'RSD_BY Techs'!$D178)/SUMIFS('OMNIA - Key Inputs_EB'!AI$249:AI$260,'OMNIA - Key Inputs_EB'!$C$249:$C$260,'RSD_BY Techs'!$B178),"")</f>
        <v>0.25149529959697819</v>
      </c>
    </row>
    <row r="179" spans="1:42" x14ac:dyDescent="0.25">
      <c r="A179" s="254" t="str">
        <f>Legend!A$54</f>
        <v>Other uses</v>
      </c>
      <c r="B179" s="254" t="str">
        <f>LEFT(Legend!$C$4)&amp;"-"&amp;Legend!B$54</f>
        <v>R-OTH</v>
      </c>
      <c r="C179" s="254" t="str">
        <f>Legend!A$67</f>
        <v>Geothermal</v>
      </c>
      <c r="D179" s="254" t="str">
        <f>Legend!B$67</f>
        <v>RSDGEO</v>
      </c>
      <c r="E179" s="254" t="str">
        <f t="shared" si="47"/>
        <v>RSDGEO</v>
      </c>
      <c r="F179" s="254"/>
      <c r="G179" s="254"/>
      <c r="K179" s="229" t="str">
        <f t="shared" si="48"/>
        <v>RSDGEO</v>
      </c>
      <c r="L179" s="87" t="s">
        <v>203</v>
      </c>
      <c r="M179" s="87" t="s">
        <v>174</v>
      </c>
      <c r="N179" s="87" t="s">
        <v>77</v>
      </c>
      <c r="O179" s="422">
        <f>IFERROR(SUMIFS('OMNIA - Key Inputs_EB'!H$249:H$260,'OMNIA - Key Inputs_EB'!$C$249:$C$260,'RSD_BY Techs'!$B179,'OMNIA - Key Inputs_EB'!$E$249:$E$260,'RSD_BY Techs'!$D179)/SUMIFS('OMNIA - Key Inputs_EB'!H$249:H$260,'OMNIA - Key Inputs_EB'!$C$249:$C$260,'RSD_BY Techs'!$B179),"")</f>
        <v>0</v>
      </c>
      <c r="P179" s="422">
        <f>IFERROR(SUMIFS('OMNIA - Key Inputs_EB'!I$249:I$260,'OMNIA - Key Inputs_EB'!$C$249:$C$260,'RSD_BY Techs'!$B179,'OMNIA - Key Inputs_EB'!$E$249:$E$260,'RSD_BY Techs'!$D179)/SUMIFS('OMNIA - Key Inputs_EB'!I$249:I$260,'OMNIA - Key Inputs_EB'!$C$249:$C$260,'RSD_BY Techs'!$B179),"")</f>
        <v>0</v>
      </c>
      <c r="Q179" s="422">
        <f>IFERROR(SUMIFS('OMNIA - Key Inputs_EB'!J$249:J$260,'OMNIA - Key Inputs_EB'!$C$249:$C$260,'RSD_BY Techs'!$B179,'OMNIA - Key Inputs_EB'!$E$249:$E$260,'RSD_BY Techs'!$D179)/SUMIFS('OMNIA - Key Inputs_EB'!J$249:J$260,'OMNIA - Key Inputs_EB'!$C$249:$C$260,'RSD_BY Techs'!$B179),"")</f>
        <v>0</v>
      </c>
      <c r="R179" s="422">
        <f>IFERROR(SUMIFS('OMNIA - Key Inputs_EB'!K$249:K$260,'OMNIA - Key Inputs_EB'!$C$249:$C$260,'RSD_BY Techs'!$B179,'OMNIA - Key Inputs_EB'!$E$249:$E$260,'RSD_BY Techs'!$D179)/SUMIFS('OMNIA - Key Inputs_EB'!K$249:K$260,'OMNIA - Key Inputs_EB'!$C$249:$C$260,'RSD_BY Techs'!$B179),"")</f>
        <v>0</v>
      </c>
      <c r="S179" s="422" t="str">
        <f>IFERROR(SUMIFS('OMNIA - Key Inputs_EB'!L$249:L$260,'OMNIA - Key Inputs_EB'!$C$249:$C$260,'RSD_BY Techs'!$B179,'OMNIA - Key Inputs_EB'!$E$249:$E$260,'RSD_BY Techs'!$D179)/SUMIFS('OMNIA - Key Inputs_EB'!L$249:L$260,'OMNIA - Key Inputs_EB'!$C$249:$C$260,'RSD_BY Techs'!$B179),"")</f>
        <v/>
      </c>
      <c r="T179" s="422" t="str">
        <f>IFERROR(SUMIFS('OMNIA - Key Inputs_EB'!M$249:M$260,'OMNIA - Key Inputs_EB'!$C$249:$C$260,'RSD_BY Techs'!$B179,'OMNIA - Key Inputs_EB'!$E$249:$E$260,'RSD_BY Techs'!$D179)/SUMIFS('OMNIA - Key Inputs_EB'!M$249:M$260,'OMNIA - Key Inputs_EB'!$C$249:$C$260,'RSD_BY Techs'!$B179),"")</f>
        <v/>
      </c>
      <c r="U179" s="422" t="str">
        <f>IFERROR(SUMIFS('OMNIA - Key Inputs_EB'!N$249:N$260,'OMNIA - Key Inputs_EB'!$C$249:$C$260,'RSD_BY Techs'!$B179,'OMNIA - Key Inputs_EB'!$E$249:$E$260,'RSD_BY Techs'!$D179)/SUMIFS('OMNIA - Key Inputs_EB'!N$249:N$260,'OMNIA - Key Inputs_EB'!$C$249:$C$260,'RSD_BY Techs'!$B179),"")</f>
        <v/>
      </c>
      <c r="V179" s="422" t="str">
        <f>IFERROR(SUMIFS('OMNIA - Key Inputs_EB'!O$249:O$260,'OMNIA - Key Inputs_EB'!$C$249:$C$260,'RSD_BY Techs'!$B179,'OMNIA - Key Inputs_EB'!$E$249:$E$260,'RSD_BY Techs'!$D179)/SUMIFS('OMNIA - Key Inputs_EB'!O$249:O$260,'OMNIA - Key Inputs_EB'!$C$249:$C$260,'RSD_BY Techs'!$B179),"")</f>
        <v/>
      </c>
      <c r="W179" s="422" t="str">
        <f>IFERROR(SUMIFS('OMNIA - Key Inputs_EB'!P$249:P$260,'OMNIA - Key Inputs_EB'!$C$249:$C$260,'RSD_BY Techs'!$B179,'OMNIA - Key Inputs_EB'!$E$249:$E$260,'RSD_BY Techs'!$D179)/SUMIFS('OMNIA - Key Inputs_EB'!P$249:P$260,'OMNIA - Key Inputs_EB'!$C$249:$C$260,'RSD_BY Techs'!$B179),"")</f>
        <v/>
      </c>
      <c r="X179" s="422" t="str">
        <f>IFERROR(SUMIFS('OMNIA - Key Inputs_EB'!Q$249:Q$260,'OMNIA - Key Inputs_EB'!$C$249:$C$260,'RSD_BY Techs'!$B179,'OMNIA - Key Inputs_EB'!$E$249:$E$260,'RSD_BY Techs'!$D179)/SUMIFS('OMNIA - Key Inputs_EB'!Q$249:Q$260,'OMNIA - Key Inputs_EB'!$C$249:$C$260,'RSD_BY Techs'!$B179),"")</f>
        <v/>
      </c>
      <c r="Y179" s="422">
        <f>IFERROR(SUMIFS('OMNIA - Key Inputs_EB'!R$249:R$260,'OMNIA - Key Inputs_EB'!$C$249:$C$260,'RSD_BY Techs'!$B179,'OMNIA - Key Inputs_EB'!$E$249:$E$260,'RSD_BY Techs'!$D179)/SUMIFS('OMNIA - Key Inputs_EB'!R$249:R$260,'OMNIA - Key Inputs_EB'!$C$249:$C$260,'RSD_BY Techs'!$B179),"")</f>
        <v>0</v>
      </c>
      <c r="Z179" s="422" t="str">
        <f>IFERROR(SUMIFS('OMNIA - Key Inputs_EB'!S$249:S$260,'OMNIA - Key Inputs_EB'!$C$249:$C$260,'RSD_BY Techs'!$B179,'OMNIA - Key Inputs_EB'!$E$249:$E$260,'RSD_BY Techs'!$D179)/SUMIFS('OMNIA - Key Inputs_EB'!S$249:S$260,'OMNIA - Key Inputs_EB'!$C$249:$C$260,'RSD_BY Techs'!$B179),"")</f>
        <v/>
      </c>
      <c r="AA179" s="422">
        <f>IFERROR(SUMIFS('OMNIA - Key Inputs_EB'!T$249:T$260,'OMNIA - Key Inputs_EB'!$C$249:$C$260,'RSD_BY Techs'!$B179,'OMNIA - Key Inputs_EB'!$E$249:$E$260,'RSD_BY Techs'!$D179)/SUMIFS('OMNIA - Key Inputs_EB'!T$249:T$260,'OMNIA - Key Inputs_EB'!$C$249:$C$260,'RSD_BY Techs'!$B179),"")</f>
        <v>0</v>
      </c>
      <c r="AB179" s="422">
        <f>IFERROR(SUMIFS('OMNIA - Key Inputs_EB'!U$249:U$260,'OMNIA - Key Inputs_EB'!$C$249:$C$260,'RSD_BY Techs'!$B179,'OMNIA - Key Inputs_EB'!$E$249:$E$260,'RSD_BY Techs'!$D179)/SUMIFS('OMNIA - Key Inputs_EB'!U$249:U$260,'OMNIA - Key Inputs_EB'!$C$249:$C$260,'RSD_BY Techs'!$B179),"")</f>
        <v>0</v>
      </c>
      <c r="AC179" s="422">
        <f>IFERROR(SUMIFS('OMNIA - Key Inputs_EB'!V$249:V$260,'OMNIA - Key Inputs_EB'!$C$249:$C$260,'RSD_BY Techs'!$B179,'OMNIA - Key Inputs_EB'!$E$249:$E$260,'RSD_BY Techs'!$D179)/SUMIFS('OMNIA - Key Inputs_EB'!V$249:V$260,'OMNIA - Key Inputs_EB'!$C$249:$C$260,'RSD_BY Techs'!$B179),"")</f>
        <v>0</v>
      </c>
      <c r="AD179" s="422">
        <f>IFERROR(SUMIFS('OMNIA - Key Inputs_EB'!W$249:W$260,'OMNIA - Key Inputs_EB'!$C$249:$C$260,'RSD_BY Techs'!$B179,'OMNIA - Key Inputs_EB'!$E$249:$E$260,'RSD_BY Techs'!$D179)/SUMIFS('OMNIA - Key Inputs_EB'!W$249:W$260,'OMNIA - Key Inputs_EB'!$C$249:$C$260,'RSD_BY Techs'!$B179),"")</f>
        <v>0</v>
      </c>
      <c r="AE179" s="422">
        <f>IFERROR(SUMIFS('OMNIA - Key Inputs_EB'!X$249:X$260,'OMNIA - Key Inputs_EB'!$C$249:$C$260,'RSD_BY Techs'!$B179,'OMNIA - Key Inputs_EB'!$E$249:$E$260,'RSD_BY Techs'!$D179)/SUMIFS('OMNIA - Key Inputs_EB'!X$249:X$260,'OMNIA - Key Inputs_EB'!$C$249:$C$260,'RSD_BY Techs'!$B179),"")</f>
        <v>0</v>
      </c>
      <c r="AF179" s="422" t="str">
        <f>IFERROR(SUMIFS('OMNIA - Key Inputs_EB'!Y$249:Y$260,'OMNIA - Key Inputs_EB'!$C$249:$C$260,'RSD_BY Techs'!$B179,'OMNIA - Key Inputs_EB'!$E$249:$E$260,'RSD_BY Techs'!$D179)/SUMIFS('OMNIA - Key Inputs_EB'!Y$249:Y$260,'OMNIA - Key Inputs_EB'!$C$249:$C$260,'RSD_BY Techs'!$B179),"")</f>
        <v/>
      </c>
      <c r="AG179" s="422" t="str">
        <f>IFERROR(SUMIFS('OMNIA - Key Inputs_EB'!Z$249:Z$260,'OMNIA - Key Inputs_EB'!$C$249:$C$260,'RSD_BY Techs'!$B179,'OMNIA - Key Inputs_EB'!$E$249:$E$260,'RSD_BY Techs'!$D179)/SUMIFS('OMNIA - Key Inputs_EB'!Z$249:Z$260,'OMNIA - Key Inputs_EB'!$C$249:$C$260,'RSD_BY Techs'!$B179),"")</f>
        <v/>
      </c>
      <c r="AH179" s="422" t="str">
        <f>IFERROR(SUMIFS('OMNIA - Key Inputs_EB'!AA$249:AA$260,'OMNIA - Key Inputs_EB'!$C$249:$C$260,'RSD_BY Techs'!$B179,'OMNIA - Key Inputs_EB'!$E$249:$E$260,'RSD_BY Techs'!$D179)/SUMIFS('OMNIA - Key Inputs_EB'!AA$249:AA$260,'OMNIA - Key Inputs_EB'!$C$249:$C$260,'RSD_BY Techs'!$B179),"")</f>
        <v/>
      </c>
      <c r="AI179" s="422" t="str">
        <f>IFERROR(SUMIFS('OMNIA - Key Inputs_EB'!AB$249:AB$260,'OMNIA - Key Inputs_EB'!$C$249:$C$260,'RSD_BY Techs'!$B179,'OMNIA - Key Inputs_EB'!$E$249:$E$260,'RSD_BY Techs'!$D179)/SUMIFS('OMNIA - Key Inputs_EB'!AB$249:AB$260,'OMNIA - Key Inputs_EB'!$C$249:$C$260,'RSD_BY Techs'!$B179),"")</f>
        <v/>
      </c>
      <c r="AJ179" s="422">
        <f>IFERROR(SUMIFS('OMNIA - Key Inputs_EB'!AC$249:AC$260,'OMNIA - Key Inputs_EB'!$C$249:$C$260,'RSD_BY Techs'!$B179,'OMNIA - Key Inputs_EB'!$E$249:$E$260,'RSD_BY Techs'!$D179)/SUMIFS('OMNIA - Key Inputs_EB'!AC$249:AC$260,'OMNIA - Key Inputs_EB'!$C$249:$C$260,'RSD_BY Techs'!$B179),"")</f>
        <v>0</v>
      </c>
      <c r="AK179" s="422">
        <f>IFERROR(SUMIFS('OMNIA - Key Inputs_EB'!AD$249:AD$260,'OMNIA - Key Inputs_EB'!$C$249:$C$260,'RSD_BY Techs'!$B179,'OMNIA - Key Inputs_EB'!$E$249:$E$260,'RSD_BY Techs'!$D179)/SUMIFS('OMNIA - Key Inputs_EB'!AD$249:AD$260,'OMNIA - Key Inputs_EB'!$C$249:$C$260,'RSD_BY Techs'!$B179),"")</f>
        <v>0</v>
      </c>
      <c r="AL179" s="422">
        <f>IFERROR(SUMIFS('OMNIA - Key Inputs_EB'!AE$249:AE$260,'OMNIA - Key Inputs_EB'!$C$249:$C$260,'RSD_BY Techs'!$B179,'OMNIA - Key Inputs_EB'!$E$249:$E$260,'RSD_BY Techs'!$D179)/SUMIFS('OMNIA - Key Inputs_EB'!AE$249:AE$260,'OMNIA - Key Inputs_EB'!$C$249:$C$260,'RSD_BY Techs'!$B179),"")</f>
        <v>0</v>
      </c>
      <c r="AM179" s="422">
        <f>IFERROR(SUMIFS('OMNIA - Key Inputs_EB'!AF$249:AF$260,'OMNIA - Key Inputs_EB'!$C$249:$C$260,'RSD_BY Techs'!$B179,'OMNIA - Key Inputs_EB'!$E$249:$E$260,'RSD_BY Techs'!$D179)/SUMIFS('OMNIA - Key Inputs_EB'!AF$249:AF$260,'OMNIA - Key Inputs_EB'!$C$249:$C$260,'RSD_BY Techs'!$B179),"")</f>
        <v>0</v>
      </c>
      <c r="AN179" s="422" t="str">
        <f>IFERROR(SUMIFS('OMNIA - Key Inputs_EB'!AG$249:AG$260,'OMNIA - Key Inputs_EB'!$C$249:$C$260,'RSD_BY Techs'!$B179,'OMNIA - Key Inputs_EB'!$E$249:$E$260,'RSD_BY Techs'!$D179)/SUMIFS('OMNIA - Key Inputs_EB'!AG$249:AG$260,'OMNIA - Key Inputs_EB'!$C$249:$C$260,'RSD_BY Techs'!$B179),"")</f>
        <v/>
      </c>
      <c r="AO179" s="422">
        <f>IFERROR(SUMIFS('OMNIA - Key Inputs_EB'!AH$249:AH$260,'OMNIA - Key Inputs_EB'!$C$249:$C$260,'RSD_BY Techs'!$B179,'OMNIA - Key Inputs_EB'!$E$249:$E$260,'RSD_BY Techs'!$D179)/SUMIFS('OMNIA - Key Inputs_EB'!AH$249:AH$260,'OMNIA - Key Inputs_EB'!$C$249:$C$260,'RSD_BY Techs'!$B179),"")</f>
        <v>0</v>
      </c>
      <c r="AP179" s="422">
        <f>IFERROR(SUMIFS('OMNIA - Key Inputs_EB'!AI$249:AI$260,'OMNIA - Key Inputs_EB'!$C$249:$C$260,'RSD_BY Techs'!$B179,'OMNIA - Key Inputs_EB'!$E$249:$E$260,'RSD_BY Techs'!$D179)/SUMIFS('OMNIA - Key Inputs_EB'!AI$249:AI$260,'OMNIA - Key Inputs_EB'!$C$249:$C$260,'RSD_BY Techs'!$B179),"")</f>
        <v>0</v>
      </c>
    </row>
    <row r="180" spans="1:42" x14ac:dyDescent="0.25">
      <c r="A180" s="254" t="str">
        <f>Legend!A$54</f>
        <v>Other uses</v>
      </c>
      <c r="B180" s="254" t="str">
        <f>LEFT(Legend!$C$4)&amp;"-"&amp;Legend!B$54</f>
        <v>R-OTH</v>
      </c>
      <c r="C180" s="254" t="str">
        <f>Legend!A$68</f>
        <v>Heat</v>
      </c>
      <c r="D180" s="254" t="str">
        <f>Legend!B$68</f>
        <v>RSDHET</v>
      </c>
      <c r="E180" s="254" t="str">
        <f t="shared" si="47"/>
        <v>RSDHET</v>
      </c>
      <c r="F180" s="254"/>
      <c r="G180" s="254"/>
      <c r="K180" s="229" t="str">
        <f t="shared" si="48"/>
        <v>RSDHET</v>
      </c>
      <c r="L180" s="87" t="s">
        <v>203</v>
      </c>
      <c r="M180" s="87" t="s">
        <v>174</v>
      </c>
      <c r="N180" s="87" t="s">
        <v>77</v>
      </c>
      <c r="O180" s="422">
        <f>IFERROR(SUMIFS('OMNIA - Key Inputs_EB'!H$249:H$260,'OMNIA - Key Inputs_EB'!$C$249:$C$260,'RSD_BY Techs'!$B180,'OMNIA - Key Inputs_EB'!$E$249:$E$260,'RSD_BY Techs'!$D180)/SUMIFS('OMNIA - Key Inputs_EB'!H$249:H$260,'OMNIA - Key Inputs_EB'!$C$249:$C$260,'RSD_BY Techs'!$B180),"")</f>
        <v>0</v>
      </c>
      <c r="P180" s="422">
        <f>IFERROR(SUMIFS('OMNIA - Key Inputs_EB'!I$249:I$260,'OMNIA - Key Inputs_EB'!$C$249:$C$260,'RSD_BY Techs'!$B180,'OMNIA - Key Inputs_EB'!$E$249:$E$260,'RSD_BY Techs'!$D180)/SUMIFS('OMNIA - Key Inputs_EB'!I$249:I$260,'OMNIA - Key Inputs_EB'!$C$249:$C$260,'RSD_BY Techs'!$B180),"")</f>
        <v>0</v>
      </c>
      <c r="Q180" s="422">
        <f>IFERROR(SUMIFS('OMNIA - Key Inputs_EB'!J$249:J$260,'OMNIA - Key Inputs_EB'!$C$249:$C$260,'RSD_BY Techs'!$B180,'OMNIA - Key Inputs_EB'!$E$249:$E$260,'RSD_BY Techs'!$D180)/SUMIFS('OMNIA - Key Inputs_EB'!J$249:J$260,'OMNIA - Key Inputs_EB'!$C$249:$C$260,'RSD_BY Techs'!$B180),"")</f>
        <v>0</v>
      </c>
      <c r="R180" s="422">
        <f>IFERROR(SUMIFS('OMNIA - Key Inputs_EB'!K$249:K$260,'OMNIA - Key Inputs_EB'!$C$249:$C$260,'RSD_BY Techs'!$B180,'OMNIA - Key Inputs_EB'!$E$249:$E$260,'RSD_BY Techs'!$D180)/SUMIFS('OMNIA - Key Inputs_EB'!K$249:K$260,'OMNIA - Key Inputs_EB'!$C$249:$C$260,'RSD_BY Techs'!$B180),"")</f>
        <v>0</v>
      </c>
      <c r="S180" s="422" t="str">
        <f>IFERROR(SUMIFS('OMNIA - Key Inputs_EB'!L$249:L$260,'OMNIA - Key Inputs_EB'!$C$249:$C$260,'RSD_BY Techs'!$B180,'OMNIA - Key Inputs_EB'!$E$249:$E$260,'RSD_BY Techs'!$D180)/SUMIFS('OMNIA - Key Inputs_EB'!L$249:L$260,'OMNIA - Key Inputs_EB'!$C$249:$C$260,'RSD_BY Techs'!$B180),"")</f>
        <v/>
      </c>
      <c r="T180" s="422" t="str">
        <f>IFERROR(SUMIFS('OMNIA - Key Inputs_EB'!M$249:M$260,'OMNIA - Key Inputs_EB'!$C$249:$C$260,'RSD_BY Techs'!$B180,'OMNIA - Key Inputs_EB'!$E$249:$E$260,'RSD_BY Techs'!$D180)/SUMIFS('OMNIA - Key Inputs_EB'!M$249:M$260,'OMNIA - Key Inputs_EB'!$C$249:$C$260,'RSD_BY Techs'!$B180),"")</f>
        <v/>
      </c>
      <c r="U180" s="422" t="str">
        <f>IFERROR(SUMIFS('OMNIA - Key Inputs_EB'!N$249:N$260,'OMNIA - Key Inputs_EB'!$C$249:$C$260,'RSD_BY Techs'!$B180,'OMNIA - Key Inputs_EB'!$E$249:$E$260,'RSD_BY Techs'!$D180)/SUMIFS('OMNIA - Key Inputs_EB'!N$249:N$260,'OMNIA - Key Inputs_EB'!$C$249:$C$260,'RSD_BY Techs'!$B180),"")</f>
        <v/>
      </c>
      <c r="V180" s="422" t="str">
        <f>IFERROR(SUMIFS('OMNIA - Key Inputs_EB'!O$249:O$260,'OMNIA - Key Inputs_EB'!$C$249:$C$260,'RSD_BY Techs'!$B180,'OMNIA - Key Inputs_EB'!$E$249:$E$260,'RSD_BY Techs'!$D180)/SUMIFS('OMNIA - Key Inputs_EB'!O$249:O$260,'OMNIA - Key Inputs_EB'!$C$249:$C$260,'RSD_BY Techs'!$B180),"")</f>
        <v/>
      </c>
      <c r="W180" s="422" t="str">
        <f>IFERROR(SUMIFS('OMNIA - Key Inputs_EB'!P$249:P$260,'OMNIA - Key Inputs_EB'!$C$249:$C$260,'RSD_BY Techs'!$B180,'OMNIA - Key Inputs_EB'!$E$249:$E$260,'RSD_BY Techs'!$D180)/SUMIFS('OMNIA - Key Inputs_EB'!P$249:P$260,'OMNIA - Key Inputs_EB'!$C$249:$C$260,'RSD_BY Techs'!$B180),"")</f>
        <v/>
      </c>
      <c r="X180" s="422" t="str">
        <f>IFERROR(SUMIFS('OMNIA - Key Inputs_EB'!Q$249:Q$260,'OMNIA - Key Inputs_EB'!$C$249:$C$260,'RSD_BY Techs'!$B180,'OMNIA - Key Inputs_EB'!$E$249:$E$260,'RSD_BY Techs'!$D180)/SUMIFS('OMNIA - Key Inputs_EB'!Q$249:Q$260,'OMNIA - Key Inputs_EB'!$C$249:$C$260,'RSD_BY Techs'!$B180),"")</f>
        <v/>
      </c>
      <c r="Y180" s="422">
        <f>IFERROR(SUMIFS('OMNIA - Key Inputs_EB'!R$249:R$260,'OMNIA - Key Inputs_EB'!$C$249:$C$260,'RSD_BY Techs'!$B180,'OMNIA - Key Inputs_EB'!$E$249:$E$260,'RSD_BY Techs'!$D180)/SUMIFS('OMNIA - Key Inputs_EB'!R$249:R$260,'OMNIA - Key Inputs_EB'!$C$249:$C$260,'RSD_BY Techs'!$B180),"")</f>
        <v>0</v>
      </c>
      <c r="Z180" s="422" t="str">
        <f>IFERROR(SUMIFS('OMNIA - Key Inputs_EB'!S$249:S$260,'OMNIA - Key Inputs_EB'!$C$249:$C$260,'RSD_BY Techs'!$B180,'OMNIA - Key Inputs_EB'!$E$249:$E$260,'RSD_BY Techs'!$D180)/SUMIFS('OMNIA - Key Inputs_EB'!S$249:S$260,'OMNIA - Key Inputs_EB'!$C$249:$C$260,'RSD_BY Techs'!$B180),"")</f>
        <v/>
      </c>
      <c r="AA180" s="422">
        <f>IFERROR(SUMIFS('OMNIA - Key Inputs_EB'!T$249:T$260,'OMNIA - Key Inputs_EB'!$C$249:$C$260,'RSD_BY Techs'!$B180,'OMNIA - Key Inputs_EB'!$E$249:$E$260,'RSD_BY Techs'!$D180)/SUMIFS('OMNIA - Key Inputs_EB'!T$249:T$260,'OMNIA - Key Inputs_EB'!$C$249:$C$260,'RSD_BY Techs'!$B180),"")</f>
        <v>0</v>
      </c>
      <c r="AB180" s="422">
        <f>IFERROR(SUMIFS('OMNIA - Key Inputs_EB'!U$249:U$260,'OMNIA - Key Inputs_EB'!$C$249:$C$260,'RSD_BY Techs'!$B180,'OMNIA - Key Inputs_EB'!$E$249:$E$260,'RSD_BY Techs'!$D180)/SUMIFS('OMNIA - Key Inputs_EB'!U$249:U$260,'OMNIA - Key Inputs_EB'!$C$249:$C$260,'RSD_BY Techs'!$B180),"")</f>
        <v>0</v>
      </c>
      <c r="AC180" s="422">
        <f>IFERROR(SUMIFS('OMNIA - Key Inputs_EB'!V$249:V$260,'OMNIA - Key Inputs_EB'!$C$249:$C$260,'RSD_BY Techs'!$B180,'OMNIA - Key Inputs_EB'!$E$249:$E$260,'RSD_BY Techs'!$D180)/SUMIFS('OMNIA - Key Inputs_EB'!V$249:V$260,'OMNIA - Key Inputs_EB'!$C$249:$C$260,'RSD_BY Techs'!$B180),"")</f>
        <v>0</v>
      </c>
      <c r="AD180" s="422">
        <f>IFERROR(SUMIFS('OMNIA - Key Inputs_EB'!W$249:W$260,'OMNIA - Key Inputs_EB'!$C$249:$C$260,'RSD_BY Techs'!$B180,'OMNIA - Key Inputs_EB'!$E$249:$E$260,'RSD_BY Techs'!$D180)/SUMIFS('OMNIA - Key Inputs_EB'!W$249:W$260,'OMNIA - Key Inputs_EB'!$C$249:$C$260,'RSD_BY Techs'!$B180),"")</f>
        <v>0</v>
      </c>
      <c r="AE180" s="422">
        <f>IFERROR(SUMIFS('OMNIA - Key Inputs_EB'!X$249:X$260,'OMNIA - Key Inputs_EB'!$C$249:$C$260,'RSD_BY Techs'!$B180,'OMNIA - Key Inputs_EB'!$E$249:$E$260,'RSD_BY Techs'!$D180)/SUMIFS('OMNIA - Key Inputs_EB'!X$249:X$260,'OMNIA - Key Inputs_EB'!$C$249:$C$260,'RSD_BY Techs'!$B180),"")</f>
        <v>0</v>
      </c>
      <c r="AF180" s="422" t="str">
        <f>IFERROR(SUMIFS('OMNIA - Key Inputs_EB'!Y$249:Y$260,'OMNIA - Key Inputs_EB'!$C$249:$C$260,'RSD_BY Techs'!$B180,'OMNIA - Key Inputs_EB'!$E$249:$E$260,'RSD_BY Techs'!$D180)/SUMIFS('OMNIA - Key Inputs_EB'!Y$249:Y$260,'OMNIA - Key Inputs_EB'!$C$249:$C$260,'RSD_BY Techs'!$B180),"")</f>
        <v/>
      </c>
      <c r="AG180" s="422" t="str">
        <f>IFERROR(SUMIFS('OMNIA - Key Inputs_EB'!Z$249:Z$260,'OMNIA - Key Inputs_EB'!$C$249:$C$260,'RSD_BY Techs'!$B180,'OMNIA - Key Inputs_EB'!$E$249:$E$260,'RSD_BY Techs'!$D180)/SUMIFS('OMNIA - Key Inputs_EB'!Z$249:Z$260,'OMNIA - Key Inputs_EB'!$C$249:$C$260,'RSD_BY Techs'!$B180),"")</f>
        <v/>
      </c>
      <c r="AH180" s="422" t="str">
        <f>IFERROR(SUMIFS('OMNIA - Key Inputs_EB'!AA$249:AA$260,'OMNIA - Key Inputs_EB'!$C$249:$C$260,'RSD_BY Techs'!$B180,'OMNIA - Key Inputs_EB'!$E$249:$E$260,'RSD_BY Techs'!$D180)/SUMIFS('OMNIA - Key Inputs_EB'!AA$249:AA$260,'OMNIA - Key Inputs_EB'!$C$249:$C$260,'RSD_BY Techs'!$B180),"")</f>
        <v/>
      </c>
      <c r="AI180" s="422" t="str">
        <f>IFERROR(SUMIFS('OMNIA - Key Inputs_EB'!AB$249:AB$260,'OMNIA - Key Inputs_EB'!$C$249:$C$260,'RSD_BY Techs'!$B180,'OMNIA - Key Inputs_EB'!$E$249:$E$260,'RSD_BY Techs'!$D180)/SUMIFS('OMNIA - Key Inputs_EB'!AB$249:AB$260,'OMNIA - Key Inputs_EB'!$C$249:$C$260,'RSD_BY Techs'!$B180),"")</f>
        <v/>
      </c>
      <c r="AJ180" s="422">
        <f>IFERROR(SUMIFS('OMNIA - Key Inputs_EB'!AC$249:AC$260,'OMNIA - Key Inputs_EB'!$C$249:$C$260,'RSD_BY Techs'!$B180,'OMNIA - Key Inputs_EB'!$E$249:$E$260,'RSD_BY Techs'!$D180)/SUMIFS('OMNIA - Key Inputs_EB'!AC$249:AC$260,'OMNIA - Key Inputs_EB'!$C$249:$C$260,'RSD_BY Techs'!$B180),"")</f>
        <v>0</v>
      </c>
      <c r="AK180" s="422">
        <f>IFERROR(SUMIFS('OMNIA - Key Inputs_EB'!AD$249:AD$260,'OMNIA - Key Inputs_EB'!$C$249:$C$260,'RSD_BY Techs'!$B180,'OMNIA - Key Inputs_EB'!$E$249:$E$260,'RSD_BY Techs'!$D180)/SUMIFS('OMNIA - Key Inputs_EB'!AD$249:AD$260,'OMNIA - Key Inputs_EB'!$C$249:$C$260,'RSD_BY Techs'!$B180),"")</f>
        <v>0</v>
      </c>
      <c r="AL180" s="422">
        <f>IFERROR(SUMIFS('OMNIA - Key Inputs_EB'!AE$249:AE$260,'OMNIA - Key Inputs_EB'!$C$249:$C$260,'RSD_BY Techs'!$B180,'OMNIA - Key Inputs_EB'!$E$249:$E$260,'RSD_BY Techs'!$D180)/SUMIFS('OMNIA - Key Inputs_EB'!AE$249:AE$260,'OMNIA - Key Inputs_EB'!$C$249:$C$260,'RSD_BY Techs'!$B180),"")</f>
        <v>0</v>
      </c>
      <c r="AM180" s="422">
        <f>IFERROR(SUMIFS('OMNIA - Key Inputs_EB'!AF$249:AF$260,'OMNIA - Key Inputs_EB'!$C$249:$C$260,'RSD_BY Techs'!$B180,'OMNIA - Key Inputs_EB'!$E$249:$E$260,'RSD_BY Techs'!$D180)/SUMIFS('OMNIA - Key Inputs_EB'!AF$249:AF$260,'OMNIA - Key Inputs_EB'!$C$249:$C$260,'RSD_BY Techs'!$B180),"")</f>
        <v>0</v>
      </c>
      <c r="AN180" s="422" t="str">
        <f>IFERROR(SUMIFS('OMNIA - Key Inputs_EB'!AG$249:AG$260,'OMNIA - Key Inputs_EB'!$C$249:$C$260,'RSD_BY Techs'!$B180,'OMNIA - Key Inputs_EB'!$E$249:$E$260,'RSD_BY Techs'!$D180)/SUMIFS('OMNIA - Key Inputs_EB'!AG$249:AG$260,'OMNIA - Key Inputs_EB'!$C$249:$C$260,'RSD_BY Techs'!$B180),"")</f>
        <v/>
      </c>
      <c r="AO180" s="422">
        <f>IFERROR(SUMIFS('OMNIA - Key Inputs_EB'!AH$249:AH$260,'OMNIA - Key Inputs_EB'!$C$249:$C$260,'RSD_BY Techs'!$B180,'OMNIA - Key Inputs_EB'!$E$249:$E$260,'RSD_BY Techs'!$D180)/SUMIFS('OMNIA - Key Inputs_EB'!AH$249:AH$260,'OMNIA - Key Inputs_EB'!$C$249:$C$260,'RSD_BY Techs'!$B180),"")</f>
        <v>0</v>
      </c>
      <c r="AP180" s="422">
        <f>IFERROR(SUMIFS('OMNIA - Key Inputs_EB'!AI$249:AI$260,'OMNIA - Key Inputs_EB'!$C$249:$C$260,'RSD_BY Techs'!$B180,'OMNIA - Key Inputs_EB'!$E$249:$E$260,'RSD_BY Techs'!$D180)/SUMIFS('OMNIA - Key Inputs_EB'!AI$249:AI$260,'OMNIA - Key Inputs_EB'!$C$249:$C$260,'RSD_BY Techs'!$B180),"")</f>
        <v>0</v>
      </c>
    </row>
    <row r="181" spans="1:42" x14ac:dyDescent="0.25">
      <c r="A181" s="254" t="str">
        <f>Legend!A$54</f>
        <v>Other uses</v>
      </c>
      <c r="B181" s="254" t="str">
        <f>LEFT(Legend!$C$4)&amp;"-"&amp;Legend!B$54</f>
        <v>R-OTH</v>
      </c>
      <c r="C181" s="254" t="str">
        <f>Legend!A$69</f>
        <v>Liquid biofuels</v>
      </c>
      <c r="D181" s="254" t="str">
        <f>Legend!B$69</f>
        <v>RSDBLQ</v>
      </c>
      <c r="E181" s="254" t="str">
        <f t="shared" si="47"/>
        <v>RSDBLQ</v>
      </c>
      <c r="F181" s="254"/>
      <c r="G181" s="254"/>
      <c r="K181" s="229" t="str">
        <f t="shared" si="48"/>
        <v>RSDBLQ</v>
      </c>
      <c r="L181" s="87" t="s">
        <v>203</v>
      </c>
      <c r="M181" s="87" t="s">
        <v>174</v>
      </c>
      <c r="N181" s="87" t="s">
        <v>77</v>
      </c>
      <c r="O181" s="422">
        <f>IFERROR(SUMIFS('OMNIA - Key Inputs_EB'!H$249:H$260,'OMNIA - Key Inputs_EB'!$C$249:$C$260,'RSD_BY Techs'!$B181,'OMNIA - Key Inputs_EB'!$E$249:$E$260,'RSD_BY Techs'!$D181)/SUMIFS('OMNIA - Key Inputs_EB'!H$249:H$260,'OMNIA - Key Inputs_EB'!$C$249:$C$260,'RSD_BY Techs'!$B181),"")</f>
        <v>0</v>
      </c>
      <c r="P181" s="422">
        <f>IFERROR(SUMIFS('OMNIA - Key Inputs_EB'!I$249:I$260,'OMNIA - Key Inputs_EB'!$C$249:$C$260,'RSD_BY Techs'!$B181,'OMNIA - Key Inputs_EB'!$E$249:$E$260,'RSD_BY Techs'!$D181)/SUMIFS('OMNIA - Key Inputs_EB'!I$249:I$260,'OMNIA - Key Inputs_EB'!$C$249:$C$260,'RSD_BY Techs'!$B181),"")</f>
        <v>0</v>
      </c>
      <c r="Q181" s="422">
        <f>IFERROR(SUMIFS('OMNIA - Key Inputs_EB'!J$249:J$260,'OMNIA - Key Inputs_EB'!$C$249:$C$260,'RSD_BY Techs'!$B181,'OMNIA - Key Inputs_EB'!$E$249:$E$260,'RSD_BY Techs'!$D181)/SUMIFS('OMNIA - Key Inputs_EB'!J$249:J$260,'OMNIA - Key Inputs_EB'!$C$249:$C$260,'RSD_BY Techs'!$B181),"")</f>
        <v>0</v>
      </c>
      <c r="R181" s="422">
        <f>IFERROR(SUMIFS('OMNIA - Key Inputs_EB'!K$249:K$260,'OMNIA - Key Inputs_EB'!$C$249:$C$260,'RSD_BY Techs'!$B181,'OMNIA - Key Inputs_EB'!$E$249:$E$260,'RSD_BY Techs'!$D181)/SUMIFS('OMNIA - Key Inputs_EB'!K$249:K$260,'OMNIA - Key Inputs_EB'!$C$249:$C$260,'RSD_BY Techs'!$B181),"")</f>
        <v>0</v>
      </c>
      <c r="S181" s="422" t="str">
        <f>IFERROR(SUMIFS('OMNIA - Key Inputs_EB'!L$249:L$260,'OMNIA - Key Inputs_EB'!$C$249:$C$260,'RSD_BY Techs'!$B181,'OMNIA - Key Inputs_EB'!$E$249:$E$260,'RSD_BY Techs'!$D181)/SUMIFS('OMNIA - Key Inputs_EB'!L$249:L$260,'OMNIA - Key Inputs_EB'!$C$249:$C$260,'RSD_BY Techs'!$B181),"")</f>
        <v/>
      </c>
      <c r="T181" s="422" t="str">
        <f>IFERROR(SUMIFS('OMNIA - Key Inputs_EB'!M$249:M$260,'OMNIA - Key Inputs_EB'!$C$249:$C$260,'RSD_BY Techs'!$B181,'OMNIA - Key Inputs_EB'!$E$249:$E$260,'RSD_BY Techs'!$D181)/SUMIFS('OMNIA - Key Inputs_EB'!M$249:M$260,'OMNIA - Key Inputs_EB'!$C$249:$C$260,'RSD_BY Techs'!$B181),"")</f>
        <v/>
      </c>
      <c r="U181" s="422" t="str">
        <f>IFERROR(SUMIFS('OMNIA - Key Inputs_EB'!N$249:N$260,'OMNIA - Key Inputs_EB'!$C$249:$C$260,'RSD_BY Techs'!$B181,'OMNIA - Key Inputs_EB'!$E$249:$E$260,'RSD_BY Techs'!$D181)/SUMIFS('OMNIA - Key Inputs_EB'!N$249:N$260,'OMNIA - Key Inputs_EB'!$C$249:$C$260,'RSD_BY Techs'!$B181),"")</f>
        <v/>
      </c>
      <c r="V181" s="422" t="str">
        <f>IFERROR(SUMIFS('OMNIA - Key Inputs_EB'!O$249:O$260,'OMNIA - Key Inputs_EB'!$C$249:$C$260,'RSD_BY Techs'!$B181,'OMNIA - Key Inputs_EB'!$E$249:$E$260,'RSD_BY Techs'!$D181)/SUMIFS('OMNIA - Key Inputs_EB'!O$249:O$260,'OMNIA - Key Inputs_EB'!$C$249:$C$260,'RSD_BY Techs'!$B181),"")</f>
        <v/>
      </c>
      <c r="W181" s="422" t="str">
        <f>IFERROR(SUMIFS('OMNIA - Key Inputs_EB'!P$249:P$260,'OMNIA - Key Inputs_EB'!$C$249:$C$260,'RSD_BY Techs'!$B181,'OMNIA - Key Inputs_EB'!$E$249:$E$260,'RSD_BY Techs'!$D181)/SUMIFS('OMNIA - Key Inputs_EB'!P$249:P$260,'OMNIA - Key Inputs_EB'!$C$249:$C$260,'RSD_BY Techs'!$B181),"")</f>
        <v/>
      </c>
      <c r="X181" s="422" t="str">
        <f>IFERROR(SUMIFS('OMNIA - Key Inputs_EB'!Q$249:Q$260,'OMNIA - Key Inputs_EB'!$C$249:$C$260,'RSD_BY Techs'!$B181,'OMNIA - Key Inputs_EB'!$E$249:$E$260,'RSD_BY Techs'!$D181)/SUMIFS('OMNIA - Key Inputs_EB'!Q$249:Q$260,'OMNIA - Key Inputs_EB'!$C$249:$C$260,'RSD_BY Techs'!$B181),"")</f>
        <v/>
      </c>
      <c r="Y181" s="422">
        <f>IFERROR(SUMIFS('OMNIA - Key Inputs_EB'!R$249:R$260,'OMNIA - Key Inputs_EB'!$C$249:$C$260,'RSD_BY Techs'!$B181,'OMNIA - Key Inputs_EB'!$E$249:$E$260,'RSD_BY Techs'!$D181)/SUMIFS('OMNIA - Key Inputs_EB'!R$249:R$260,'OMNIA - Key Inputs_EB'!$C$249:$C$260,'RSD_BY Techs'!$B181),"")</f>
        <v>0</v>
      </c>
      <c r="Z181" s="422" t="str">
        <f>IFERROR(SUMIFS('OMNIA - Key Inputs_EB'!S$249:S$260,'OMNIA - Key Inputs_EB'!$C$249:$C$260,'RSD_BY Techs'!$B181,'OMNIA - Key Inputs_EB'!$E$249:$E$260,'RSD_BY Techs'!$D181)/SUMIFS('OMNIA - Key Inputs_EB'!S$249:S$260,'OMNIA - Key Inputs_EB'!$C$249:$C$260,'RSD_BY Techs'!$B181),"")</f>
        <v/>
      </c>
      <c r="AA181" s="422">
        <f>IFERROR(SUMIFS('OMNIA - Key Inputs_EB'!T$249:T$260,'OMNIA - Key Inputs_EB'!$C$249:$C$260,'RSD_BY Techs'!$B181,'OMNIA - Key Inputs_EB'!$E$249:$E$260,'RSD_BY Techs'!$D181)/SUMIFS('OMNIA - Key Inputs_EB'!T$249:T$260,'OMNIA - Key Inputs_EB'!$C$249:$C$260,'RSD_BY Techs'!$B181),"")</f>
        <v>0</v>
      </c>
      <c r="AB181" s="422">
        <f>IFERROR(SUMIFS('OMNIA - Key Inputs_EB'!U$249:U$260,'OMNIA - Key Inputs_EB'!$C$249:$C$260,'RSD_BY Techs'!$B181,'OMNIA - Key Inputs_EB'!$E$249:$E$260,'RSD_BY Techs'!$D181)/SUMIFS('OMNIA - Key Inputs_EB'!U$249:U$260,'OMNIA - Key Inputs_EB'!$C$249:$C$260,'RSD_BY Techs'!$B181),"")</f>
        <v>0</v>
      </c>
      <c r="AC181" s="422">
        <f>IFERROR(SUMIFS('OMNIA - Key Inputs_EB'!V$249:V$260,'OMNIA - Key Inputs_EB'!$C$249:$C$260,'RSD_BY Techs'!$B181,'OMNIA - Key Inputs_EB'!$E$249:$E$260,'RSD_BY Techs'!$D181)/SUMIFS('OMNIA - Key Inputs_EB'!V$249:V$260,'OMNIA - Key Inputs_EB'!$C$249:$C$260,'RSD_BY Techs'!$B181),"")</f>
        <v>0</v>
      </c>
      <c r="AD181" s="422">
        <f>IFERROR(SUMIFS('OMNIA - Key Inputs_EB'!W$249:W$260,'OMNIA - Key Inputs_EB'!$C$249:$C$260,'RSD_BY Techs'!$B181,'OMNIA - Key Inputs_EB'!$E$249:$E$260,'RSD_BY Techs'!$D181)/SUMIFS('OMNIA - Key Inputs_EB'!W$249:W$260,'OMNIA - Key Inputs_EB'!$C$249:$C$260,'RSD_BY Techs'!$B181),"")</f>
        <v>0</v>
      </c>
      <c r="AE181" s="422">
        <f>IFERROR(SUMIFS('OMNIA - Key Inputs_EB'!X$249:X$260,'OMNIA - Key Inputs_EB'!$C$249:$C$260,'RSD_BY Techs'!$B181,'OMNIA - Key Inputs_EB'!$E$249:$E$260,'RSD_BY Techs'!$D181)/SUMIFS('OMNIA - Key Inputs_EB'!X$249:X$260,'OMNIA - Key Inputs_EB'!$C$249:$C$260,'RSD_BY Techs'!$B181),"")</f>
        <v>2.5858693750523706E-4</v>
      </c>
      <c r="AF181" s="422" t="str">
        <f>IFERROR(SUMIFS('OMNIA - Key Inputs_EB'!Y$249:Y$260,'OMNIA - Key Inputs_EB'!$C$249:$C$260,'RSD_BY Techs'!$B181,'OMNIA - Key Inputs_EB'!$E$249:$E$260,'RSD_BY Techs'!$D181)/SUMIFS('OMNIA - Key Inputs_EB'!Y$249:Y$260,'OMNIA - Key Inputs_EB'!$C$249:$C$260,'RSD_BY Techs'!$B181),"")</f>
        <v/>
      </c>
      <c r="AG181" s="422" t="str">
        <f>IFERROR(SUMIFS('OMNIA - Key Inputs_EB'!Z$249:Z$260,'OMNIA - Key Inputs_EB'!$C$249:$C$260,'RSD_BY Techs'!$B181,'OMNIA - Key Inputs_EB'!$E$249:$E$260,'RSD_BY Techs'!$D181)/SUMIFS('OMNIA - Key Inputs_EB'!Z$249:Z$260,'OMNIA - Key Inputs_EB'!$C$249:$C$260,'RSD_BY Techs'!$B181),"")</f>
        <v/>
      </c>
      <c r="AH181" s="422" t="str">
        <f>IFERROR(SUMIFS('OMNIA - Key Inputs_EB'!AA$249:AA$260,'OMNIA - Key Inputs_EB'!$C$249:$C$260,'RSD_BY Techs'!$B181,'OMNIA - Key Inputs_EB'!$E$249:$E$260,'RSD_BY Techs'!$D181)/SUMIFS('OMNIA - Key Inputs_EB'!AA$249:AA$260,'OMNIA - Key Inputs_EB'!$C$249:$C$260,'RSD_BY Techs'!$B181),"")</f>
        <v/>
      </c>
      <c r="AI181" s="422" t="str">
        <f>IFERROR(SUMIFS('OMNIA - Key Inputs_EB'!AB$249:AB$260,'OMNIA - Key Inputs_EB'!$C$249:$C$260,'RSD_BY Techs'!$B181,'OMNIA - Key Inputs_EB'!$E$249:$E$260,'RSD_BY Techs'!$D181)/SUMIFS('OMNIA - Key Inputs_EB'!AB$249:AB$260,'OMNIA - Key Inputs_EB'!$C$249:$C$260,'RSD_BY Techs'!$B181),"")</f>
        <v/>
      </c>
      <c r="AJ181" s="422">
        <f>IFERROR(SUMIFS('OMNIA - Key Inputs_EB'!AC$249:AC$260,'OMNIA - Key Inputs_EB'!$C$249:$C$260,'RSD_BY Techs'!$B181,'OMNIA - Key Inputs_EB'!$E$249:$E$260,'RSD_BY Techs'!$D181)/SUMIFS('OMNIA - Key Inputs_EB'!AC$249:AC$260,'OMNIA - Key Inputs_EB'!$C$249:$C$260,'RSD_BY Techs'!$B181),"")</f>
        <v>0</v>
      </c>
      <c r="AK181" s="422">
        <f>IFERROR(SUMIFS('OMNIA - Key Inputs_EB'!AD$249:AD$260,'OMNIA - Key Inputs_EB'!$C$249:$C$260,'RSD_BY Techs'!$B181,'OMNIA - Key Inputs_EB'!$E$249:$E$260,'RSD_BY Techs'!$D181)/SUMIFS('OMNIA - Key Inputs_EB'!AD$249:AD$260,'OMNIA - Key Inputs_EB'!$C$249:$C$260,'RSD_BY Techs'!$B181),"")</f>
        <v>0</v>
      </c>
      <c r="AL181" s="422">
        <f>IFERROR(SUMIFS('OMNIA - Key Inputs_EB'!AE$249:AE$260,'OMNIA - Key Inputs_EB'!$C$249:$C$260,'RSD_BY Techs'!$B181,'OMNIA - Key Inputs_EB'!$E$249:$E$260,'RSD_BY Techs'!$D181)/SUMIFS('OMNIA - Key Inputs_EB'!AE$249:AE$260,'OMNIA - Key Inputs_EB'!$C$249:$C$260,'RSD_BY Techs'!$B181),"")</f>
        <v>0</v>
      </c>
      <c r="AM181" s="422">
        <f>IFERROR(SUMIFS('OMNIA - Key Inputs_EB'!AF$249:AF$260,'OMNIA - Key Inputs_EB'!$C$249:$C$260,'RSD_BY Techs'!$B181,'OMNIA - Key Inputs_EB'!$E$249:$E$260,'RSD_BY Techs'!$D181)/SUMIFS('OMNIA - Key Inputs_EB'!AF$249:AF$260,'OMNIA - Key Inputs_EB'!$C$249:$C$260,'RSD_BY Techs'!$B181),"")</f>
        <v>0</v>
      </c>
      <c r="AN181" s="422" t="str">
        <f>IFERROR(SUMIFS('OMNIA - Key Inputs_EB'!AG$249:AG$260,'OMNIA - Key Inputs_EB'!$C$249:$C$260,'RSD_BY Techs'!$B181,'OMNIA - Key Inputs_EB'!$E$249:$E$260,'RSD_BY Techs'!$D181)/SUMIFS('OMNIA - Key Inputs_EB'!AG$249:AG$260,'OMNIA - Key Inputs_EB'!$C$249:$C$260,'RSD_BY Techs'!$B181),"")</f>
        <v/>
      </c>
      <c r="AO181" s="422">
        <f>IFERROR(SUMIFS('OMNIA - Key Inputs_EB'!AH$249:AH$260,'OMNIA - Key Inputs_EB'!$C$249:$C$260,'RSD_BY Techs'!$B181,'OMNIA - Key Inputs_EB'!$E$249:$E$260,'RSD_BY Techs'!$D181)/SUMIFS('OMNIA - Key Inputs_EB'!AH$249:AH$260,'OMNIA - Key Inputs_EB'!$C$249:$C$260,'RSD_BY Techs'!$B181),"")</f>
        <v>0</v>
      </c>
      <c r="AP181" s="422">
        <f>IFERROR(SUMIFS('OMNIA - Key Inputs_EB'!AI$249:AI$260,'OMNIA - Key Inputs_EB'!$C$249:$C$260,'RSD_BY Techs'!$B181,'OMNIA - Key Inputs_EB'!$E$249:$E$260,'RSD_BY Techs'!$D181)/SUMIFS('OMNIA - Key Inputs_EB'!AI$249:AI$260,'OMNIA - Key Inputs_EB'!$C$249:$C$260,'RSD_BY Techs'!$B181),"")</f>
        <v>0</v>
      </c>
    </row>
    <row r="182" spans="1:42" x14ac:dyDescent="0.25">
      <c r="A182" s="254" t="str">
        <f>Legend!A$54</f>
        <v>Other uses</v>
      </c>
      <c r="B182" s="254" t="str">
        <f>LEFT(Legend!$C$4)&amp;"-"&amp;Legend!B$54</f>
        <v>R-OTH</v>
      </c>
      <c r="C182" s="254" t="str">
        <f>Legend!A$70</f>
        <v>LPG</v>
      </c>
      <c r="D182" s="254" t="str">
        <f>Legend!B$70</f>
        <v>RSDLPG</v>
      </c>
      <c r="E182" s="254" t="str">
        <f t="shared" si="47"/>
        <v>RSDLPG</v>
      </c>
      <c r="F182" s="254"/>
      <c r="G182" s="254"/>
      <c r="K182" s="229" t="str">
        <f t="shared" si="48"/>
        <v>RSDLPG</v>
      </c>
      <c r="L182" s="87" t="s">
        <v>203</v>
      </c>
      <c r="M182" s="87" t="s">
        <v>174</v>
      </c>
      <c r="N182" s="87" t="s">
        <v>77</v>
      </c>
      <c r="O182" s="422">
        <f>IFERROR(SUMIFS('OMNIA - Key Inputs_EB'!H$249:H$260,'OMNIA - Key Inputs_EB'!$C$249:$C$260,'RSD_BY Techs'!$B182,'OMNIA - Key Inputs_EB'!$E$249:$E$260,'RSD_BY Techs'!$D182)/SUMIFS('OMNIA - Key Inputs_EB'!H$249:H$260,'OMNIA - Key Inputs_EB'!$C$249:$C$260,'RSD_BY Techs'!$B182),"")</f>
        <v>0</v>
      </c>
      <c r="P182" s="422">
        <f>IFERROR(SUMIFS('OMNIA - Key Inputs_EB'!I$249:I$260,'OMNIA - Key Inputs_EB'!$C$249:$C$260,'RSD_BY Techs'!$B182,'OMNIA - Key Inputs_EB'!$E$249:$E$260,'RSD_BY Techs'!$D182)/SUMIFS('OMNIA - Key Inputs_EB'!I$249:I$260,'OMNIA - Key Inputs_EB'!$C$249:$C$260,'RSD_BY Techs'!$B182),"")</f>
        <v>0</v>
      </c>
      <c r="Q182" s="422">
        <f>IFERROR(SUMIFS('OMNIA - Key Inputs_EB'!J$249:J$260,'OMNIA - Key Inputs_EB'!$C$249:$C$260,'RSD_BY Techs'!$B182,'OMNIA - Key Inputs_EB'!$E$249:$E$260,'RSD_BY Techs'!$D182)/SUMIFS('OMNIA - Key Inputs_EB'!J$249:J$260,'OMNIA - Key Inputs_EB'!$C$249:$C$260,'RSD_BY Techs'!$B182),"")</f>
        <v>0</v>
      </c>
      <c r="R182" s="422">
        <f>IFERROR(SUMIFS('OMNIA - Key Inputs_EB'!K$249:K$260,'OMNIA - Key Inputs_EB'!$C$249:$C$260,'RSD_BY Techs'!$B182,'OMNIA - Key Inputs_EB'!$E$249:$E$260,'RSD_BY Techs'!$D182)/SUMIFS('OMNIA - Key Inputs_EB'!K$249:K$260,'OMNIA - Key Inputs_EB'!$C$249:$C$260,'RSD_BY Techs'!$B182),"")</f>
        <v>0</v>
      </c>
      <c r="S182" s="422" t="str">
        <f>IFERROR(SUMIFS('OMNIA - Key Inputs_EB'!L$249:L$260,'OMNIA - Key Inputs_EB'!$C$249:$C$260,'RSD_BY Techs'!$B182,'OMNIA - Key Inputs_EB'!$E$249:$E$260,'RSD_BY Techs'!$D182)/SUMIFS('OMNIA - Key Inputs_EB'!L$249:L$260,'OMNIA - Key Inputs_EB'!$C$249:$C$260,'RSD_BY Techs'!$B182),"")</f>
        <v/>
      </c>
      <c r="T182" s="422" t="str">
        <f>IFERROR(SUMIFS('OMNIA - Key Inputs_EB'!M$249:M$260,'OMNIA - Key Inputs_EB'!$C$249:$C$260,'RSD_BY Techs'!$B182,'OMNIA - Key Inputs_EB'!$E$249:$E$260,'RSD_BY Techs'!$D182)/SUMIFS('OMNIA - Key Inputs_EB'!M$249:M$260,'OMNIA - Key Inputs_EB'!$C$249:$C$260,'RSD_BY Techs'!$B182),"")</f>
        <v/>
      </c>
      <c r="U182" s="422" t="str">
        <f>IFERROR(SUMIFS('OMNIA - Key Inputs_EB'!N$249:N$260,'OMNIA - Key Inputs_EB'!$C$249:$C$260,'RSD_BY Techs'!$B182,'OMNIA - Key Inputs_EB'!$E$249:$E$260,'RSD_BY Techs'!$D182)/SUMIFS('OMNIA - Key Inputs_EB'!N$249:N$260,'OMNIA - Key Inputs_EB'!$C$249:$C$260,'RSD_BY Techs'!$B182),"")</f>
        <v/>
      </c>
      <c r="V182" s="422" t="str">
        <f>IFERROR(SUMIFS('OMNIA - Key Inputs_EB'!O$249:O$260,'OMNIA - Key Inputs_EB'!$C$249:$C$260,'RSD_BY Techs'!$B182,'OMNIA - Key Inputs_EB'!$E$249:$E$260,'RSD_BY Techs'!$D182)/SUMIFS('OMNIA - Key Inputs_EB'!O$249:O$260,'OMNIA - Key Inputs_EB'!$C$249:$C$260,'RSD_BY Techs'!$B182),"")</f>
        <v/>
      </c>
      <c r="W182" s="422" t="str">
        <f>IFERROR(SUMIFS('OMNIA - Key Inputs_EB'!P$249:P$260,'OMNIA - Key Inputs_EB'!$C$249:$C$260,'RSD_BY Techs'!$B182,'OMNIA - Key Inputs_EB'!$E$249:$E$260,'RSD_BY Techs'!$D182)/SUMIFS('OMNIA - Key Inputs_EB'!P$249:P$260,'OMNIA - Key Inputs_EB'!$C$249:$C$260,'RSD_BY Techs'!$B182),"")</f>
        <v/>
      </c>
      <c r="X182" s="422" t="str">
        <f>IFERROR(SUMIFS('OMNIA - Key Inputs_EB'!Q$249:Q$260,'OMNIA - Key Inputs_EB'!$C$249:$C$260,'RSD_BY Techs'!$B182,'OMNIA - Key Inputs_EB'!$E$249:$E$260,'RSD_BY Techs'!$D182)/SUMIFS('OMNIA - Key Inputs_EB'!Q$249:Q$260,'OMNIA - Key Inputs_EB'!$C$249:$C$260,'RSD_BY Techs'!$B182),"")</f>
        <v/>
      </c>
      <c r="Y182" s="422">
        <f>IFERROR(SUMIFS('OMNIA - Key Inputs_EB'!R$249:R$260,'OMNIA - Key Inputs_EB'!$C$249:$C$260,'RSD_BY Techs'!$B182,'OMNIA - Key Inputs_EB'!$E$249:$E$260,'RSD_BY Techs'!$D182)/SUMIFS('OMNIA - Key Inputs_EB'!R$249:R$260,'OMNIA - Key Inputs_EB'!$C$249:$C$260,'RSD_BY Techs'!$B182),"")</f>
        <v>0.31831913461139338</v>
      </c>
      <c r="Z182" s="422" t="str">
        <f>IFERROR(SUMIFS('OMNIA - Key Inputs_EB'!S$249:S$260,'OMNIA - Key Inputs_EB'!$C$249:$C$260,'RSD_BY Techs'!$B182,'OMNIA - Key Inputs_EB'!$E$249:$E$260,'RSD_BY Techs'!$D182)/SUMIFS('OMNIA - Key Inputs_EB'!S$249:S$260,'OMNIA - Key Inputs_EB'!$C$249:$C$260,'RSD_BY Techs'!$B182),"")</f>
        <v/>
      </c>
      <c r="AA182" s="422">
        <f>IFERROR(SUMIFS('OMNIA - Key Inputs_EB'!T$249:T$260,'OMNIA - Key Inputs_EB'!$C$249:$C$260,'RSD_BY Techs'!$B182,'OMNIA - Key Inputs_EB'!$E$249:$E$260,'RSD_BY Techs'!$D182)/SUMIFS('OMNIA - Key Inputs_EB'!T$249:T$260,'OMNIA - Key Inputs_EB'!$C$249:$C$260,'RSD_BY Techs'!$B182),"")</f>
        <v>4.9421830264171872E-2</v>
      </c>
      <c r="AB182" s="422">
        <f>IFERROR(SUMIFS('OMNIA - Key Inputs_EB'!U$249:U$260,'OMNIA - Key Inputs_EB'!$C$249:$C$260,'RSD_BY Techs'!$B182,'OMNIA - Key Inputs_EB'!$E$249:$E$260,'RSD_BY Techs'!$D182)/SUMIFS('OMNIA - Key Inputs_EB'!U$249:U$260,'OMNIA - Key Inputs_EB'!$C$249:$C$260,'RSD_BY Techs'!$B182),"")</f>
        <v>0</v>
      </c>
      <c r="AC182" s="422">
        <f>IFERROR(SUMIFS('OMNIA - Key Inputs_EB'!V$249:V$260,'OMNIA - Key Inputs_EB'!$C$249:$C$260,'RSD_BY Techs'!$B182,'OMNIA - Key Inputs_EB'!$E$249:$E$260,'RSD_BY Techs'!$D182)/SUMIFS('OMNIA - Key Inputs_EB'!V$249:V$260,'OMNIA - Key Inputs_EB'!$C$249:$C$260,'RSD_BY Techs'!$B182),"")</f>
        <v>3.816682710385709E-2</v>
      </c>
      <c r="AD182" s="422">
        <f>IFERROR(SUMIFS('OMNIA - Key Inputs_EB'!W$249:W$260,'OMNIA - Key Inputs_EB'!$C$249:$C$260,'RSD_BY Techs'!$B182,'OMNIA - Key Inputs_EB'!$E$249:$E$260,'RSD_BY Techs'!$D182)/SUMIFS('OMNIA - Key Inputs_EB'!W$249:W$260,'OMNIA - Key Inputs_EB'!$C$249:$C$260,'RSD_BY Techs'!$B182),"")</f>
        <v>2.4093694708010763E-2</v>
      </c>
      <c r="AE182" s="422">
        <f>IFERROR(SUMIFS('OMNIA - Key Inputs_EB'!X$249:X$260,'OMNIA - Key Inputs_EB'!$C$249:$C$260,'RSD_BY Techs'!$B182,'OMNIA - Key Inputs_EB'!$E$249:$E$260,'RSD_BY Techs'!$D182)/SUMIFS('OMNIA - Key Inputs_EB'!X$249:X$260,'OMNIA - Key Inputs_EB'!$C$249:$C$260,'RSD_BY Techs'!$B182),"")</f>
        <v>3.947731185445108E-2</v>
      </c>
      <c r="AF182" s="422" t="str">
        <f>IFERROR(SUMIFS('OMNIA - Key Inputs_EB'!Y$249:Y$260,'OMNIA - Key Inputs_EB'!$C$249:$C$260,'RSD_BY Techs'!$B182,'OMNIA - Key Inputs_EB'!$E$249:$E$260,'RSD_BY Techs'!$D182)/SUMIFS('OMNIA - Key Inputs_EB'!Y$249:Y$260,'OMNIA - Key Inputs_EB'!$C$249:$C$260,'RSD_BY Techs'!$B182),"")</f>
        <v/>
      </c>
      <c r="AG182" s="422" t="str">
        <f>IFERROR(SUMIFS('OMNIA - Key Inputs_EB'!Z$249:Z$260,'OMNIA - Key Inputs_EB'!$C$249:$C$260,'RSD_BY Techs'!$B182,'OMNIA - Key Inputs_EB'!$E$249:$E$260,'RSD_BY Techs'!$D182)/SUMIFS('OMNIA - Key Inputs_EB'!Z$249:Z$260,'OMNIA - Key Inputs_EB'!$C$249:$C$260,'RSD_BY Techs'!$B182),"")</f>
        <v/>
      </c>
      <c r="AH182" s="422" t="str">
        <f>IFERROR(SUMIFS('OMNIA - Key Inputs_EB'!AA$249:AA$260,'OMNIA - Key Inputs_EB'!$C$249:$C$260,'RSD_BY Techs'!$B182,'OMNIA - Key Inputs_EB'!$E$249:$E$260,'RSD_BY Techs'!$D182)/SUMIFS('OMNIA - Key Inputs_EB'!AA$249:AA$260,'OMNIA - Key Inputs_EB'!$C$249:$C$260,'RSD_BY Techs'!$B182),"")</f>
        <v/>
      </c>
      <c r="AI182" s="422" t="str">
        <f>IFERROR(SUMIFS('OMNIA - Key Inputs_EB'!AB$249:AB$260,'OMNIA - Key Inputs_EB'!$C$249:$C$260,'RSD_BY Techs'!$B182,'OMNIA - Key Inputs_EB'!$E$249:$E$260,'RSD_BY Techs'!$D182)/SUMIFS('OMNIA - Key Inputs_EB'!AB$249:AB$260,'OMNIA - Key Inputs_EB'!$C$249:$C$260,'RSD_BY Techs'!$B182),"")</f>
        <v/>
      </c>
      <c r="AJ182" s="422">
        <f>IFERROR(SUMIFS('OMNIA - Key Inputs_EB'!AC$249:AC$260,'OMNIA - Key Inputs_EB'!$C$249:$C$260,'RSD_BY Techs'!$B182,'OMNIA - Key Inputs_EB'!$E$249:$E$260,'RSD_BY Techs'!$D182)/SUMIFS('OMNIA - Key Inputs_EB'!AC$249:AC$260,'OMNIA - Key Inputs_EB'!$C$249:$C$260,'RSD_BY Techs'!$B182),"")</f>
        <v>0.12507314274185147</v>
      </c>
      <c r="AK182" s="422">
        <f>IFERROR(SUMIFS('OMNIA - Key Inputs_EB'!AD$249:AD$260,'OMNIA - Key Inputs_EB'!$C$249:$C$260,'RSD_BY Techs'!$B182,'OMNIA - Key Inputs_EB'!$E$249:$E$260,'RSD_BY Techs'!$D182)/SUMIFS('OMNIA - Key Inputs_EB'!AD$249:AD$260,'OMNIA - Key Inputs_EB'!$C$249:$C$260,'RSD_BY Techs'!$B182),"")</f>
        <v>0.14608160186482927</v>
      </c>
      <c r="AL182" s="422">
        <f>IFERROR(SUMIFS('OMNIA - Key Inputs_EB'!AE$249:AE$260,'OMNIA - Key Inputs_EB'!$C$249:$C$260,'RSD_BY Techs'!$B182,'OMNIA - Key Inputs_EB'!$E$249:$E$260,'RSD_BY Techs'!$D182)/SUMIFS('OMNIA - Key Inputs_EB'!AE$249:AE$260,'OMNIA - Key Inputs_EB'!$C$249:$C$260,'RSD_BY Techs'!$B182),"")</f>
        <v>0.76880789469506161</v>
      </c>
      <c r="AM182" s="422">
        <f>IFERROR(SUMIFS('OMNIA - Key Inputs_EB'!AF$249:AF$260,'OMNIA - Key Inputs_EB'!$C$249:$C$260,'RSD_BY Techs'!$B182,'OMNIA - Key Inputs_EB'!$E$249:$E$260,'RSD_BY Techs'!$D182)/SUMIFS('OMNIA - Key Inputs_EB'!AF$249:AF$260,'OMNIA - Key Inputs_EB'!$C$249:$C$260,'RSD_BY Techs'!$B182),"")</f>
        <v>0</v>
      </c>
      <c r="AN182" s="422" t="str">
        <f>IFERROR(SUMIFS('OMNIA - Key Inputs_EB'!AG$249:AG$260,'OMNIA - Key Inputs_EB'!$C$249:$C$260,'RSD_BY Techs'!$B182,'OMNIA - Key Inputs_EB'!$E$249:$E$260,'RSD_BY Techs'!$D182)/SUMIFS('OMNIA - Key Inputs_EB'!AG$249:AG$260,'OMNIA - Key Inputs_EB'!$C$249:$C$260,'RSD_BY Techs'!$B182),"")</f>
        <v/>
      </c>
      <c r="AO182" s="422">
        <f>IFERROR(SUMIFS('OMNIA - Key Inputs_EB'!AH$249:AH$260,'OMNIA - Key Inputs_EB'!$C$249:$C$260,'RSD_BY Techs'!$B182,'OMNIA - Key Inputs_EB'!$E$249:$E$260,'RSD_BY Techs'!$D182)/SUMIFS('OMNIA - Key Inputs_EB'!AH$249:AH$260,'OMNIA - Key Inputs_EB'!$C$249:$C$260,'RSD_BY Techs'!$B182),"")</f>
        <v>0</v>
      </c>
      <c r="AP182" s="422">
        <f>IFERROR(SUMIFS('OMNIA - Key Inputs_EB'!AI$249:AI$260,'OMNIA - Key Inputs_EB'!$C$249:$C$260,'RSD_BY Techs'!$B182,'OMNIA - Key Inputs_EB'!$E$249:$E$260,'RSD_BY Techs'!$D182)/SUMIFS('OMNIA - Key Inputs_EB'!AI$249:AI$260,'OMNIA - Key Inputs_EB'!$C$249:$C$260,'RSD_BY Techs'!$B182),"")</f>
        <v>4.0534988037005969E-2</v>
      </c>
    </row>
    <row r="183" spans="1:42" x14ac:dyDescent="0.25">
      <c r="A183" s="254" t="str">
        <f>Legend!A$54</f>
        <v>Other uses</v>
      </c>
      <c r="B183" s="254" t="str">
        <f>LEFT(Legend!$C$4)&amp;"-"&amp;Legend!B$54</f>
        <v>R-OTH</v>
      </c>
      <c r="C183" s="254" t="str">
        <f>Legend!A$71</f>
        <v>Natural gas</v>
      </c>
      <c r="D183" s="254" t="str">
        <f>Legend!B$71</f>
        <v>RSDGAS</v>
      </c>
      <c r="E183" s="254" t="str">
        <f t="shared" si="47"/>
        <v>RSDGAS</v>
      </c>
      <c r="F183" s="254"/>
      <c r="G183" s="254"/>
      <c r="K183" s="229" t="str">
        <f t="shared" si="48"/>
        <v>RSDGAS</v>
      </c>
      <c r="L183" s="87" t="s">
        <v>203</v>
      </c>
      <c r="M183" s="87" t="s">
        <v>174</v>
      </c>
      <c r="N183" s="87" t="s">
        <v>77</v>
      </c>
      <c r="O183" s="422">
        <f>IFERROR(SUMIFS('OMNIA - Key Inputs_EB'!H$249:H$260,'OMNIA - Key Inputs_EB'!$C$249:$C$260,'RSD_BY Techs'!$B183,'OMNIA - Key Inputs_EB'!$E$249:$E$260,'RSD_BY Techs'!$D183)/SUMIFS('OMNIA - Key Inputs_EB'!H$249:H$260,'OMNIA - Key Inputs_EB'!$C$249:$C$260,'RSD_BY Techs'!$B183),"")</f>
        <v>0</v>
      </c>
      <c r="P183" s="422">
        <f>IFERROR(SUMIFS('OMNIA - Key Inputs_EB'!I$249:I$260,'OMNIA - Key Inputs_EB'!$C$249:$C$260,'RSD_BY Techs'!$B183,'OMNIA - Key Inputs_EB'!$E$249:$E$260,'RSD_BY Techs'!$D183)/SUMIFS('OMNIA - Key Inputs_EB'!I$249:I$260,'OMNIA - Key Inputs_EB'!$C$249:$C$260,'RSD_BY Techs'!$B183),"")</f>
        <v>0.70385926598718507</v>
      </c>
      <c r="Q183" s="422">
        <f>IFERROR(SUMIFS('OMNIA - Key Inputs_EB'!J$249:J$260,'OMNIA - Key Inputs_EB'!$C$249:$C$260,'RSD_BY Techs'!$B183,'OMNIA - Key Inputs_EB'!$E$249:$E$260,'RSD_BY Techs'!$D183)/SUMIFS('OMNIA - Key Inputs_EB'!J$249:J$260,'OMNIA - Key Inputs_EB'!$C$249:$C$260,'RSD_BY Techs'!$B183),"")</f>
        <v>0</v>
      </c>
      <c r="R183" s="422">
        <f>IFERROR(SUMIFS('OMNIA - Key Inputs_EB'!K$249:K$260,'OMNIA - Key Inputs_EB'!$C$249:$C$260,'RSD_BY Techs'!$B183,'OMNIA - Key Inputs_EB'!$E$249:$E$260,'RSD_BY Techs'!$D183)/SUMIFS('OMNIA - Key Inputs_EB'!K$249:K$260,'OMNIA - Key Inputs_EB'!$C$249:$C$260,'RSD_BY Techs'!$B183),"")</f>
        <v>1.9010089847275868E-3</v>
      </c>
      <c r="S183" s="422" t="str">
        <f>IFERROR(SUMIFS('OMNIA - Key Inputs_EB'!L$249:L$260,'OMNIA - Key Inputs_EB'!$C$249:$C$260,'RSD_BY Techs'!$B183,'OMNIA - Key Inputs_EB'!$E$249:$E$260,'RSD_BY Techs'!$D183)/SUMIFS('OMNIA - Key Inputs_EB'!L$249:L$260,'OMNIA - Key Inputs_EB'!$C$249:$C$260,'RSD_BY Techs'!$B183),"")</f>
        <v/>
      </c>
      <c r="T183" s="422" t="str">
        <f>IFERROR(SUMIFS('OMNIA - Key Inputs_EB'!M$249:M$260,'OMNIA - Key Inputs_EB'!$C$249:$C$260,'RSD_BY Techs'!$B183,'OMNIA - Key Inputs_EB'!$E$249:$E$260,'RSD_BY Techs'!$D183)/SUMIFS('OMNIA - Key Inputs_EB'!M$249:M$260,'OMNIA - Key Inputs_EB'!$C$249:$C$260,'RSD_BY Techs'!$B183),"")</f>
        <v/>
      </c>
      <c r="U183" s="422" t="str">
        <f>IFERROR(SUMIFS('OMNIA - Key Inputs_EB'!N$249:N$260,'OMNIA - Key Inputs_EB'!$C$249:$C$260,'RSD_BY Techs'!$B183,'OMNIA - Key Inputs_EB'!$E$249:$E$260,'RSD_BY Techs'!$D183)/SUMIFS('OMNIA - Key Inputs_EB'!N$249:N$260,'OMNIA - Key Inputs_EB'!$C$249:$C$260,'RSD_BY Techs'!$B183),"")</f>
        <v/>
      </c>
      <c r="V183" s="422" t="str">
        <f>IFERROR(SUMIFS('OMNIA - Key Inputs_EB'!O$249:O$260,'OMNIA - Key Inputs_EB'!$C$249:$C$260,'RSD_BY Techs'!$B183,'OMNIA - Key Inputs_EB'!$E$249:$E$260,'RSD_BY Techs'!$D183)/SUMIFS('OMNIA - Key Inputs_EB'!O$249:O$260,'OMNIA - Key Inputs_EB'!$C$249:$C$260,'RSD_BY Techs'!$B183),"")</f>
        <v/>
      </c>
      <c r="W183" s="422" t="str">
        <f>IFERROR(SUMIFS('OMNIA - Key Inputs_EB'!P$249:P$260,'OMNIA - Key Inputs_EB'!$C$249:$C$260,'RSD_BY Techs'!$B183,'OMNIA - Key Inputs_EB'!$E$249:$E$260,'RSD_BY Techs'!$D183)/SUMIFS('OMNIA - Key Inputs_EB'!P$249:P$260,'OMNIA - Key Inputs_EB'!$C$249:$C$260,'RSD_BY Techs'!$B183),"")</f>
        <v/>
      </c>
      <c r="X183" s="422" t="str">
        <f>IFERROR(SUMIFS('OMNIA - Key Inputs_EB'!Q$249:Q$260,'OMNIA - Key Inputs_EB'!$C$249:$C$260,'RSD_BY Techs'!$B183,'OMNIA - Key Inputs_EB'!$E$249:$E$260,'RSD_BY Techs'!$D183)/SUMIFS('OMNIA - Key Inputs_EB'!Q$249:Q$260,'OMNIA - Key Inputs_EB'!$C$249:$C$260,'RSD_BY Techs'!$B183),"")</f>
        <v/>
      </c>
      <c r="Y183" s="422">
        <f>IFERROR(SUMIFS('OMNIA - Key Inputs_EB'!R$249:R$260,'OMNIA - Key Inputs_EB'!$C$249:$C$260,'RSD_BY Techs'!$B183,'OMNIA - Key Inputs_EB'!$E$249:$E$260,'RSD_BY Techs'!$D183)/SUMIFS('OMNIA - Key Inputs_EB'!R$249:R$260,'OMNIA - Key Inputs_EB'!$C$249:$C$260,'RSD_BY Techs'!$B183),"")</f>
        <v>0.13738421684003832</v>
      </c>
      <c r="Z183" s="422" t="str">
        <f>IFERROR(SUMIFS('OMNIA - Key Inputs_EB'!S$249:S$260,'OMNIA - Key Inputs_EB'!$C$249:$C$260,'RSD_BY Techs'!$B183,'OMNIA - Key Inputs_EB'!$E$249:$E$260,'RSD_BY Techs'!$D183)/SUMIFS('OMNIA - Key Inputs_EB'!S$249:S$260,'OMNIA - Key Inputs_EB'!$C$249:$C$260,'RSD_BY Techs'!$B183),"")</f>
        <v/>
      </c>
      <c r="AA183" s="422">
        <f>IFERROR(SUMIFS('OMNIA - Key Inputs_EB'!T$249:T$260,'OMNIA - Key Inputs_EB'!$C$249:$C$260,'RSD_BY Techs'!$B183,'OMNIA - Key Inputs_EB'!$E$249:$E$260,'RSD_BY Techs'!$D183)/SUMIFS('OMNIA - Key Inputs_EB'!T$249:T$260,'OMNIA - Key Inputs_EB'!$C$249:$C$260,'RSD_BY Techs'!$B183),"")</f>
        <v>0.64240678054693334</v>
      </c>
      <c r="AB183" s="422">
        <f>IFERROR(SUMIFS('OMNIA - Key Inputs_EB'!U$249:U$260,'OMNIA - Key Inputs_EB'!$C$249:$C$260,'RSD_BY Techs'!$B183,'OMNIA - Key Inputs_EB'!$E$249:$E$260,'RSD_BY Techs'!$D183)/SUMIFS('OMNIA - Key Inputs_EB'!U$249:U$260,'OMNIA - Key Inputs_EB'!$C$249:$C$260,'RSD_BY Techs'!$B183),"")</f>
        <v>0</v>
      </c>
      <c r="AC183" s="422">
        <f>IFERROR(SUMIFS('OMNIA - Key Inputs_EB'!V$249:V$260,'OMNIA - Key Inputs_EB'!$C$249:$C$260,'RSD_BY Techs'!$B183,'OMNIA - Key Inputs_EB'!$E$249:$E$260,'RSD_BY Techs'!$D183)/SUMIFS('OMNIA - Key Inputs_EB'!V$249:V$260,'OMNIA - Key Inputs_EB'!$C$249:$C$260,'RSD_BY Techs'!$B183),"")</f>
        <v>0</v>
      </c>
      <c r="AD183" s="422">
        <f>IFERROR(SUMIFS('OMNIA - Key Inputs_EB'!W$249:W$260,'OMNIA - Key Inputs_EB'!$C$249:$C$260,'RSD_BY Techs'!$B183,'OMNIA - Key Inputs_EB'!$E$249:$E$260,'RSD_BY Techs'!$D183)/SUMIFS('OMNIA - Key Inputs_EB'!W$249:W$260,'OMNIA - Key Inputs_EB'!$C$249:$C$260,'RSD_BY Techs'!$B183),"")</f>
        <v>0.34551318478907145</v>
      </c>
      <c r="AE183" s="422">
        <f>IFERROR(SUMIFS('OMNIA - Key Inputs_EB'!X$249:X$260,'OMNIA - Key Inputs_EB'!$C$249:$C$260,'RSD_BY Techs'!$B183,'OMNIA - Key Inputs_EB'!$E$249:$E$260,'RSD_BY Techs'!$D183)/SUMIFS('OMNIA - Key Inputs_EB'!X$249:X$260,'OMNIA - Key Inputs_EB'!$C$249:$C$260,'RSD_BY Techs'!$B183),"")</f>
        <v>7.9143733123899954E-2</v>
      </c>
      <c r="AF183" s="422" t="str">
        <f>IFERROR(SUMIFS('OMNIA - Key Inputs_EB'!Y$249:Y$260,'OMNIA - Key Inputs_EB'!$C$249:$C$260,'RSD_BY Techs'!$B183,'OMNIA - Key Inputs_EB'!$E$249:$E$260,'RSD_BY Techs'!$D183)/SUMIFS('OMNIA - Key Inputs_EB'!Y$249:Y$260,'OMNIA - Key Inputs_EB'!$C$249:$C$260,'RSD_BY Techs'!$B183),"")</f>
        <v/>
      </c>
      <c r="AG183" s="422" t="str">
        <f>IFERROR(SUMIFS('OMNIA - Key Inputs_EB'!Z$249:Z$260,'OMNIA - Key Inputs_EB'!$C$249:$C$260,'RSD_BY Techs'!$B183,'OMNIA - Key Inputs_EB'!$E$249:$E$260,'RSD_BY Techs'!$D183)/SUMIFS('OMNIA - Key Inputs_EB'!Z$249:Z$260,'OMNIA - Key Inputs_EB'!$C$249:$C$260,'RSD_BY Techs'!$B183),"")</f>
        <v/>
      </c>
      <c r="AH183" s="422" t="str">
        <f>IFERROR(SUMIFS('OMNIA - Key Inputs_EB'!AA$249:AA$260,'OMNIA - Key Inputs_EB'!$C$249:$C$260,'RSD_BY Techs'!$B183,'OMNIA - Key Inputs_EB'!$E$249:$E$260,'RSD_BY Techs'!$D183)/SUMIFS('OMNIA - Key Inputs_EB'!AA$249:AA$260,'OMNIA - Key Inputs_EB'!$C$249:$C$260,'RSD_BY Techs'!$B183),"")</f>
        <v/>
      </c>
      <c r="AI183" s="422" t="str">
        <f>IFERROR(SUMIFS('OMNIA - Key Inputs_EB'!AB$249:AB$260,'OMNIA - Key Inputs_EB'!$C$249:$C$260,'RSD_BY Techs'!$B183,'OMNIA - Key Inputs_EB'!$E$249:$E$260,'RSD_BY Techs'!$D183)/SUMIFS('OMNIA - Key Inputs_EB'!AB$249:AB$260,'OMNIA - Key Inputs_EB'!$C$249:$C$260,'RSD_BY Techs'!$B183),"")</f>
        <v/>
      </c>
      <c r="AJ183" s="422">
        <f>IFERROR(SUMIFS('OMNIA - Key Inputs_EB'!AC$249:AC$260,'OMNIA - Key Inputs_EB'!$C$249:$C$260,'RSD_BY Techs'!$B183,'OMNIA - Key Inputs_EB'!$E$249:$E$260,'RSD_BY Techs'!$D183)/SUMIFS('OMNIA - Key Inputs_EB'!AC$249:AC$260,'OMNIA - Key Inputs_EB'!$C$249:$C$260,'RSD_BY Techs'!$B183),"")</f>
        <v>0.18021960783348726</v>
      </c>
      <c r="AK183" s="422">
        <f>IFERROR(SUMIFS('OMNIA - Key Inputs_EB'!AD$249:AD$260,'OMNIA - Key Inputs_EB'!$C$249:$C$260,'RSD_BY Techs'!$B183,'OMNIA - Key Inputs_EB'!$E$249:$E$260,'RSD_BY Techs'!$D183)/SUMIFS('OMNIA - Key Inputs_EB'!AD$249:AD$260,'OMNIA - Key Inputs_EB'!$C$249:$C$260,'RSD_BY Techs'!$B183),"")</f>
        <v>0.17177881358043909</v>
      </c>
      <c r="AL183" s="422">
        <f>IFERROR(SUMIFS('OMNIA - Key Inputs_EB'!AE$249:AE$260,'OMNIA - Key Inputs_EB'!$C$249:$C$260,'RSD_BY Techs'!$B183,'OMNIA - Key Inputs_EB'!$E$249:$E$260,'RSD_BY Techs'!$D183)/SUMIFS('OMNIA - Key Inputs_EB'!AE$249:AE$260,'OMNIA - Key Inputs_EB'!$C$249:$C$260,'RSD_BY Techs'!$B183),"")</f>
        <v>5.2813405619367711E-2</v>
      </c>
      <c r="AM183" s="422">
        <f>IFERROR(SUMIFS('OMNIA - Key Inputs_EB'!AF$249:AF$260,'OMNIA - Key Inputs_EB'!$C$249:$C$260,'RSD_BY Techs'!$B183,'OMNIA - Key Inputs_EB'!$E$249:$E$260,'RSD_BY Techs'!$D183)/SUMIFS('OMNIA - Key Inputs_EB'!AF$249:AF$260,'OMNIA - Key Inputs_EB'!$C$249:$C$260,'RSD_BY Techs'!$B183),"")</f>
        <v>0</v>
      </c>
      <c r="AN183" s="422" t="str">
        <f>IFERROR(SUMIFS('OMNIA - Key Inputs_EB'!AG$249:AG$260,'OMNIA - Key Inputs_EB'!$C$249:$C$260,'RSD_BY Techs'!$B183,'OMNIA - Key Inputs_EB'!$E$249:$E$260,'RSD_BY Techs'!$D183)/SUMIFS('OMNIA - Key Inputs_EB'!AG$249:AG$260,'OMNIA - Key Inputs_EB'!$C$249:$C$260,'RSD_BY Techs'!$B183),"")</f>
        <v/>
      </c>
      <c r="AO183" s="422">
        <f>IFERROR(SUMIFS('OMNIA - Key Inputs_EB'!AH$249:AH$260,'OMNIA - Key Inputs_EB'!$C$249:$C$260,'RSD_BY Techs'!$B183,'OMNIA - Key Inputs_EB'!$E$249:$E$260,'RSD_BY Techs'!$D183)/SUMIFS('OMNIA - Key Inputs_EB'!AH$249:AH$260,'OMNIA - Key Inputs_EB'!$C$249:$C$260,'RSD_BY Techs'!$B183),"")</f>
        <v>0</v>
      </c>
      <c r="AP183" s="422">
        <f>IFERROR(SUMIFS('OMNIA - Key Inputs_EB'!AI$249:AI$260,'OMNIA - Key Inputs_EB'!$C$249:$C$260,'RSD_BY Techs'!$B183,'OMNIA - Key Inputs_EB'!$E$249:$E$260,'RSD_BY Techs'!$D183)/SUMIFS('OMNIA - Key Inputs_EB'!AI$249:AI$260,'OMNIA - Key Inputs_EB'!$C$249:$C$260,'RSD_BY Techs'!$B183),"")</f>
        <v>0.61325232021591458</v>
      </c>
    </row>
    <row r="184" spans="1:42" x14ac:dyDescent="0.25">
      <c r="A184" s="254" t="str">
        <f>Legend!A$54</f>
        <v>Other uses</v>
      </c>
      <c r="B184" s="254" t="str">
        <f>LEFT(Legend!$C$4)&amp;"-"&amp;Legend!B$54</f>
        <v>R-OTH</v>
      </c>
      <c r="C184" s="254" t="str">
        <f>Legend!A$73</f>
        <v>Oil</v>
      </c>
      <c r="D184" s="254" t="str">
        <f>Legend!B$73</f>
        <v>RSDOIL</v>
      </c>
      <c r="E184" s="254" t="str">
        <f t="shared" si="47"/>
        <v>RSDOIL</v>
      </c>
      <c r="F184" s="254"/>
      <c r="G184" s="254"/>
      <c r="K184" s="229" t="str">
        <f t="shared" si="48"/>
        <v>RSDOIL</v>
      </c>
      <c r="L184" s="87" t="s">
        <v>203</v>
      </c>
      <c r="M184" s="87" t="s">
        <v>174</v>
      </c>
      <c r="N184" s="87" t="s">
        <v>77</v>
      </c>
      <c r="O184" s="422">
        <f>IFERROR(SUMIFS('OMNIA - Key Inputs_EB'!H$249:H$260,'OMNIA - Key Inputs_EB'!$C$249:$C$260,'RSD_BY Techs'!$B184,'OMNIA - Key Inputs_EB'!$E$249:$E$260,'RSD_BY Techs'!$D184)/SUMIFS('OMNIA - Key Inputs_EB'!H$249:H$260,'OMNIA - Key Inputs_EB'!$C$249:$C$260,'RSD_BY Techs'!$B184),"")</f>
        <v>0</v>
      </c>
      <c r="P184" s="422">
        <f>IFERROR(SUMIFS('OMNIA - Key Inputs_EB'!I$249:I$260,'OMNIA - Key Inputs_EB'!$C$249:$C$260,'RSD_BY Techs'!$B184,'OMNIA - Key Inputs_EB'!$E$249:$E$260,'RSD_BY Techs'!$D184)/SUMIFS('OMNIA - Key Inputs_EB'!I$249:I$260,'OMNIA - Key Inputs_EB'!$C$249:$C$260,'RSD_BY Techs'!$B184),"")</f>
        <v>0</v>
      </c>
      <c r="Q184" s="422">
        <f>IFERROR(SUMIFS('OMNIA - Key Inputs_EB'!J$249:J$260,'OMNIA - Key Inputs_EB'!$C$249:$C$260,'RSD_BY Techs'!$B184,'OMNIA - Key Inputs_EB'!$E$249:$E$260,'RSD_BY Techs'!$D184)/SUMIFS('OMNIA - Key Inputs_EB'!J$249:J$260,'OMNIA - Key Inputs_EB'!$C$249:$C$260,'RSD_BY Techs'!$B184),"")</f>
        <v>0</v>
      </c>
      <c r="R184" s="422">
        <f>IFERROR(SUMIFS('OMNIA - Key Inputs_EB'!K$249:K$260,'OMNIA - Key Inputs_EB'!$C$249:$C$260,'RSD_BY Techs'!$B184,'OMNIA - Key Inputs_EB'!$E$249:$E$260,'RSD_BY Techs'!$D184)/SUMIFS('OMNIA - Key Inputs_EB'!K$249:K$260,'OMNIA - Key Inputs_EB'!$C$249:$C$260,'RSD_BY Techs'!$B184),"")</f>
        <v>0</v>
      </c>
      <c r="S184" s="422" t="str">
        <f>IFERROR(SUMIFS('OMNIA - Key Inputs_EB'!L$249:L$260,'OMNIA - Key Inputs_EB'!$C$249:$C$260,'RSD_BY Techs'!$B184,'OMNIA - Key Inputs_EB'!$E$249:$E$260,'RSD_BY Techs'!$D184)/SUMIFS('OMNIA - Key Inputs_EB'!L$249:L$260,'OMNIA - Key Inputs_EB'!$C$249:$C$260,'RSD_BY Techs'!$B184),"")</f>
        <v/>
      </c>
      <c r="T184" s="422" t="str">
        <f>IFERROR(SUMIFS('OMNIA - Key Inputs_EB'!M$249:M$260,'OMNIA - Key Inputs_EB'!$C$249:$C$260,'RSD_BY Techs'!$B184,'OMNIA - Key Inputs_EB'!$E$249:$E$260,'RSD_BY Techs'!$D184)/SUMIFS('OMNIA - Key Inputs_EB'!M$249:M$260,'OMNIA - Key Inputs_EB'!$C$249:$C$260,'RSD_BY Techs'!$B184),"")</f>
        <v/>
      </c>
      <c r="U184" s="422" t="str">
        <f>IFERROR(SUMIFS('OMNIA - Key Inputs_EB'!N$249:N$260,'OMNIA - Key Inputs_EB'!$C$249:$C$260,'RSD_BY Techs'!$B184,'OMNIA - Key Inputs_EB'!$E$249:$E$260,'RSD_BY Techs'!$D184)/SUMIFS('OMNIA - Key Inputs_EB'!N$249:N$260,'OMNIA - Key Inputs_EB'!$C$249:$C$260,'RSD_BY Techs'!$B184),"")</f>
        <v/>
      </c>
      <c r="V184" s="422" t="str">
        <f>IFERROR(SUMIFS('OMNIA - Key Inputs_EB'!O$249:O$260,'OMNIA - Key Inputs_EB'!$C$249:$C$260,'RSD_BY Techs'!$B184,'OMNIA - Key Inputs_EB'!$E$249:$E$260,'RSD_BY Techs'!$D184)/SUMIFS('OMNIA - Key Inputs_EB'!O$249:O$260,'OMNIA - Key Inputs_EB'!$C$249:$C$260,'RSD_BY Techs'!$B184),"")</f>
        <v/>
      </c>
      <c r="W184" s="422" t="str">
        <f>IFERROR(SUMIFS('OMNIA - Key Inputs_EB'!P$249:P$260,'OMNIA - Key Inputs_EB'!$C$249:$C$260,'RSD_BY Techs'!$B184,'OMNIA - Key Inputs_EB'!$E$249:$E$260,'RSD_BY Techs'!$D184)/SUMIFS('OMNIA - Key Inputs_EB'!P$249:P$260,'OMNIA - Key Inputs_EB'!$C$249:$C$260,'RSD_BY Techs'!$B184),"")</f>
        <v/>
      </c>
      <c r="X184" s="422" t="str">
        <f>IFERROR(SUMIFS('OMNIA - Key Inputs_EB'!Q$249:Q$260,'OMNIA - Key Inputs_EB'!$C$249:$C$260,'RSD_BY Techs'!$B184,'OMNIA - Key Inputs_EB'!$E$249:$E$260,'RSD_BY Techs'!$D184)/SUMIFS('OMNIA - Key Inputs_EB'!Q$249:Q$260,'OMNIA - Key Inputs_EB'!$C$249:$C$260,'RSD_BY Techs'!$B184),"")</f>
        <v/>
      </c>
      <c r="Y184" s="422">
        <f>IFERROR(SUMIFS('OMNIA - Key Inputs_EB'!R$249:R$260,'OMNIA - Key Inputs_EB'!$C$249:$C$260,'RSD_BY Techs'!$B184,'OMNIA - Key Inputs_EB'!$E$249:$E$260,'RSD_BY Techs'!$D184)/SUMIFS('OMNIA - Key Inputs_EB'!R$249:R$260,'OMNIA - Key Inputs_EB'!$C$249:$C$260,'RSD_BY Techs'!$B184),"")</f>
        <v>3.1862639246333486E-2</v>
      </c>
      <c r="Z184" s="422" t="str">
        <f>IFERROR(SUMIFS('OMNIA - Key Inputs_EB'!S$249:S$260,'OMNIA - Key Inputs_EB'!$C$249:$C$260,'RSD_BY Techs'!$B184,'OMNIA - Key Inputs_EB'!$E$249:$E$260,'RSD_BY Techs'!$D184)/SUMIFS('OMNIA - Key Inputs_EB'!S$249:S$260,'OMNIA - Key Inputs_EB'!$C$249:$C$260,'RSD_BY Techs'!$B184),"")</f>
        <v/>
      </c>
      <c r="AA184" s="422">
        <f>IFERROR(SUMIFS('OMNIA - Key Inputs_EB'!T$249:T$260,'OMNIA - Key Inputs_EB'!$C$249:$C$260,'RSD_BY Techs'!$B184,'OMNIA - Key Inputs_EB'!$E$249:$E$260,'RSD_BY Techs'!$D184)/SUMIFS('OMNIA - Key Inputs_EB'!T$249:T$260,'OMNIA - Key Inputs_EB'!$C$249:$C$260,'RSD_BY Techs'!$B184),"")</f>
        <v>2.419901293537606E-3</v>
      </c>
      <c r="AB184" s="422">
        <f>IFERROR(SUMIFS('OMNIA - Key Inputs_EB'!U$249:U$260,'OMNIA - Key Inputs_EB'!$C$249:$C$260,'RSD_BY Techs'!$B184,'OMNIA - Key Inputs_EB'!$E$249:$E$260,'RSD_BY Techs'!$D184)/SUMIFS('OMNIA - Key Inputs_EB'!U$249:U$260,'OMNIA - Key Inputs_EB'!$C$249:$C$260,'RSD_BY Techs'!$B184),"")</f>
        <v>0</v>
      </c>
      <c r="AC184" s="422">
        <f>IFERROR(SUMIFS('OMNIA - Key Inputs_EB'!V$249:V$260,'OMNIA - Key Inputs_EB'!$C$249:$C$260,'RSD_BY Techs'!$B184,'OMNIA - Key Inputs_EB'!$E$249:$E$260,'RSD_BY Techs'!$D184)/SUMIFS('OMNIA - Key Inputs_EB'!V$249:V$260,'OMNIA - Key Inputs_EB'!$C$249:$C$260,'RSD_BY Techs'!$B184),"")</f>
        <v>1.0322347084537947E-2</v>
      </c>
      <c r="AD184" s="422">
        <f>IFERROR(SUMIFS('OMNIA - Key Inputs_EB'!W$249:W$260,'OMNIA - Key Inputs_EB'!$C$249:$C$260,'RSD_BY Techs'!$B184,'OMNIA - Key Inputs_EB'!$E$249:$E$260,'RSD_BY Techs'!$D184)/SUMIFS('OMNIA - Key Inputs_EB'!W$249:W$260,'OMNIA - Key Inputs_EB'!$C$249:$C$260,'RSD_BY Techs'!$B184),"")</f>
        <v>5.2111567155033262E-2</v>
      </c>
      <c r="AE184" s="422">
        <f>IFERROR(SUMIFS('OMNIA - Key Inputs_EB'!X$249:X$260,'OMNIA - Key Inputs_EB'!$C$249:$C$260,'RSD_BY Techs'!$B184,'OMNIA - Key Inputs_EB'!$E$249:$E$260,'RSD_BY Techs'!$D184)/SUMIFS('OMNIA - Key Inputs_EB'!X$249:X$260,'OMNIA - Key Inputs_EB'!$C$249:$C$260,'RSD_BY Techs'!$B184),"")</f>
        <v>0.58487128105952035</v>
      </c>
      <c r="AF184" s="422" t="str">
        <f>IFERROR(SUMIFS('OMNIA - Key Inputs_EB'!Y$249:Y$260,'OMNIA - Key Inputs_EB'!$C$249:$C$260,'RSD_BY Techs'!$B184,'OMNIA - Key Inputs_EB'!$E$249:$E$260,'RSD_BY Techs'!$D184)/SUMIFS('OMNIA - Key Inputs_EB'!Y$249:Y$260,'OMNIA - Key Inputs_EB'!$C$249:$C$260,'RSD_BY Techs'!$B184),"")</f>
        <v/>
      </c>
      <c r="AG184" s="422" t="str">
        <f>IFERROR(SUMIFS('OMNIA - Key Inputs_EB'!Z$249:Z$260,'OMNIA - Key Inputs_EB'!$C$249:$C$260,'RSD_BY Techs'!$B184,'OMNIA - Key Inputs_EB'!$E$249:$E$260,'RSD_BY Techs'!$D184)/SUMIFS('OMNIA - Key Inputs_EB'!Z$249:Z$260,'OMNIA - Key Inputs_EB'!$C$249:$C$260,'RSD_BY Techs'!$B184),"")</f>
        <v/>
      </c>
      <c r="AH184" s="422" t="str">
        <f>IFERROR(SUMIFS('OMNIA - Key Inputs_EB'!AA$249:AA$260,'OMNIA - Key Inputs_EB'!$C$249:$C$260,'RSD_BY Techs'!$B184,'OMNIA - Key Inputs_EB'!$E$249:$E$260,'RSD_BY Techs'!$D184)/SUMIFS('OMNIA - Key Inputs_EB'!AA$249:AA$260,'OMNIA - Key Inputs_EB'!$C$249:$C$260,'RSD_BY Techs'!$B184),"")</f>
        <v/>
      </c>
      <c r="AI184" s="422" t="str">
        <f>IFERROR(SUMIFS('OMNIA - Key Inputs_EB'!AB$249:AB$260,'OMNIA - Key Inputs_EB'!$C$249:$C$260,'RSD_BY Techs'!$B184,'OMNIA - Key Inputs_EB'!$E$249:$E$260,'RSD_BY Techs'!$D184)/SUMIFS('OMNIA - Key Inputs_EB'!AB$249:AB$260,'OMNIA - Key Inputs_EB'!$C$249:$C$260,'RSD_BY Techs'!$B184),"")</f>
        <v/>
      </c>
      <c r="AJ184" s="422">
        <f>IFERROR(SUMIFS('OMNIA - Key Inputs_EB'!AC$249:AC$260,'OMNIA - Key Inputs_EB'!$C$249:$C$260,'RSD_BY Techs'!$B184,'OMNIA - Key Inputs_EB'!$E$249:$E$260,'RSD_BY Techs'!$D184)/SUMIFS('OMNIA - Key Inputs_EB'!AC$249:AC$260,'OMNIA - Key Inputs_EB'!$C$249:$C$260,'RSD_BY Techs'!$B184),"")</f>
        <v>7.817231464359968E-2</v>
      </c>
      <c r="AK184" s="422">
        <f>IFERROR(SUMIFS('OMNIA - Key Inputs_EB'!AD$249:AD$260,'OMNIA - Key Inputs_EB'!$C$249:$C$260,'RSD_BY Techs'!$B184,'OMNIA - Key Inputs_EB'!$E$249:$E$260,'RSD_BY Techs'!$D184)/SUMIFS('OMNIA - Key Inputs_EB'!AD$249:AD$260,'OMNIA - Key Inputs_EB'!$C$249:$C$260,'RSD_BY Techs'!$B184),"")</f>
        <v>9.6183689557869698E-2</v>
      </c>
      <c r="AL184" s="422">
        <f>IFERROR(SUMIFS('OMNIA - Key Inputs_EB'!AE$249:AE$260,'OMNIA - Key Inputs_EB'!$C$249:$C$260,'RSD_BY Techs'!$B184,'OMNIA - Key Inputs_EB'!$E$249:$E$260,'RSD_BY Techs'!$D184)/SUMIFS('OMNIA - Key Inputs_EB'!AE$249:AE$260,'OMNIA - Key Inputs_EB'!$C$249:$C$260,'RSD_BY Techs'!$B184),"")</f>
        <v>0</v>
      </c>
      <c r="AM184" s="422">
        <f>IFERROR(SUMIFS('OMNIA - Key Inputs_EB'!AF$249:AF$260,'OMNIA - Key Inputs_EB'!$C$249:$C$260,'RSD_BY Techs'!$B184,'OMNIA - Key Inputs_EB'!$E$249:$E$260,'RSD_BY Techs'!$D184)/SUMIFS('OMNIA - Key Inputs_EB'!AF$249:AF$260,'OMNIA - Key Inputs_EB'!$C$249:$C$260,'RSD_BY Techs'!$B184),"")</f>
        <v>0</v>
      </c>
      <c r="AN184" s="422" t="str">
        <f>IFERROR(SUMIFS('OMNIA - Key Inputs_EB'!AG$249:AG$260,'OMNIA - Key Inputs_EB'!$C$249:$C$260,'RSD_BY Techs'!$B184,'OMNIA - Key Inputs_EB'!$E$249:$E$260,'RSD_BY Techs'!$D184)/SUMIFS('OMNIA - Key Inputs_EB'!AG$249:AG$260,'OMNIA - Key Inputs_EB'!$C$249:$C$260,'RSD_BY Techs'!$B184),"")</f>
        <v/>
      </c>
      <c r="AO184" s="422">
        <f>IFERROR(SUMIFS('OMNIA - Key Inputs_EB'!AH$249:AH$260,'OMNIA - Key Inputs_EB'!$C$249:$C$260,'RSD_BY Techs'!$B184,'OMNIA - Key Inputs_EB'!$E$249:$E$260,'RSD_BY Techs'!$D184)/SUMIFS('OMNIA - Key Inputs_EB'!AH$249:AH$260,'OMNIA - Key Inputs_EB'!$C$249:$C$260,'RSD_BY Techs'!$B184),"")</f>
        <v>0</v>
      </c>
      <c r="AP184" s="422">
        <f>IFERROR(SUMIFS('OMNIA - Key Inputs_EB'!AI$249:AI$260,'OMNIA - Key Inputs_EB'!$C$249:$C$260,'RSD_BY Techs'!$B184,'OMNIA - Key Inputs_EB'!$E$249:$E$260,'RSD_BY Techs'!$D184)/SUMIFS('OMNIA - Key Inputs_EB'!AI$249:AI$260,'OMNIA - Key Inputs_EB'!$C$249:$C$260,'RSD_BY Techs'!$B184),"")</f>
        <v>9.4717392150101221E-2</v>
      </c>
    </row>
    <row r="185" spans="1:42" x14ac:dyDescent="0.25">
      <c r="A185" s="281" t="str">
        <f>Legend!A$54</f>
        <v>Other uses</v>
      </c>
      <c r="B185" s="281" t="str">
        <f>LEFT(Legend!$C$4)&amp;"-"&amp;Legend!B$54</f>
        <v>R-OTH</v>
      </c>
      <c r="C185" s="281" t="str">
        <f>Legend!A$74</f>
        <v>Solar</v>
      </c>
      <c r="D185" s="281" t="str">
        <f>Legend!B$74</f>
        <v>RSDSOL</v>
      </c>
      <c r="E185" s="281" t="str">
        <f t="shared" si="47"/>
        <v>RSDSOL</v>
      </c>
      <c r="F185" s="254"/>
      <c r="G185" s="254"/>
      <c r="I185" s="84"/>
      <c r="J185" s="84"/>
      <c r="K185" s="233" t="str">
        <f t="shared" si="48"/>
        <v>RSDSOL</v>
      </c>
      <c r="L185" s="92" t="s">
        <v>203</v>
      </c>
      <c r="M185" s="92" t="s">
        <v>174</v>
      </c>
      <c r="N185" s="92" t="s">
        <v>77</v>
      </c>
      <c r="O185" s="423">
        <f>IFERROR(SUMIFS('OMNIA - Key Inputs_EB'!H$249:H$260,'OMNIA - Key Inputs_EB'!$C$249:$C$260,'RSD_BY Techs'!$B185,'OMNIA - Key Inputs_EB'!$E$249:$E$260,'RSD_BY Techs'!$D185)/SUMIFS('OMNIA - Key Inputs_EB'!H$249:H$260,'OMNIA - Key Inputs_EB'!$C$249:$C$260,'RSD_BY Techs'!$B185),"")</f>
        <v>0</v>
      </c>
      <c r="P185" s="423">
        <f>IFERROR(SUMIFS('OMNIA - Key Inputs_EB'!I$249:I$260,'OMNIA - Key Inputs_EB'!$C$249:$C$260,'RSD_BY Techs'!$B185,'OMNIA - Key Inputs_EB'!$E$249:$E$260,'RSD_BY Techs'!$D185)/SUMIFS('OMNIA - Key Inputs_EB'!I$249:I$260,'OMNIA - Key Inputs_EB'!$C$249:$C$260,'RSD_BY Techs'!$B185),"")</f>
        <v>0</v>
      </c>
      <c r="Q185" s="423">
        <f>IFERROR(SUMIFS('OMNIA - Key Inputs_EB'!J$249:J$260,'OMNIA - Key Inputs_EB'!$C$249:$C$260,'RSD_BY Techs'!$B185,'OMNIA - Key Inputs_EB'!$E$249:$E$260,'RSD_BY Techs'!$D185)/SUMIFS('OMNIA - Key Inputs_EB'!J$249:J$260,'OMNIA - Key Inputs_EB'!$C$249:$C$260,'RSD_BY Techs'!$B185),"")</f>
        <v>0</v>
      </c>
      <c r="R185" s="423">
        <f>IFERROR(SUMIFS('OMNIA - Key Inputs_EB'!K$249:K$260,'OMNIA - Key Inputs_EB'!$C$249:$C$260,'RSD_BY Techs'!$B185,'OMNIA - Key Inputs_EB'!$E$249:$E$260,'RSD_BY Techs'!$D185)/SUMIFS('OMNIA - Key Inputs_EB'!K$249:K$260,'OMNIA - Key Inputs_EB'!$C$249:$C$260,'RSD_BY Techs'!$B185),"")</f>
        <v>0</v>
      </c>
      <c r="S185" s="423" t="str">
        <f>IFERROR(SUMIFS('OMNIA - Key Inputs_EB'!L$249:L$260,'OMNIA - Key Inputs_EB'!$C$249:$C$260,'RSD_BY Techs'!$B185,'OMNIA - Key Inputs_EB'!$E$249:$E$260,'RSD_BY Techs'!$D185)/SUMIFS('OMNIA - Key Inputs_EB'!L$249:L$260,'OMNIA - Key Inputs_EB'!$C$249:$C$260,'RSD_BY Techs'!$B185),"")</f>
        <v/>
      </c>
      <c r="T185" s="423" t="str">
        <f>IFERROR(SUMIFS('OMNIA - Key Inputs_EB'!M$249:M$260,'OMNIA - Key Inputs_EB'!$C$249:$C$260,'RSD_BY Techs'!$B185,'OMNIA - Key Inputs_EB'!$E$249:$E$260,'RSD_BY Techs'!$D185)/SUMIFS('OMNIA - Key Inputs_EB'!M$249:M$260,'OMNIA - Key Inputs_EB'!$C$249:$C$260,'RSD_BY Techs'!$B185),"")</f>
        <v/>
      </c>
      <c r="U185" s="423" t="str">
        <f>IFERROR(SUMIFS('OMNIA - Key Inputs_EB'!N$249:N$260,'OMNIA - Key Inputs_EB'!$C$249:$C$260,'RSD_BY Techs'!$B185,'OMNIA - Key Inputs_EB'!$E$249:$E$260,'RSD_BY Techs'!$D185)/SUMIFS('OMNIA - Key Inputs_EB'!N$249:N$260,'OMNIA - Key Inputs_EB'!$C$249:$C$260,'RSD_BY Techs'!$B185),"")</f>
        <v/>
      </c>
      <c r="V185" s="423" t="str">
        <f>IFERROR(SUMIFS('OMNIA - Key Inputs_EB'!O$249:O$260,'OMNIA - Key Inputs_EB'!$C$249:$C$260,'RSD_BY Techs'!$B185,'OMNIA - Key Inputs_EB'!$E$249:$E$260,'RSD_BY Techs'!$D185)/SUMIFS('OMNIA - Key Inputs_EB'!O$249:O$260,'OMNIA - Key Inputs_EB'!$C$249:$C$260,'RSD_BY Techs'!$B185),"")</f>
        <v/>
      </c>
      <c r="W185" s="423" t="str">
        <f>IFERROR(SUMIFS('OMNIA - Key Inputs_EB'!P$249:P$260,'OMNIA - Key Inputs_EB'!$C$249:$C$260,'RSD_BY Techs'!$B185,'OMNIA - Key Inputs_EB'!$E$249:$E$260,'RSD_BY Techs'!$D185)/SUMIFS('OMNIA - Key Inputs_EB'!P$249:P$260,'OMNIA - Key Inputs_EB'!$C$249:$C$260,'RSD_BY Techs'!$B185),"")</f>
        <v/>
      </c>
      <c r="X185" s="423" t="str">
        <f>IFERROR(SUMIFS('OMNIA - Key Inputs_EB'!Q$249:Q$260,'OMNIA - Key Inputs_EB'!$C$249:$C$260,'RSD_BY Techs'!$B185,'OMNIA - Key Inputs_EB'!$E$249:$E$260,'RSD_BY Techs'!$D185)/SUMIFS('OMNIA - Key Inputs_EB'!Q$249:Q$260,'OMNIA - Key Inputs_EB'!$C$249:$C$260,'RSD_BY Techs'!$B185),"")</f>
        <v/>
      </c>
      <c r="Y185" s="423">
        <f>IFERROR(SUMIFS('OMNIA - Key Inputs_EB'!R$249:R$260,'OMNIA - Key Inputs_EB'!$C$249:$C$260,'RSD_BY Techs'!$B185,'OMNIA - Key Inputs_EB'!$E$249:$E$260,'RSD_BY Techs'!$D185)/SUMIFS('OMNIA - Key Inputs_EB'!R$249:R$260,'OMNIA - Key Inputs_EB'!$C$249:$C$260,'RSD_BY Techs'!$B185),"")</f>
        <v>0</v>
      </c>
      <c r="Z185" s="423" t="str">
        <f>IFERROR(SUMIFS('OMNIA - Key Inputs_EB'!S$249:S$260,'OMNIA - Key Inputs_EB'!$C$249:$C$260,'RSD_BY Techs'!$B185,'OMNIA - Key Inputs_EB'!$E$249:$E$260,'RSD_BY Techs'!$D185)/SUMIFS('OMNIA - Key Inputs_EB'!S$249:S$260,'OMNIA - Key Inputs_EB'!$C$249:$C$260,'RSD_BY Techs'!$B185),"")</f>
        <v/>
      </c>
      <c r="AA185" s="423">
        <f>IFERROR(SUMIFS('OMNIA - Key Inputs_EB'!T$249:T$260,'OMNIA - Key Inputs_EB'!$C$249:$C$260,'RSD_BY Techs'!$B185,'OMNIA - Key Inputs_EB'!$E$249:$E$260,'RSD_BY Techs'!$D185)/SUMIFS('OMNIA - Key Inputs_EB'!T$249:T$260,'OMNIA - Key Inputs_EB'!$C$249:$C$260,'RSD_BY Techs'!$B185),"")</f>
        <v>0</v>
      </c>
      <c r="AB185" s="423">
        <f>IFERROR(SUMIFS('OMNIA - Key Inputs_EB'!U$249:U$260,'OMNIA - Key Inputs_EB'!$C$249:$C$260,'RSD_BY Techs'!$B185,'OMNIA - Key Inputs_EB'!$E$249:$E$260,'RSD_BY Techs'!$D185)/SUMIFS('OMNIA - Key Inputs_EB'!U$249:U$260,'OMNIA - Key Inputs_EB'!$C$249:$C$260,'RSD_BY Techs'!$B185),"")</f>
        <v>0</v>
      </c>
      <c r="AC185" s="423">
        <f>IFERROR(SUMIFS('OMNIA - Key Inputs_EB'!V$249:V$260,'OMNIA - Key Inputs_EB'!$C$249:$C$260,'RSD_BY Techs'!$B185,'OMNIA - Key Inputs_EB'!$E$249:$E$260,'RSD_BY Techs'!$D185)/SUMIFS('OMNIA - Key Inputs_EB'!V$249:V$260,'OMNIA - Key Inputs_EB'!$C$249:$C$260,'RSD_BY Techs'!$B185),"")</f>
        <v>0</v>
      </c>
      <c r="AD185" s="423">
        <f>IFERROR(SUMIFS('OMNIA - Key Inputs_EB'!W$249:W$260,'OMNIA - Key Inputs_EB'!$C$249:$C$260,'RSD_BY Techs'!$B185,'OMNIA - Key Inputs_EB'!$E$249:$E$260,'RSD_BY Techs'!$D185)/SUMIFS('OMNIA - Key Inputs_EB'!W$249:W$260,'OMNIA - Key Inputs_EB'!$C$249:$C$260,'RSD_BY Techs'!$B185),"")</f>
        <v>0</v>
      </c>
      <c r="AE185" s="423">
        <f>IFERROR(SUMIFS('OMNIA - Key Inputs_EB'!X$249:X$260,'OMNIA - Key Inputs_EB'!$C$249:$C$260,'RSD_BY Techs'!$B185,'OMNIA - Key Inputs_EB'!$E$249:$E$260,'RSD_BY Techs'!$D185)/SUMIFS('OMNIA - Key Inputs_EB'!X$249:X$260,'OMNIA - Key Inputs_EB'!$C$249:$C$260,'RSD_BY Techs'!$B185),"")</f>
        <v>0</v>
      </c>
      <c r="AF185" s="423" t="str">
        <f>IFERROR(SUMIFS('OMNIA - Key Inputs_EB'!Y$249:Y$260,'OMNIA - Key Inputs_EB'!$C$249:$C$260,'RSD_BY Techs'!$B185,'OMNIA - Key Inputs_EB'!$E$249:$E$260,'RSD_BY Techs'!$D185)/SUMIFS('OMNIA - Key Inputs_EB'!Y$249:Y$260,'OMNIA - Key Inputs_EB'!$C$249:$C$260,'RSD_BY Techs'!$B185),"")</f>
        <v/>
      </c>
      <c r="AG185" s="423" t="str">
        <f>IFERROR(SUMIFS('OMNIA - Key Inputs_EB'!Z$249:Z$260,'OMNIA - Key Inputs_EB'!$C$249:$C$260,'RSD_BY Techs'!$B185,'OMNIA - Key Inputs_EB'!$E$249:$E$260,'RSD_BY Techs'!$D185)/SUMIFS('OMNIA - Key Inputs_EB'!Z$249:Z$260,'OMNIA - Key Inputs_EB'!$C$249:$C$260,'RSD_BY Techs'!$B185),"")</f>
        <v/>
      </c>
      <c r="AH185" s="423" t="str">
        <f>IFERROR(SUMIFS('OMNIA - Key Inputs_EB'!AA$249:AA$260,'OMNIA - Key Inputs_EB'!$C$249:$C$260,'RSD_BY Techs'!$B185,'OMNIA - Key Inputs_EB'!$E$249:$E$260,'RSD_BY Techs'!$D185)/SUMIFS('OMNIA - Key Inputs_EB'!AA$249:AA$260,'OMNIA - Key Inputs_EB'!$C$249:$C$260,'RSD_BY Techs'!$B185),"")</f>
        <v/>
      </c>
      <c r="AI185" s="423" t="str">
        <f>IFERROR(SUMIFS('OMNIA - Key Inputs_EB'!AB$249:AB$260,'OMNIA - Key Inputs_EB'!$C$249:$C$260,'RSD_BY Techs'!$B185,'OMNIA - Key Inputs_EB'!$E$249:$E$260,'RSD_BY Techs'!$D185)/SUMIFS('OMNIA - Key Inputs_EB'!AB$249:AB$260,'OMNIA - Key Inputs_EB'!$C$249:$C$260,'RSD_BY Techs'!$B185),"")</f>
        <v/>
      </c>
      <c r="AJ185" s="423">
        <f>IFERROR(SUMIFS('OMNIA - Key Inputs_EB'!AC$249:AC$260,'OMNIA - Key Inputs_EB'!$C$249:$C$260,'RSD_BY Techs'!$B185,'OMNIA - Key Inputs_EB'!$E$249:$E$260,'RSD_BY Techs'!$D185)/SUMIFS('OMNIA - Key Inputs_EB'!AC$249:AC$260,'OMNIA - Key Inputs_EB'!$C$249:$C$260,'RSD_BY Techs'!$B185),"")</f>
        <v>0</v>
      </c>
      <c r="AK185" s="423">
        <f>IFERROR(SUMIFS('OMNIA - Key Inputs_EB'!AD$249:AD$260,'OMNIA - Key Inputs_EB'!$C$249:$C$260,'RSD_BY Techs'!$B185,'OMNIA - Key Inputs_EB'!$E$249:$E$260,'RSD_BY Techs'!$D185)/SUMIFS('OMNIA - Key Inputs_EB'!AD$249:AD$260,'OMNIA - Key Inputs_EB'!$C$249:$C$260,'RSD_BY Techs'!$B185),"")</f>
        <v>0</v>
      </c>
      <c r="AL185" s="423">
        <f>IFERROR(SUMIFS('OMNIA - Key Inputs_EB'!AE$249:AE$260,'OMNIA - Key Inputs_EB'!$C$249:$C$260,'RSD_BY Techs'!$B185,'OMNIA - Key Inputs_EB'!$E$249:$E$260,'RSD_BY Techs'!$D185)/SUMIFS('OMNIA - Key Inputs_EB'!AE$249:AE$260,'OMNIA - Key Inputs_EB'!$C$249:$C$260,'RSD_BY Techs'!$B185),"")</f>
        <v>0</v>
      </c>
      <c r="AM185" s="423">
        <f>IFERROR(SUMIFS('OMNIA - Key Inputs_EB'!AF$249:AF$260,'OMNIA - Key Inputs_EB'!$C$249:$C$260,'RSD_BY Techs'!$B185,'OMNIA - Key Inputs_EB'!$E$249:$E$260,'RSD_BY Techs'!$D185)/SUMIFS('OMNIA - Key Inputs_EB'!AF$249:AF$260,'OMNIA - Key Inputs_EB'!$C$249:$C$260,'RSD_BY Techs'!$B185),"")</f>
        <v>0</v>
      </c>
      <c r="AN185" s="423" t="str">
        <f>IFERROR(SUMIFS('OMNIA - Key Inputs_EB'!AG$249:AG$260,'OMNIA - Key Inputs_EB'!$C$249:$C$260,'RSD_BY Techs'!$B185,'OMNIA - Key Inputs_EB'!$E$249:$E$260,'RSD_BY Techs'!$D185)/SUMIFS('OMNIA - Key Inputs_EB'!AG$249:AG$260,'OMNIA - Key Inputs_EB'!$C$249:$C$260,'RSD_BY Techs'!$B185),"")</f>
        <v/>
      </c>
      <c r="AO185" s="423">
        <f>IFERROR(SUMIFS('OMNIA - Key Inputs_EB'!AH$249:AH$260,'OMNIA - Key Inputs_EB'!$C$249:$C$260,'RSD_BY Techs'!$B185,'OMNIA - Key Inputs_EB'!$E$249:$E$260,'RSD_BY Techs'!$D185)/SUMIFS('OMNIA - Key Inputs_EB'!AH$249:AH$260,'OMNIA - Key Inputs_EB'!$C$249:$C$260,'RSD_BY Techs'!$B185),"")</f>
        <v>0</v>
      </c>
      <c r="AP185" s="423">
        <f>IFERROR(SUMIFS('OMNIA - Key Inputs_EB'!AI$249:AI$260,'OMNIA - Key Inputs_EB'!$C$249:$C$260,'RSD_BY Techs'!$B185,'OMNIA - Key Inputs_EB'!$E$249:$E$260,'RSD_BY Techs'!$D185)/SUMIFS('OMNIA - Key Inputs_EB'!AI$249:AI$260,'OMNIA - Key Inputs_EB'!$C$249:$C$260,'RSD_BY Techs'!$B185),"")</f>
        <v>0</v>
      </c>
    </row>
    <row r="188" spans="1:42" ht="15.75" x14ac:dyDescent="0.25">
      <c r="I188" s="82" t="s">
        <v>34</v>
      </c>
      <c r="J188" s="8"/>
      <c r="K188" s="8"/>
      <c r="L188" s="8"/>
      <c r="M188" s="8"/>
      <c r="N188" s="8"/>
    </row>
    <row r="189" spans="1:42" ht="15.75" thickBot="1" x14ac:dyDescent="0.3">
      <c r="I189" s="77" t="s">
        <v>35</v>
      </c>
      <c r="J189" s="83" t="s">
        <v>192</v>
      </c>
      <c r="K189" s="77" t="s">
        <v>188</v>
      </c>
      <c r="L189" s="77" t="s">
        <v>40</v>
      </c>
      <c r="M189" s="77" t="s">
        <v>113</v>
      </c>
      <c r="N189" s="77" t="s">
        <v>47</v>
      </c>
      <c r="O189" s="77" t="s">
        <v>314</v>
      </c>
      <c r="P189" s="77" t="s">
        <v>315</v>
      </c>
      <c r="Q189" s="77" t="s">
        <v>317</v>
      </c>
      <c r="R189" s="77" t="s">
        <v>316</v>
      </c>
      <c r="S189" s="77" t="s">
        <v>318</v>
      </c>
      <c r="T189" s="77" t="s">
        <v>319</v>
      </c>
      <c r="U189" s="77" t="s">
        <v>320</v>
      </c>
      <c r="V189" s="77" t="s">
        <v>321</v>
      </c>
      <c r="W189" s="77" t="s">
        <v>1</v>
      </c>
      <c r="X189" s="77" t="s">
        <v>2</v>
      </c>
      <c r="Y189" s="77" t="s">
        <v>416</v>
      </c>
      <c r="Z189" s="77" t="s">
        <v>3</v>
      </c>
      <c r="AA189" s="77" t="s">
        <v>322</v>
      </c>
      <c r="AB189" s="77" t="s">
        <v>323</v>
      </c>
      <c r="AC189" s="77" t="s">
        <v>324</v>
      </c>
      <c r="AD189" s="77" t="s">
        <v>417</v>
      </c>
      <c r="AE189" s="77" t="s">
        <v>325</v>
      </c>
      <c r="AF189" s="77" t="s">
        <v>4</v>
      </c>
      <c r="AG189" s="77" t="s">
        <v>5</v>
      </c>
      <c r="AH189" s="77" t="s">
        <v>6</v>
      </c>
      <c r="AI189" s="77" t="s">
        <v>7</v>
      </c>
      <c r="AJ189" s="77" t="s">
        <v>418</v>
      </c>
      <c r="AK189" s="77" t="s">
        <v>8</v>
      </c>
      <c r="AL189" s="77" t="s">
        <v>9</v>
      </c>
      <c r="AM189" s="77" t="s">
        <v>419</v>
      </c>
      <c r="AN189" s="77" t="s">
        <v>10</v>
      </c>
      <c r="AO189" s="77" t="s">
        <v>420</v>
      </c>
      <c r="AP189" s="77" t="s">
        <v>11</v>
      </c>
    </row>
    <row r="190" spans="1:42" ht="38.25" x14ac:dyDescent="0.25">
      <c r="I190" s="2" t="s">
        <v>196</v>
      </c>
      <c r="J190" s="2" t="s">
        <v>27</v>
      </c>
      <c r="K190" s="2" t="s">
        <v>197</v>
      </c>
      <c r="L190" s="6"/>
      <c r="M190" s="6"/>
      <c r="N190" s="2" t="s">
        <v>371</v>
      </c>
      <c r="O190" s="2" t="s">
        <v>327</v>
      </c>
      <c r="P190" s="2" t="s">
        <v>328</v>
      </c>
      <c r="Q190" s="2" t="s">
        <v>330</v>
      </c>
      <c r="R190" s="2" t="s">
        <v>329</v>
      </c>
      <c r="S190" s="2" t="s">
        <v>331</v>
      </c>
      <c r="T190" s="2" t="s">
        <v>332</v>
      </c>
      <c r="U190" s="2" t="s">
        <v>333</v>
      </c>
      <c r="V190" s="2" t="s">
        <v>334</v>
      </c>
      <c r="W190" s="2" t="s">
        <v>87</v>
      </c>
      <c r="X190" s="2" t="s">
        <v>88</v>
      </c>
      <c r="Y190" s="2" t="s">
        <v>425</v>
      </c>
      <c r="Z190" s="2" t="s">
        <v>426</v>
      </c>
      <c r="AA190" s="2" t="s">
        <v>335</v>
      </c>
      <c r="AB190" s="2" t="s">
        <v>336</v>
      </c>
      <c r="AC190" s="2" t="s">
        <v>337</v>
      </c>
      <c r="AD190" s="2" t="s">
        <v>427</v>
      </c>
      <c r="AE190" s="2" t="s">
        <v>338</v>
      </c>
      <c r="AF190" s="2" t="s">
        <v>428</v>
      </c>
      <c r="AG190" s="2" t="s">
        <v>89</v>
      </c>
      <c r="AH190" s="2" t="s">
        <v>90</v>
      </c>
      <c r="AI190" s="2" t="s">
        <v>91</v>
      </c>
      <c r="AJ190" s="2" t="s">
        <v>429</v>
      </c>
      <c r="AK190" s="2" t="s">
        <v>430</v>
      </c>
      <c r="AL190" s="2" t="s">
        <v>92</v>
      </c>
      <c r="AM190" s="2" t="s">
        <v>431</v>
      </c>
      <c r="AN190" s="2" t="s">
        <v>432</v>
      </c>
      <c r="AO190" s="2" t="s">
        <v>587</v>
      </c>
      <c r="AP190" s="2" t="s">
        <v>339</v>
      </c>
    </row>
    <row r="191" spans="1:42" x14ac:dyDescent="0.25">
      <c r="I191" s="88" t="str">
        <f>"*"&amp;L192</f>
        <v>*NCAP_BND</v>
      </c>
    </row>
    <row r="192" spans="1:42" x14ac:dyDescent="0.25">
      <c r="I192" s="84" t="str">
        <f>I175</f>
        <v>R-OTH_00</v>
      </c>
      <c r="J192" s="84" t="str">
        <f>J175</f>
        <v>RSD Other uses - Existing</v>
      </c>
      <c r="K192" s="84"/>
      <c r="L192" s="296" t="s">
        <v>403</v>
      </c>
      <c r="M192" s="84">
        <v>0</v>
      </c>
      <c r="N192" s="296" t="s">
        <v>77</v>
      </c>
      <c r="O192" s="84">
        <f>IF(O160=0,"",-1)</f>
        <v>-1</v>
      </c>
      <c r="P192" s="84">
        <f t="shared" ref="P192:AP192" si="49">IF(P160=0,"",-1)</f>
        <v>-1</v>
      </c>
      <c r="Q192" s="84">
        <f t="shared" si="49"/>
        <v>-1</v>
      </c>
      <c r="R192" s="84">
        <f t="shared" si="49"/>
        <v>-1</v>
      </c>
      <c r="S192" s="84" t="str">
        <f t="shared" si="49"/>
        <v/>
      </c>
      <c r="T192" s="84" t="str">
        <f t="shared" si="49"/>
        <v/>
      </c>
      <c r="U192" s="84" t="str">
        <f t="shared" si="49"/>
        <v/>
      </c>
      <c r="V192" s="84" t="str">
        <f t="shared" si="49"/>
        <v/>
      </c>
      <c r="W192" s="84" t="str">
        <f t="shared" si="49"/>
        <v/>
      </c>
      <c r="X192" s="84" t="str">
        <f t="shared" si="49"/>
        <v/>
      </c>
      <c r="Y192" s="84">
        <f t="shared" si="49"/>
        <v>-1</v>
      </c>
      <c r="Z192" s="84" t="str">
        <f t="shared" si="49"/>
        <v/>
      </c>
      <c r="AA192" s="84">
        <f t="shared" si="49"/>
        <v>-1</v>
      </c>
      <c r="AB192" s="84">
        <f t="shared" si="49"/>
        <v>-1</v>
      </c>
      <c r="AC192" s="84">
        <f t="shared" si="49"/>
        <v>-1</v>
      </c>
      <c r="AD192" s="84">
        <f t="shared" si="49"/>
        <v>-1</v>
      </c>
      <c r="AE192" s="84">
        <f t="shared" si="49"/>
        <v>-1</v>
      </c>
      <c r="AF192" s="84" t="str">
        <f t="shared" si="49"/>
        <v/>
      </c>
      <c r="AG192" s="84" t="str">
        <f t="shared" si="49"/>
        <v/>
      </c>
      <c r="AH192" s="84" t="str">
        <f t="shared" si="49"/>
        <v/>
      </c>
      <c r="AI192" s="84" t="str">
        <f t="shared" si="49"/>
        <v/>
      </c>
      <c r="AJ192" s="84">
        <f t="shared" si="49"/>
        <v>-1</v>
      </c>
      <c r="AK192" s="84">
        <f t="shared" si="49"/>
        <v>-1</v>
      </c>
      <c r="AL192" s="84">
        <f t="shared" si="49"/>
        <v>-1</v>
      </c>
      <c r="AM192" s="84">
        <f t="shared" si="49"/>
        <v>-1</v>
      </c>
      <c r="AN192" s="84" t="str">
        <f t="shared" si="49"/>
        <v/>
      </c>
      <c r="AO192" s="84">
        <f t="shared" si="49"/>
        <v>-1</v>
      </c>
      <c r="AP192" s="84">
        <f t="shared" si="49"/>
        <v>-1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694B1-4CB4-4F50-AA71-09978D16AC06}">
  <sheetPr codeName="Sheet8">
    <tabColor theme="9" tint="0.59999389629810485"/>
  </sheetPr>
  <dimension ref="A1:BK515"/>
  <sheetViews>
    <sheetView showGridLines="0" zoomScale="85" zoomScaleNormal="85" workbookViewId="0">
      <pane ySplit="1" topLeftCell="A42" activePane="bottomLeft" state="frozen"/>
      <selection activeCell="J1" sqref="J1"/>
      <selection pane="bottomLeft" activeCell="A360" sqref="A360:XFD361"/>
    </sheetView>
  </sheetViews>
  <sheetFormatPr defaultColWidth="8.375" defaultRowHeight="15" x14ac:dyDescent="0.25"/>
  <cols>
    <col min="1" max="1" width="16.25" style="245" bestFit="1" customWidth="1"/>
    <col min="2" max="2" width="10.25" style="245" bestFit="1" customWidth="1"/>
    <col min="3" max="3" width="16.625" style="245" bestFit="1" customWidth="1"/>
    <col min="4" max="4" width="29.375" style="245" bestFit="1" customWidth="1"/>
    <col min="5" max="5" width="8.75" style="245" bestFit="1" customWidth="1"/>
    <col min="6" max="6" width="21.5" style="245" bestFit="1" customWidth="1"/>
    <col min="7" max="7" width="5" style="245" bestFit="1" customWidth="1"/>
    <col min="8" max="8" width="13.5" style="245" bestFit="1" customWidth="1"/>
    <col min="9" max="9" width="5.125" style="245" bestFit="1" customWidth="1"/>
    <col min="10" max="10" width="2.5" style="109" customWidth="1"/>
    <col min="11" max="11" width="19.25" style="109" customWidth="1"/>
    <col min="12" max="12" width="52.875" style="109" bestFit="1" customWidth="1"/>
    <col min="13" max="13" width="28.375" style="109" bestFit="1" customWidth="1"/>
    <col min="14" max="15" width="10.625" style="109" customWidth="1"/>
    <col min="16" max="16" width="12.25" style="109" bestFit="1" customWidth="1"/>
    <col min="17" max="38" width="10.625" style="109" customWidth="1"/>
    <col min="39" max="39" width="10.625" style="113" customWidth="1"/>
    <col min="40" max="41" width="10.625" style="109" customWidth="1"/>
    <col min="42" max="16384" width="8.375" style="109"/>
  </cols>
  <sheetData>
    <row r="1" spans="1:39" ht="23.25" x14ac:dyDescent="0.25">
      <c r="K1" s="54" t="str">
        <f>"Characterization of new technology options"</f>
        <v>Characterization of new technology options</v>
      </c>
    </row>
    <row r="2" spans="1:39" s="81" customFormat="1" x14ac:dyDescent="0.25">
      <c r="A2" s="232"/>
      <c r="B2" s="232"/>
      <c r="C2" s="232"/>
      <c r="D2" s="232"/>
      <c r="E2" s="232"/>
      <c r="F2" s="232"/>
      <c r="G2" s="232"/>
      <c r="H2" s="232"/>
      <c r="I2" s="232"/>
    </row>
    <row r="3" spans="1:39" x14ac:dyDescent="0.25">
      <c r="B3" s="246"/>
      <c r="K3" s="115" t="s">
        <v>34</v>
      </c>
      <c r="P3" s="116"/>
    </row>
    <row r="4" spans="1:39" ht="38.450000000000003" customHeight="1" thickBot="1" x14ac:dyDescent="0.3">
      <c r="A4" s="549" t="s">
        <v>229</v>
      </c>
      <c r="B4" s="549"/>
      <c r="C4" s="549" t="s">
        <v>96</v>
      </c>
      <c r="D4" s="549"/>
      <c r="E4" s="549"/>
      <c r="F4" s="247" t="s">
        <v>230</v>
      </c>
      <c r="G4" s="247"/>
      <c r="H4" s="276" t="s">
        <v>386</v>
      </c>
      <c r="I4" s="276"/>
      <c r="K4" s="77" t="s">
        <v>35</v>
      </c>
      <c r="L4" s="77" t="s">
        <v>192</v>
      </c>
      <c r="M4" s="77" t="s">
        <v>188</v>
      </c>
      <c r="N4" s="77" t="s">
        <v>189</v>
      </c>
      <c r="O4" s="77" t="s">
        <v>310</v>
      </c>
      <c r="P4" s="77" t="s">
        <v>309</v>
      </c>
      <c r="Q4" s="77" t="s">
        <v>311</v>
      </c>
      <c r="AM4" s="109"/>
    </row>
    <row r="5" spans="1:39" ht="39" thickBot="1" x14ac:dyDescent="0.3">
      <c r="A5" s="248" t="s">
        <v>231</v>
      </c>
      <c r="B5" s="248" t="s">
        <v>232</v>
      </c>
      <c r="C5" s="248" t="s">
        <v>27</v>
      </c>
      <c r="D5" s="248" t="s">
        <v>32</v>
      </c>
      <c r="E5" s="248" t="s">
        <v>199</v>
      </c>
      <c r="F5" s="248" t="s">
        <v>27</v>
      </c>
      <c r="G5" s="248" t="s">
        <v>32</v>
      </c>
      <c r="H5" s="277" t="s">
        <v>27</v>
      </c>
      <c r="I5" s="277" t="s">
        <v>32</v>
      </c>
      <c r="K5" s="2" t="s">
        <v>196</v>
      </c>
      <c r="L5" s="2" t="s">
        <v>27</v>
      </c>
      <c r="M5" s="2" t="s">
        <v>197</v>
      </c>
      <c r="N5" s="2" t="s">
        <v>198</v>
      </c>
      <c r="O5" s="2" t="s">
        <v>297</v>
      </c>
      <c r="P5" s="2" t="s">
        <v>85</v>
      </c>
      <c r="Q5" s="2" t="s">
        <v>302</v>
      </c>
      <c r="AM5" s="109"/>
    </row>
    <row r="6" spans="1:39" x14ac:dyDescent="0.25">
      <c r="A6" s="245" t="str">
        <f>Legend!$A$45</f>
        <v>Thermal uses</v>
      </c>
      <c r="B6" s="245" t="str">
        <f>LEFT(Legend!$C$4)&amp;"-"&amp;Legend!$B$46</f>
        <v>R-THL</v>
      </c>
      <c r="C6" s="245" t="str">
        <f>Legend!$A$64</f>
        <v>Biomass</v>
      </c>
      <c r="D6" s="245" t="str">
        <f>Legend!$B$64</f>
        <v>RSDBIO</v>
      </c>
      <c r="E6" s="249" t="str">
        <f>LEFT(D6,6)</f>
        <v>RSDBIO</v>
      </c>
      <c r="F6" s="245" t="s">
        <v>233</v>
      </c>
      <c r="G6" s="250" t="s">
        <v>234</v>
      </c>
      <c r="H6" s="254" t="str">
        <f>Legend!$A$60</f>
        <v>Stove</v>
      </c>
      <c r="I6" s="254" t="str">
        <f>Legend!$B$60</f>
        <v>STV</v>
      </c>
      <c r="J6" s="118"/>
      <c r="K6" s="286" t="str">
        <f>IF(C6="","",$B6&amp;"-"&amp;I6&amp;"_"&amp;RIGHT(E6,3)&amp;G6)</f>
        <v>R-THL-STV_BIO01</v>
      </c>
      <c r="L6" s="286" t="str">
        <f>IF(C6="","",Legend!$C$4&amp;" "&amp;$A6&amp;" technology: "&amp;$C6&amp;" "&amp;F6&amp;" -New")</f>
        <v>RSD Thermal uses technology: Biomass Wood Stove (Ord.) -New</v>
      </c>
      <c r="M6" s="109" t="str">
        <f t="shared" ref="M6:M74" si="0">IF(D6="","",D6)</f>
        <v>RSDBIO</v>
      </c>
      <c r="N6" s="109" t="str">
        <f t="shared" ref="N6:N74" si="1">$B6</f>
        <v>R-THL</v>
      </c>
      <c r="O6" s="119">
        <f>SUMIFS('Key Inputs_New Techs'!$F$9:$F$125,'Key Inputs_New Techs'!$B$9:$B$125,'RSD_New Techs'!$K6)</f>
        <v>2020</v>
      </c>
      <c r="P6" s="114">
        <f t="shared" ref="P6:P68" si="2">IF(A6="","",31.536)</f>
        <v>31.536000000000001</v>
      </c>
      <c r="Q6" s="130">
        <f>SUMIFS('Key Inputs_New Techs'!$G$9:$G$125,'Key Inputs_New Techs'!$B$9:$B$125,'RSD_New Techs'!$K6)</f>
        <v>15</v>
      </c>
      <c r="AM6" s="109"/>
    </row>
    <row r="7" spans="1:39" x14ac:dyDescent="0.25">
      <c r="A7" s="245" t="str">
        <f>Legend!$A$45</f>
        <v>Thermal uses</v>
      </c>
      <c r="B7" s="245" t="str">
        <f>LEFT(Legend!$C$4)&amp;"-"&amp;Legend!$B$46</f>
        <v>R-THL</v>
      </c>
      <c r="C7" s="245" t="str">
        <f>Legend!$A$64</f>
        <v>Biomass</v>
      </c>
      <c r="D7" s="245" t="str">
        <f>Legend!$B$64</f>
        <v>RSDBIO</v>
      </c>
      <c r="E7" s="249" t="str">
        <f>LEFT(D7,6)</f>
        <v>RSDBIO</v>
      </c>
      <c r="F7" s="245" t="s">
        <v>235</v>
      </c>
      <c r="G7" s="250" t="s">
        <v>236</v>
      </c>
      <c r="H7" s="254" t="str">
        <f>Legend!$A$60</f>
        <v>Stove</v>
      </c>
      <c r="I7" s="254" t="str">
        <f>Legend!$B$60</f>
        <v>STV</v>
      </c>
      <c r="J7" s="118"/>
      <c r="K7" s="286" t="str">
        <f t="shared" ref="K7:K30" si="3">IF(C7="","",$B7&amp;"-"&amp;I7&amp;"_"&amp;RIGHT(E7,3)&amp;G7)</f>
        <v>R-THL-STV_BIO02</v>
      </c>
      <c r="L7" s="286" t="str">
        <f>IF(C7="","",Legend!$C$4&amp;" "&amp;$A7&amp;" technology: "&amp;$C7&amp;" "&amp;F7&amp;" -New")</f>
        <v>RSD Thermal uses technology: Biomass Wood Stove (Imp.) -New</v>
      </c>
      <c r="M7" s="109" t="str">
        <f t="shared" si="0"/>
        <v>RSDBIO</v>
      </c>
      <c r="N7" s="109" t="str">
        <f t="shared" si="1"/>
        <v>R-THL</v>
      </c>
      <c r="O7" s="119">
        <f>SUMIFS('Key Inputs_New Techs'!$F$9:$F$125,'Key Inputs_New Techs'!$B$9:$B$125,'RSD_New Techs'!$K7)</f>
        <v>2025</v>
      </c>
      <c r="P7" s="114">
        <f t="shared" si="2"/>
        <v>31.536000000000001</v>
      </c>
      <c r="Q7" s="119">
        <f>SUMIFS('Key Inputs_New Techs'!$G$9:$G$125,'Key Inputs_New Techs'!$B$9:$B$125,'RSD_New Techs'!$K7)</f>
        <v>15</v>
      </c>
      <c r="AM7" s="109"/>
    </row>
    <row r="8" spans="1:39" x14ac:dyDescent="0.25">
      <c r="A8" s="245" t="str">
        <f>Legend!$A$45</f>
        <v>Thermal uses</v>
      </c>
      <c r="B8" s="245" t="str">
        <f>LEFT(Legend!$C$4)&amp;"-"&amp;Legend!$B$46</f>
        <v>R-THL</v>
      </c>
      <c r="C8" s="245" t="str">
        <f>Legend!$A$64</f>
        <v>Biomass</v>
      </c>
      <c r="D8" s="245" t="str">
        <f>Legend!$B$64</f>
        <v>RSDBIO</v>
      </c>
      <c r="E8" s="249" t="str">
        <f>LEFT(D8,6)</f>
        <v>RSDBIO</v>
      </c>
      <c r="F8" s="251" t="s">
        <v>272</v>
      </c>
      <c r="G8" s="250" t="s">
        <v>246</v>
      </c>
      <c r="H8" s="254" t="str">
        <f>Legend!$A$60</f>
        <v>Stove</v>
      </c>
      <c r="I8" s="254" t="str">
        <f>Legend!$B$60</f>
        <v>STV</v>
      </c>
      <c r="J8" s="118"/>
      <c r="K8" s="286" t="str">
        <f t="shared" si="3"/>
        <v>R-THL-STV_BIO03</v>
      </c>
      <c r="L8" s="286" t="str">
        <f>IF(C8="","",Legend!$C$4&amp;" "&amp;$A8&amp;" technology: "&amp;$C8&amp;" "&amp;F8&amp;" -New")</f>
        <v>RSD Thermal uses technology: Biomass Wood Stove (Adv.)) -New</v>
      </c>
      <c r="M8" s="109" t="str">
        <f t="shared" si="0"/>
        <v>RSDBIO</v>
      </c>
      <c r="N8" s="109" t="str">
        <f t="shared" si="1"/>
        <v>R-THL</v>
      </c>
      <c r="O8" s="119">
        <f>SUMIFS('Key Inputs_New Techs'!$F$9:$F$125,'Key Inputs_New Techs'!$B$9:$B$125,'RSD_New Techs'!$K8)</f>
        <v>2030</v>
      </c>
      <c r="P8" s="114">
        <f t="shared" si="2"/>
        <v>31.536000000000001</v>
      </c>
      <c r="Q8" s="119">
        <f>SUMIFS('Key Inputs_New Techs'!$G$9:$G$125,'Key Inputs_New Techs'!$B$9:$B$125,'RSD_New Techs'!$K8)</f>
        <v>15</v>
      </c>
      <c r="AM8" s="109"/>
    </row>
    <row r="9" spans="1:39" x14ac:dyDescent="0.25">
      <c r="A9" s="245" t="str">
        <f>Legend!$A$45</f>
        <v>Thermal uses</v>
      </c>
      <c r="B9" s="245" t="str">
        <f>LEFT(Legend!$C$4)&amp;"-"&amp;Legend!$B$46</f>
        <v>R-THL</v>
      </c>
      <c r="C9" s="245" t="str">
        <f>Legend!$A$66</f>
        <v>Electricity</v>
      </c>
      <c r="D9" s="245" t="str">
        <f>Legend!$B$66</f>
        <v>RSDELC</v>
      </c>
      <c r="E9" s="249" t="str">
        <f>LEFT(D9,6)</f>
        <v>RSDELC</v>
      </c>
      <c r="F9" s="245" t="s">
        <v>237</v>
      </c>
      <c r="G9" s="250" t="s">
        <v>234</v>
      </c>
      <c r="H9" s="254" t="str">
        <f>Legend!$A$57</f>
        <v>Heat pump (Air)</v>
      </c>
      <c r="I9" s="254" t="str">
        <f>Legend!$B$57</f>
        <v>HPA</v>
      </c>
      <c r="J9" s="118"/>
      <c r="K9" s="286" t="str">
        <f t="shared" si="3"/>
        <v>R-THL-HPA_ELC01</v>
      </c>
      <c r="L9" s="286" t="str">
        <f>IF(C9="","",Legend!$C$4&amp;" "&amp;$A9&amp;" technology: "&amp;$C9&amp;" "&amp;F9&amp;" -New")</f>
        <v>RSD Thermal uses technology: Electricity Heat Pump Air (Ord.) -New</v>
      </c>
      <c r="M9" s="109" t="str">
        <f t="shared" si="0"/>
        <v>RSDELC</v>
      </c>
      <c r="N9" s="109" t="str">
        <f t="shared" si="1"/>
        <v>R-THL</v>
      </c>
      <c r="O9" s="119">
        <f>SUMIFS('Key Inputs_New Techs'!$F$9:$F$125,'Key Inputs_New Techs'!$B$9:$B$125,'RSD_New Techs'!$K9)</f>
        <v>2020</v>
      </c>
      <c r="P9" s="114">
        <f t="shared" si="2"/>
        <v>31.536000000000001</v>
      </c>
      <c r="Q9" s="119">
        <f>SUMIFS('Key Inputs_New Techs'!$G$9:$G$125,'Key Inputs_New Techs'!$B$9:$B$125,'RSD_New Techs'!$K9)</f>
        <v>15</v>
      </c>
      <c r="AM9" s="109"/>
    </row>
    <row r="10" spans="1:39" x14ac:dyDescent="0.25">
      <c r="A10" s="245" t="str">
        <f>Legend!$A$45</f>
        <v>Thermal uses</v>
      </c>
      <c r="B10" s="245" t="str">
        <f>LEFT(Legend!$C$4)&amp;"-"&amp;Legend!$B$46</f>
        <v>R-THL</v>
      </c>
      <c r="C10" s="245" t="str">
        <f>Legend!$A$66</f>
        <v>Electricity</v>
      </c>
      <c r="D10" s="245" t="str">
        <f>Legend!$B$66</f>
        <v>RSDELC</v>
      </c>
      <c r="E10" s="249" t="str">
        <f t="shared" ref="E10:E27" si="4">LEFT(D10,6)</f>
        <v>RSDELC</v>
      </c>
      <c r="F10" s="245" t="s">
        <v>238</v>
      </c>
      <c r="G10" s="250" t="s">
        <v>236</v>
      </c>
      <c r="H10" s="254" t="str">
        <f>Legend!$A$57</f>
        <v>Heat pump (Air)</v>
      </c>
      <c r="I10" s="254" t="str">
        <f>Legend!$B$57</f>
        <v>HPA</v>
      </c>
      <c r="J10" s="118"/>
      <c r="K10" s="286" t="str">
        <f t="shared" si="3"/>
        <v>R-THL-HPA_ELC02</v>
      </c>
      <c r="L10" s="286" t="str">
        <f>IF(C10="","",Legend!$C$4&amp;" "&amp;$A10&amp;" technology: "&amp;$C10&amp;" "&amp;F10&amp;" -New")</f>
        <v>RSD Thermal uses technology: Electricity Heat Pump Air (Imp.) -New</v>
      </c>
      <c r="M10" s="109" t="str">
        <f t="shared" si="0"/>
        <v>RSDELC</v>
      </c>
      <c r="N10" s="109" t="str">
        <f t="shared" si="1"/>
        <v>R-THL</v>
      </c>
      <c r="O10" s="119">
        <f>SUMIFS('Key Inputs_New Techs'!$F$9:$F$125,'Key Inputs_New Techs'!$B$9:$B$125,'RSD_New Techs'!$K10)</f>
        <v>2025</v>
      </c>
      <c r="P10" s="114">
        <f t="shared" si="2"/>
        <v>31.536000000000001</v>
      </c>
      <c r="Q10" s="119">
        <f>SUMIFS('Key Inputs_New Techs'!$G$9:$G$125,'Key Inputs_New Techs'!$B$9:$B$125,'RSD_New Techs'!$K10)</f>
        <v>15</v>
      </c>
      <c r="AM10" s="109"/>
    </row>
    <row r="11" spans="1:39" x14ac:dyDescent="0.25">
      <c r="A11" s="245" t="str">
        <f>Legend!$A$45</f>
        <v>Thermal uses</v>
      </c>
      <c r="B11" s="245" t="str">
        <f>LEFT(Legend!$C$4)&amp;"-"&amp;Legend!$B$46</f>
        <v>R-THL</v>
      </c>
      <c r="C11" s="245" t="str">
        <f>Legend!$A$66</f>
        <v>Electricity</v>
      </c>
      <c r="D11" s="245" t="str">
        <f>Legend!$B$66</f>
        <v>RSDELC</v>
      </c>
      <c r="E11" s="249" t="str">
        <f t="shared" si="4"/>
        <v>RSDELC</v>
      </c>
      <c r="F11" s="245" t="s">
        <v>239</v>
      </c>
      <c r="G11" s="250" t="s">
        <v>246</v>
      </c>
      <c r="H11" s="254" t="str">
        <f>Legend!$A$57</f>
        <v>Heat pump (Air)</v>
      </c>
      <c r="I11" s="254" t="str">
        <f>Legend!$B$57</f>
        <v>HPA</v>
      </c>
      <c r="J11" s="118"/>
      <c r="K11" s="286" t="str">
        <f t="shared" si="3"/>
        <v>R-THL-HPA_ELC03</v>
      </c>
      <c r="L11" s="286" t="str">
        <f>IF(C11="","",Legend!$C$4&amp;" "&amp;$A11&amp;" technology: "&amp;$C11&amp;" "&amp;F11&amp;" -New")</f>
        <v>RSD Thermal uses technology: Electricity Heat Pump Air (Adv.) -New</v>
      </c>
      <c r="M11" s="109" t="str">
        <f t="shared" si="0"/>
        <v>RSDELC</v>
      </c>
      <c r="N11" s="109" t="str">
        <f t="shared" si="1"/>
        <v>R-THL</v>
      </c>
      <c r="O11" s="119">
        <f>SUMIFS('Key Inputs_New Techs'!$F$9:$F$125,'Key Inputs_New Techs'!$B$9:$B$125,'RSD_New Techs'!$K11)</f>
        <v>2030</v>
      </c>
      <c r="P11" s="114">
        <f t="shared" si="2"/>
        <v>31.536000000000001</v>
      </c>
      <c r="Q11" s="119">
        <f>SUMIFS('Key Inputs_New Techs'!$G$9:$G$125,'Key Inputs_New Techs'!$B$9:$B$125,'RSD_New Techs'!$K11)</f>
        <v>15</v>
      </c>
      <c r="AM11" s="109"/>
    </row>
    <row r="12" spans="1:39" x14ac:dyDescent="0.25">
      <c r="A12" s="245" t="str">
        <f>Legend!$A$45</f>
        <v>Thermal uses</v>
      </c>
      <c r="B12" s="245" t="str">
        <f>LEFT(Legend!$C$4)&amp;"-"&amp;Legend!$B$46</f>
        <v>R-THL</v>
      </c>
      <c r="C12" s="245" t="str">
        <f>Legend!$A$66</f>
        <v>Electricity</v>
      </c>
      <c r="D12" s="245" t="str">
        <f>Legend!$B$66</f>
        <v>RSDELC</v>
      </c>
      <c r="E12" s="249" t="str">
        <f t="shared" si="4"/>
        <v>RSDELC</v>
      </c>
      <c r="F12" s="245" t="s">
        <v>240</v>
      </c>
      <c r="G12" s="250" t="s">
        <v>378</v>
      </c>
      <c r="H12" s="254" t="str">
        <f>Legend!$A$57</f>
        <v>Heat pump (Air)</v>
      </c>
      <c r="I12" s="254" t="str">
        <f>Legend!$B$57</f>
        <v>HPA</v>
      </c>
      <c r="J12" s="118"/>
      <c r="K12" s="286" t="str">
        <f t="shared" si="3"/>
        <v>R-THL-HPA_ELC04</v>
      </c>
      <c r="L12" s="286" t="str">
        <f>IF(C12="","",Legend!$C$4&amp;" "&amp;$A12&amp;" technology: "&amp;$C12&amp;" "&amp;F12&amp;" -New")</f>
        <v>RSD Thermal uses technology: Electricity Heat Pump Wat. (Ord.) -New</v>
      </c>
      <c r="M12" s="109" t="str">
        <f t="shared" si="0"/>
        <v>RSDELC</v>
      </c>
      <c r="N12" s="109" t="str">
        <f t="shared" si="1"/>
        <v>R-THL</v>
      </c>
      <c r="O12" s="119">
        <f>SUMIFS('Key Inputs_New Techs'!$F$9:$F$125,'Key Inputs_New Techs'!$B$9:$B$125,'RSD_New Techs'!$K12)</f>
        <v>2020</v>
      </c>
      <c r="P12" s="114">
        <f t="shared" si="2"/>
        <v>31.536000000000001</v>
      </c>
      <c r="Q12" s="119">
        <f>SUMIFS('Key Inputs_New Techs'!$G$9:$G$125,'Key Inputs_New Techs'!$B$9:$B$125,'RSD_New Techs'!$K12)</f>
        <v>15</v>
      </c>
      <c r="AM12" s="109"/>
    </row>
    <row r="13" spans="1:39" x14ac:dyDescent="0.25">
      <c r="A13" s="245" t="str">
        <f>Legend!$A$45</f>
        <v>Thermal uses</v>
      </c>
      <c r="B13" s="245" t="str">
        <f>LEFT(Legend!$C$4)&amp;"-"&amp;Legend!$B$46</f>
        <v>R-THL</v>
      </c>
      <c r="C13" s="245" t="str">
        <f>Legend!$A$66</f>
        <v>Electricity</v>
      </c>
      <c r="D13" s="245" t="str">
        <f>Legend!$B$66</f>
        <v>RSDELC</v>
      </c>
      <c r="E13" s="249" t="str">
        <f t="shared" si="4"/>
        <v>RSDELC</v>
      </c>
      <c r="F13" s="245" t="s">
        <v>241</v>
      </c>
      <c r="G13" s="250" t="s">
        <v>379</v>
      </c>
      <c r="H13" s="254" t="str">
        <f>Legend!$A$57</f>
        <v>Heat pump (Air)</v>
      </c>
      <c r="I13" s="254" t="str">
        <f>Legend!$B$57</f>
        <v>HPA</v>
      </c>
      <c r="J13" s="118"/>
      <c r="K13" s="286" t="str">
        <f t="shared" si="3"/>
        <v>R-THL-HPA_ELC05</v>
      </c>
      <c r="L13" s="286" t="str">
        <f>IF(C13="","",Legend!$C$4&amp;" "&amp;$A13&amp;" technology: "&amp;$C13&amp;" "&amp;F13&amp;" -New")</f>
        <v>RSD Thermal uses technology: Electricity Heat Pump Wat. (Imp.) -New</v>
      </c>
      <c r="M13" s="109" t="str">
        <f t="shared" si="0"/>
        <v>RSDELC</v>
      </c>
      <c r="N13" s="109" t="str">
        <f t="shared" si="1"/>
        <v>R-THL</v>
      </c>
      <c r="O13" s="119">
        <f>SUMIFS('Key Inputs_New Techs'!$F$9:$F$125,'Key Inputs_New Techs'!$B$9:$B$125,'RSD_New Techs'!$K13)</f>
        <v>2025</v>
      </c>
      <c r="P13" s="114">
        <f t="shared" si="2"/>
        <v>31.536000000000001</v>
      </c>
      <c r="Q13" s="119">
        <f>SUMIFS('Key Inputs_New Techs'!$G$9:$G$125,'Key Inputs_New Techs'!$B$9:$B$125,'RSD_New Techs'!$K13)</f>
        <v>15</v>
      </c>
      <c r="AM13" s="109"/>
    </row>
    <row r="14" spans="1:39" x14ac:dyDescent="0.25">
      <c r="A14" s="245" t="str">
        <f>Legend!$A$45</f>
        <v>Thermal uses</v>
      </c>
      <c r="B14" s="245" t="str">
        <f>LEFT(Legend!$C$4)&amp;"-"&amp;Legend!$B$46</f>
        <v>R-THL</v>
      </c>
      <c r="C14" s="245" t="str">
        <f>Legend!$A$66</f>
        <v>Electricity</v>
      </c>
      <c r="D14" s="245" t="str">
        <f>Legend!$B$66</f>
        <v>RSDELC</v>
      </c>
      <c r="E14" s="249" t="str">
        <f t="shared" si="4"/>
        <v>RSDELC</v>
      </c>
      <c r="F14" s="251" t="s">
        <v>271</v>
      </c>
      <c r="G14" s="250" t="s">
        <v>380</v>
      </c>
      <c r="H14" s="254" t="str">
        <f>Legend!$A$57</f>
        <v>Heat pump (Air)</v>
      </c>
      <c r="I14" s="254" t="str">
        <f>Legend!$B$57</f>
        <v>HPA</v>
      </c>
      <c r="J14" s="118"/>
      <c r="K14" s="286" t="str">
        <f t="shared" si="3"/>
        <v>R-THL-HPA_ELC06</v>
      </c>
      <c r="L14" s="286" t="str">
        <f>IF(C14="","",Legend!$C$4&amp;" "&amp;$A14&amp;" technology: "&amp;$C14&amp;" "&amp;F14&amp;" -New")</f>
        <v>RSD Thermal uses technology: Electricity Heat Pump Wat. (Adv.) -New</v>
      </c>
      <c r="M14" s="109" t="str">
        <f t="shared" si="0"/>
        <v>RSDELC</v>
      </c>
      <c r="N14" s="109" t="str">
        <f t="shared" si="1"/>
        <v>R-THL</v>
      </c>
      <c r="O14" s="119">
        <f>SUMIFS('Key Inputs_New Techs'!$F$9:$F$125,'Key Inputs_New Techs'!$B$9:$B$125,'RSD_New Techs'!$K14)</f>
        <v>2030</v>
      </c>
      <c r="P14" s="114">
        <f t="shared" si="2"/>
        <v>31.536000000000001</v>
      </c>
      <c r="Q14" s="119">
        <f>SUMIFS('Key Inputs_New Techs'!$G$9:$G$125,'Key Inputs_New Techs'!$B$9:$B$125,'RSD_New Techs'!$K14)</f>
        <v>15</v>
      </c>
      <c r="AM14" s="109"/>
    </row>
    <row r="15" spans="1:39" s="113" customFormat="1" x14ac:dyDescent="0.25">
      <c r="A15" s="245" t="str">
        <f>Legend!$A$45</f>
        <v>Thermal uses</v>
      </c>
      <c r="B15" s="245" t="str">
        <f>LEFT(Legend!$C$4)&amp;"-"&amp;Legend!$B$46</f>
        <v>R-THL</v>
      </c>
      <c r="C15" s="245" t="str">
        <f>Legend!$A$66</f>
        <v>Electricity</v>
      </c>
      <c r="D15" s="245" t="str">
        <f>Legend!$B$66</f>
        <v>RSDELC</v>
      </c>
      <c r="E15" s="249" t="str">
        <f t="shared" si="4"/>
        <v>RSDELC</v>
      </c>
      <c r="F15" s="245" t="s">
        <v>242</v>
      </c>
      <c r="G15" s="250" t="s">
        <v>381</v>
      </c>
      <c r="H15" s="254" t="str">
        <f>Legend!$A$59</f>
        <v>Resistance</v>
      </c>
      <c r="I15" s="254" t="str">
        <f>Legend!$B$59</f>
        <v>RST</v>
      </c>
      <c r="J15" s="118"/>
      <c r="K15" s="286" t="str">
        <f t="shared" si="3"/>
        <v>R-THL-RST_ELC07</v>
      </c>
      <c r="L15" s="286" t="str">
        <f>IF(C15="","",Legend!$C$4&amp;" "&amp;$A15&amp;" technology: "&amp;$C15&amp;" "&amp;F15&amp;" -New")</f>
        <v>RSD Thermal uses technology: Electricity Electr. Resist. (Ord.) -New</v>
      </c>
      <c r="M15" s="109" t="str">
        <f t="shared" si="0"/>
        <v>RSDELC</v>
      </c>
      <c r="N15" s="109" t="str">
        <f t="shared" si="1"/>
        <v>R-THL</v>
      </c>
      <c r="O15" s="119">
        <f>SUMIFS('Key Inputs_New Techs'!$F$9:$F$125,'Key Inputs_New Techs'!$B$9:$B$125,'RSD_New Techs'!$K15)</f>
        <v>2020</v>
      </c>
      <c r="P15" s="114">
        <f t="shared" si="2"/>
        <v>31.536000000000001</v>
      </c>
      <c r="Q15" s="119">
        <f>SUMIFS('Key Inputs_New Techs'!$G$9:$G$125,'Key Inputs_New Techs'!$B$9:$B$125,'RSD_New Techs'!$K15)</f>
        <v>15</v>
      </c>
      <c r="R15" s="109"/>
      <c r="S15" s="109"/>
      <c r="T15" s="109"/>
      <c r="U15" s="109"/>
      <c r="V15" s="109"/>
      <c r="W15" s="109"/>
      <c r="X15" s="109"/>
    </row>
    <row r="16" spans="1:39" s="113" customFormat="1" x14ac:dyDescent="0.25">
      <c r="A16" s="245" t="str">
        <f>Legend!$A$45</f>
        <v>Thermal uses</v>
      </c>
      <c r="B16" s="245" t="str">
        <f>LEFT(Legend!$C$4)&amp;"-"&amp;Legend!$B$46</f>
        <v>R-THL</v>
      </c>
      <c r="C16" s="245" t="str">
        <f>Legend!A$71&amp;","&amp;Legend!A$63</f>
        <v>Natural gas,Biogas</v>
      </c>
      <c r="D16" s="245" t="str">
        <f>Legend!B$71&amp;","&amp;Legend!B$63 &amp;","&amp;Legend!B$76&amp;","&amp;Legend!B$77</f>
        <v>RSDGAS,RSDBGS,RSDH2B,RSDEFUM</v>
      </c>
      <c r="E16" s="249" t="str">
        <f t="shared" si="4"/>
        <v>RSDGAS</v>
      </c>
      <c r="F16" s="251" t="s">
        <v>265</v>
      </c>
      <c r="G16" s="250" t="s">
        <v>234</v>
      </c>
      <c r="H16" s="254" t="str">
        <f>Legend!$A$56</f>
        <v>Boiler</v>
      </c>
      <c r="I16" s="254" t="str">
        <f>Legend!$B$56</f>
        <v>BLR</v>
      </c>
      <c r="J16" s="118"/>
      <c r="K16" s="286" t="str">
        <f t="shared" si="3"/>
        <v>R-THL-BLR_GAS01</v>
      </c>
      <c r="L16" s="286" t="str">
        <f>IF(C16="","",Legend!$C$4&amp;" "&amp;$A16&amp;" technology: "&amp;$C16&amp;" "&amp;F16&amp;" -New")</f>
        <v>RSD Thermal uses technology: Natural gas,Biogas Boiler (Ord.) -New</v>
      </c>
      <c r="M16" s="109" t="str">
        <f t="shared" si="0"/>
        <v>RSDGAS,RSDBGS,RSDH2B,RSDEFUM</v>
      </c>
      <c r="N16" s="109" t="str">
        <f t="shared" si="1"/>
        <v>R-THL</v>
      </c>
      <c r="O16" s="119">
        <f>SUMIFS('Key Inputs_New Techs'!$F$9:$F$125,'Key Inputs_New Techs'!$B$9:$B$125,'RSD_New Techs'!$K16)</f>
        <v>2020</v>
      </c>
      <c r="P16" s="114">
        <f t="shared" si="2"/>
        <v>31.536000000000001</v>
      </c>
      <c r="Q16" s="119">
        <f>SUMIFS('Key Inputs_New Techs'!$G$9:$G$125,'Key Inputs_New Techs'!$B$9:$B$125,'RSD_New Techs'!$K16)</f>
        <v>15</v>
      </c>
      <c r="R16" s="109"/>
      <c r="S16" s="109"/>
      <c r="T16" s="109"/>
      <c r="U16" s="109"/>
      <c r="V16" s="109"/>
      <c r="W16" s="109"/>
      <c r="X16" s="109"/>
    </row>
    <row r="17" spans="1:24" s="113" customFormat="1" x14ac:dyDescent="0.25">
      <c r="A17" s="245" t="str">
        <f>Legend!$A$45</f>
        <v>Thermal uses</v>
      </c>
      <c r="B17" s="245" t="str">
        <f>LEFT(Legend!$C$4)&amp;"-"&amp;Legend!$B$46</f>
        <v>R-THL</v>
      </c>
      <c r="C17" s="245" t="str">
        <f>Legend!A$71&amp;","&amp;Legend!A$63</f>
        <v>Natural gas,Biogas</v>
      </c>
      <c r="D17" s="245" t="str">
        <f>Legend!B$71&amp;","&amp;Legend!B$63 &amp;","&amp;Legend!B$76&amp;","&amp;Legend!B$77</f>
        <v>RSDGAS,RSDBGS,RSDH2B,RSDEFUM</v>
      </c>
      <c r="E17" s="249" t="str">
        <f t="shared" si="4"/>
        <v>RSDGAS</v>
      </c>
      <c r="F17" s="251" t="s">
        <v>274</v>
      </c>
      <c r="G17" s="250" t="s">
        <v>236</v>
      </c>
      <c r="H17" s="254" t="str">
        <f>Legend!$A$56</f>
        <v>Boiler</v>
      </c>
      <c r="I17" s="254" t="str">
        <f>Legend!$B$56</f>
        <v>BLR</v>
      </c>
      <c r="J17" s="118"/>
      <c r="K17" s="286" t="str">
        <f t="shared" si="3"/>
        <v>R-THL-BLR_GAS02</v>
      </c>
      <c r="L17" s="286" t="str">
        <f>IF(C17="","",Legend!$C$4&amp;" "&amp;$A17&amp;" technology: "&amp;$C17&amp;" "&amp;F17&amp;" -New")</f>
        <v>RSD Thermal uses technology: Natural gas,Biogas Boiler cond. (Ord.) -New</v>
      </c>
      <c r="M17" s="109" t="str">
        <f t="shared" si="0"/>
        <v>RSDGAS,RSDBGS,RSDH2B,RSDEFUM</v>
      </c>
      <c r="N17" s="109" t="str">
        <f t="shared" si="1"/>
        <v>R-THL</v>
      </c>
      <c r="O17" s="119">
        <f>SUMIFS('Key Inputs_New Techs'!$F$9:$F$125,'Key Inputs_New Techs'!$B$9:$B$125,'RSD_New Techs'!$K17)</f>
        <v>2020</v>
      </c>
      <c r="P17" s="114">
        <f t="shared" si="2"/>
        <v>31.536000000000001</v>
      </c>
      <c r="Q17" s="119">
        <f>SUMIFS('Key Inputs_New Techs'!$G$9:$G$125,'Key Inputs_New Techs'!$B$9:$B$125,'RSD_New Techs'!$K17)</f>
        <v>15</v>
      </c>
      <c r="R17" s="109"/>
      <c r="S17" s="109"/>
      <c r="T17" s="109"/>
      <c r="U17" s="109"/>
      <c r="V17" s="109"/>
      <c r="W17" s="109"/>
      <c r="X17" s="109"/>
    </row>
    <row r="18" spans="1:24" s="113" customFormat="1" x14ac:dyDescent="0.25">
      <c r="A18" s="245" t="str">
        <f>Legend!$A$45</f>
        <v>Thermal uses</v>
      </c>
      <c r="B18" s="245" t="str">
        <f>LEFT(Legend!$C$4)&amp;"-"&amp;Legend!$B$46</f>
        <v>R-THL</v>
      </c>
      <c r="C18" s="245" t="str">
        <f>Legend!A$71&amp;","&amp;Legend!A$63</f>
        <v>Natural gas,Biogas</v>
      </c>
      <c r="D18" s="245" t="str">
        <f>Legend!B$71&amp;","&amp;Legend!B$63 &amp;","&amp;Legend!B$76&amp;","&amp;Legend!B$77</f>
        <v>RSDGAS,RSDBGS,RSDH2B,RSDEFUM</v>
      </c>
      <c r="E18" s="249" t="str">
        <f t="shared" si="4"/>
        <v>RSDGAS</v>
      </c>
      <c r="F18" s="251" t="s">
        <v>266</v>
      </c>
      <c r="G18" s="250" t="s">
        <v>246</v>
      </c>
      <c r="H18" s="254" t="str">
        <f>Legend!$A$56</f>
        <v>Boiler</v>
      </c>
      <c r="I18" s="254" t="str">
        <f>Legend!$B$56</f>
        <v>BLR</v>
      </c>
      <c r="J18" s="118"/>
      <c r="K18" s="286" t="str">
        <f t="shared" si="3"/>
        <v>R-THL-BLR_GAS03</v>
      </c>
      <c r="L18" s="286" t="str">
        <f>IF(C18="","",Legend!$C$4&amp;" "&amp;$A18&amp;" technology: "&amp;$C18&amp;" "&amp;F18&amp;" -New")</f>
        <v>RSD Thermal uses technology: Natural gas,Biogas Boiler (Imp.) -New</v>
      </c>
      <c r="M18" s="109" t="str">
        <f t="shared" si="0"/>
        <v>RSDGAS,RSDBGS,RSDH2B,RSDEFUM</v>
      </c>
      <c r="N18" s="109" t="str">
        <f t="shared" si="1"/>
        <v>R-THL</v>
      </c>
      <c r="O18" s="119">
        <f>SUMIFS('Key Inputs_New Techs'!$F$9:$F$125,'Key Inputs_New Techs'!$B$9:$B$125,'RSD_New Techs'!$K18)</f>
        <v>2025</v>
      </c>
      <c r="P18" s="114">
        <f t="shared" si="2"/>
        <v>31.536000000000001</v>
      </c>
      <c r="Q18" s="119">
        <f>SUMIFS('Key Inputs_New Techs'!$G$9:$G$125,'Key Inputs_New Techs'!$B$9:$B$125,'RSD_New Techs'!$K18)</f>
        <v>15</v>
      </c>
      <c r="R18" s="109"/>
      <c r="S18" s="109"/>
      <c r="T18" s="109"/>
      <c r="U18" s="109"/>
      <c r="V18" s="109"/>
      <c r="W18" s="109"/>
      <c r="X18" s="109"/>
    </row>
    <row r="19" spans="1:24" s="113" customFormat="1" x14ac:dyDescent="0.25">
      <c r="A19" s="245" t="str">
        <f>Legend!$A$45</f>
        <v>Thermal uses</v>
      </c>
      <c r="B19" s="245" t="str">
        <f>LEFT(Legend!$C$4)&amp;"-"&amp;Legend!$B$46</f>
        <v>R-THL</v>
      </c>
      <c r="C19" s="245" t="str">
        <f>Legend!A$71&amp;","&amp;Legend!A$63</f>
        <v>Natural gas,Biogas</v>
      </c>
      <c r="D19" s="245" t="str">
        <f>Legend!B$71&amp;","&amp;Legend!B$63 &amp;","&amp;Legend!B$76&amp;","&amp;Legend!B$77</f>
        <v>RSDGAS,RSDBGS,RSDH2B,RSDEFUM</v>
      </c>
      <c r="E19" s="249" t="str">
        <f t="shared" ref="E19" si="5">LEFT(D19,6)</f>
        <v>RSDGAS</v>
      </c>
      <c r="F19" s="251" t="s">
        <v>273</v>
      </c>
      <c r="G19" s="250" t="s">
        <v>378</v>
      </c>
      <c r="H19" s="254" t="str">
        <f>Legend!$A$56</f>
        <v>Boiler</v>
      </c>
      <c r="I19" s="254" t="str">
        <f>Legend!$B$56</f>
        <v>BLR</v>
      </c>
      <c r="J19" s="118"/>
      <c r="K19" s="286" t="str">
        <f t="shared" si="3"/>
        <v>R-THL-BLR_GAS04</v>
      </c>
      <c r="L19" s="286" t="str">
        <f>IF(C19="","",Legend!$C$4&amp;" "&amp;$A19&amp;" technology: "&amp;$C19&amp;" "&amp;F19&amp;" -New")</f>
        <v>RSD Thermal uses technology: Natural gas,Biogas Boiler cond. (Imp.) -New</v>
      </c>
      <c r="M19" s="109" t="str">
        <f t="shared" si="0"/>
        <v>RSDGAS,RSDBGS,RSDH2B,RSDEFUM</v>
      </c>
      <c r="N19" s="109" t="str">
        <f t="shared" si="1"/>
        <v>R-THL</v>
      </c>
      <c r="O19" s="119">
        <f>SUMIFS('Key Inputs_New Techs'!$F$9:$F$125,'Key Inputs_New Techs'!$B$9:$B$125,'RSD_New Techs'!$K19)</f>
        <v>2025</v>
      </c>
      <c r="P19" s="114">
        <f t="shared" si="2"/>
        <v>31.536000000000001</v>
      </c>
      <c r="Q19" s="119">
        <f>SUMIFS('Key Inputs_New Techs'!$G$9:$G$125,'Key Inputs_New Techs'!$B$9:$B$125,'RSD_New Techs'!$K19)</f>
        <v>15</v>
      </c>
      <c r="R19" s="109"/>
      <c r="S19" s="109"/>
      <c r="T19" s="109"/>
      <c r="U19" s="109"/>
      <c r="V19" s="109"/>
      <c r="W19" s="109"/>
      <c r="X19" s="109"/>
    </row>
    <row r="20" spans="1:24" s="113" customFormat="1" x14ac:dyDescent="0.25">
      <c r="A20" s="245" t="str">
        <f>Legend!$A$45</f>
        <v>Thermal uses</v>
      </c>
      <c r="B20" s="245" t="str">
        <f>LEFT(Legend!$C$4)&amp;"-"&amp;Legend!$B$46</f>
        <v>R-THL</v>
      </c>
      <c r="C20" s="245" t="str">
        <f>Legend!A$71&amp;","&amp;Legend!A$63</f>
        <v>Natural gas,Biogas</v>
      </c>
      <c r="D20" s="245" t="str">
        <f>Legend!B$71&amp;","&amp;Legend!B$63 &amp;","&amp;Legend!B$76&amp;","&amp;Legend!B$77</f>
        <v>RSDGAS,RSDBGS,RSDH2B,RSDEFUM</v>
      </c>
      <c r="E20" s="249" t="str">
        <f t="shared" si="4"/>
        <v>RSDGAS</v>
      </c>
      <c r="F20" s="252" t="s">
        <v>267</v>
      </c>
      <c r="G20" s="250" t="s">
        <v>379</v>
      </c>
      <c r="H20" s="254" t="str">
        <f>Legend!$A$57</f>
        <v>Heat pump (Air)</v>
      </c>
      <c r="I20" s="254" t="str">
        <f>Legend!$B$57</f>
        <v>HPA</v>
      </c>
      <c r="J20" s="118"/>
      <c r="K20" s="286" t="str">
        <f t="shared" si="3"/>
        <v>R-THL-HPA_GAS05</v>
      </c>
      <c r="L20" s="286" t="str">
        <f>IF(C20="","",Legend!$C$4&amp;" "&amp;$A20&amp;" technology: "&amp;$C20&amp;" "&amp;F20&amp;" -New")</f>
        <v>RSD Thermal uses technology: Natural gas,Biogas Heat Pump (Ord.) -New</v>
      </c>
      <c r="M20" s="109" t="str">
        <f t="shared" si="0"/>
        <v>RSDGAS,RSDBGS,RSDH2B,RSDEFUM</v>
      </c>
      <c r="N20" s="109" t="str">
        <f t="shared" si="1"/>
        <v>R-THL</v>
      </c>
      <c r="O20" s="119">
        <f>SUMIFS('Key Inputs_New Techs'!$F$9:$F$125,'Key Inputs_New Techs'!$B$9:$B$125,'RSD_New Techs'!$K20)</f>
        <v>2020</v>
      </c>
      <c r="P20" s="114">
        <f t="shared" si="2"/>
        <v>31.536000000000001</v>
      </c>
      <c r="Q20" s="119">
        <f>SUMIFS('Key Inputs_New Techs'!$G$9:$G$125,'Key Inputs_New Techs'!$B$9:$B$125,'RSD_New Techs'!$K20)</f>
        <v>15</v>
      </c>
      <c r="R20" s="109"/>
      <c r="S20" s="109"/>
      <c r="T20" s="109"/>
      <c r="U20" s="109"/>
      <c r="V20" s="109"/>
      <c r="W20" s="109"/>
      <c r="X20" s="109"/>
    </row>
    <row r="21" spans="1:24" s="113" customFormat="1" x14ac:dyDescent="0.25">
      <c r="A21" s="245" t="str">
        <f>Legend!$A$45</f>
        <v>Thermal uses</v>
      </c>
      <c r="B21" s="245" t="str">
        <f>LEFT(Legend!$C$4)&amp;"-"&amp;Legend!$B$46</f>
        <v>R-THL</v>
      </c>
      <c r="C21" s="245" t="str">
        <f>Legend!A$71&amp;","&amp;Legend!A$63</f>
        <v>Natural gas,Biogas</v>
      </c>
      <c r="D21" s="245" t="str">
        <f>Legend!B$71&amp;","&amp;Legend!B$63 &amp;","&amp;Legend!B$76&amp;","&amp;Legend!B$77</f>
        <v>RSDGAS,RSDBGS,RSDH2B,RSDEFUM</v>
      </c>
      <c r="E21" s="249" t="str">
        <f t="shared" si="4"/>
        <v>RSDGAS</v>
      </c>
      <c r="F21" s="252" t="s">
        <v>268</v>
      </c>
      <c r="G21" s="250" t="s">
        <v>380</v>
      </c>
      <c r="H21" s="254" t="str">
        <f>Legend!$A$57</f>
        <v>Heat pump (Air)</v>
      </c>
      <c r="I21" s="254" t="str">
        <f>Legend!$B$57</f>
        <v>HPA</v>
      </c>
      <c r="J21" s="118"/>
      <c r="K21" s="286" t="str">
        <f t="shared" si="3"/>
        <v>R-THL-HPA_GAS06</v>
      </c>
      <c r="L21" s="286" t="str">
        <f>IF(C21="","",Legend!$C$4&amp;" "&amp;$A21&amp;" technology: "&amp;$C21&amp;" "&amp;F21&amp;" -New")</f>
        <v>RSD Thermal uses technology: Natural gas,Biogas Heat Pump (Imp.) -New</v>
      </c>
      <c r="M21" s="109" t="str">
        <f t="shared" si="0"/>
        <v>RSDGAS,RSDBGS,RSDH2B,RSDEFUM</v>
      </c>
      <c r="N21" s="109" t="str">
        <f t="shared" si="1"/>
        <v>R-THL</v>
      </c>
      <c r="O21" s="119">
        <f>SUMIFS('Key Inputs_New Techs'!$F$9:$F$125,'Key Inputs_New Techs'!$B$9:$B$125,'RSD_New Techs'!$K21)</f>
        <v>2025</v>
      </c>
      <c r="P21" s="114">
        <f t="shared" si="2"/>
        <v>31.536000000000001</v>
      </c>
      <c r="Q21" s="119">
        <f>SUMIFS('Key Inputs_New Techs'!$G$9:$G$125,'Key Inputs_New Techs'!$B$9:$B$125,'RSD_New Techs'!$K21)</f>
        <v>15</v>
      </c>
      <c r="R21" s="109"/>
      <c r="S21" s="109"/>
      <c r="T21" s="109"/>
      <c r="U21" s="109"/>
      <c r="V21" s="109"/>
      <c r="W21" s="109"/>
      <c r="X21" s="109"/>
    </row>
    <row r="22" spans="1:24" s="113" customFormat="1" x14ac:dyDescent="0.25">
      <c r="A22" s="245" t="str">
        <f>Legend!$A$45</f>
        <v>Thermal uses</v>
      </c>
      <c r="B22" s="245" t="str">
        <f>LEFT(Legend!$C$4)&amp;"-"&amp;Legend!$B$46</f>
        <v>R-THL</v>
      </c>
      <c r="C22" s="245" t="str">
        <f>Legend!A$71&amp;","&amp;Legend!A$63</f>
        <v>Natural gas,Biogas</v>
      </c>
      <c r="D22" s="245" t="str">
        <f>Legend!B$71&amp;","&amp;Legend!B$63 &amp;","&amp;Legend!B$76&amp;","&amp;Legend!B$77</f>
        <v>RSDGAS,RSDBGS,RSDH2B,RSDEFUM</v>
      </c>
      <c r="E22" s="249" t="str">
        <f t="shared" si="4"/>
        <v>RSDGAS</v>
      </c>
      <c r="F22" s="252" t="s">
        <v>269</v>
      </c>
      <c r="G22" s="250" t="s">
        <v>381</v>
      </c>
      <c r="H22" s="254" t="str">
        <f>Legend!$A$57</f>
        <v>Heat pump (Air)</v>
      </c>
      <c r="I22" s="254" t="str">
        <f>Legend!$B$57</f>
        <v>HPA</v>
      </c>
      <c r="J22" s="118"/>
      <c r="K22" s="286" t="str">
        <f t="shared" si="3"/>
        <v>R-THL-HPA_GAS07</v>
      </c>
      <c r="L22" s="286" t="str">
        <f>IF(C22="","",Legend!$C$4&amp;" "&amp;$A22&amp;" technology: "&amp;$C22&amp;" "&amp;F22&amp;" -New")</f>
        <v>RSD Thermal uses technology: Natural gas,Biogas Heat Pump (Adv.) -New</v>
      </c>
      <c r="M22" s="109" t="str">
        <f t="shared" si="0"/>
        <v>RSDGAS,RSDBGS,RSDH2B,RSDEFUM</v>
      </c>
      <c r="N22" s="109" t="str">
        <f t="shared" si="1"/>
        <v>R-THL</v>
      </c>
      <c r="O22" s="119">
        <f>SUMIFS('Key Inputs_New Techs'!$F$9:$F$125,'Key Inputs_New Techs'!$B$9:$B$125,'RSD_New Techs'!$K22)</f>
        <v>2030</v>
      </c>
      <c r="P22" s="114">
        <f t="shared" si="2"/>
        <v>31.536000000000001</v>
      </c>
      <c r="Q22" s="119">
        <f>SUMIFS('Key Inputs_New Techs'!$G$9:$G$125,'Key Inputs_New Techs'!$B$9:$B$125,'RSD_New Techs'!$K22)</f>
        <v>15</v>
      </c>
      <c r="R22" s="109"/>
      <c r="S22" s="109"/>
      <c r="T22" s="109"/>
      <c r="U22" s="109"/>
      <c r="V22" s="109"/>
      <c r="W22" s="109"/>
      <c r="X22" s="109"/>
    </row>
    <row r="23" spans="1:24" s="113" customFormat="1" x14ac:dyDescent="0.25">
      <c r="A23" s="245" t="str">
        <f>Legend!$A$45</f>
        <v>Thermal uses</v>
      </c>
      <c r="B23" s="245" t="str">
        <f>LEFT(Legend!$C$4)&amp;"-"&amp;Legend!$B$46</f>
        <v>R-THL</v>
      </c>
      <c r="C23" s="245" t="str">
        <f>Legend!$A$66</f>
        <v>Electricity</v>
      </c>
      <c r="D23" s="245" t="str">
        <f>Legend!$B$66</f>
        <v>RSDELC</v>
      </c>
      <c r="E23" s="249" t="str">
        <f t="shared" si="4"/>
        <v>RSDELC</v>
      </c>
      <c r="F23" s="245" t="s">
        <v>243</v>
      </c>
      <c r="G23" s="250" t="s">
        <v>234</v>
      </c>
      <c r="H23" s="254" t="str">
        <f>Legend!$A$58</f>
        <v>Heat pump (Ground)</v>
      </c>
      <c r="I23" s="254" t="str">
        <f>Legend!$B$58</f>
        <v>HPG</v>
      </c>
      <c r="J23" s="118"/>
      <c r="K23" s="286" t="str">
        <f t="shared" si="3"/>
        <v>R-THL-HPG_ELC01</v>
      </c>
      <c r="L23" s="286" t="str">
        <f>IF(C23="","",Legend!$C$4&amp;" "&amp;$A23&amp;" technology: "&amp;$C23&amp;" "&amp;F23&amp;" -New")</f>
        <v>RSD Thermal uses technology: Electricity Ground Heat Pump (Ord.) -New</v>
      </c>
      <c r="M23" s="109" t="str">
        <f t="shared" si="0"/>
        <v>RSDELC</v>
      </c>
      <c r="N23" s="109" t="str">
        <f t="shared" si="1"/>
        <v>R-THL</v>
      </c>
      <c r="O23" s="119">
        <f>SUMIFS('Key Inputs_New Techs'!$F$9:$F$125,'Key Inputs_New Techs'!$B$9:$B$125,'RSD_New Techs'!$K23)</f>
        <v>2020</v>
      </c>
      <c r="P23" s="114">
        <f t="shared" si="2"/>
        <v>31.536000000000001</v>
      </c>
      <c r="Q23" s="119">
        <f>SUMIFS('Key Inputs_New Techs'!$G$9:$G$125,'Key Inputs_New Techs'!$B$9:$B$125,'RSD_New Techs'!$K23)</f>
        <v>15</v>
      </c>
      <c r="R23" s="109"/>
      <c r="S23" s="109"/>
      <c r="T23" s="109"/>
      <c r="U23" s="109"/>
      <c r="V23" s="109"/>
      <c r="W23" s="109"/>
      <c r="X23" s="109"/>
    </row>
    <row r="24" spans="1:24" s="113" customFormat="1" x14ac:dyDescent="0.25">
      <c r="A24" s="245" t="str">
        <f>Legend!$A$45</f>
        <v>Thermal uses</v>
      </c>
      <c r="B24" s="245" t="str">
        <f>LEFT(Legend!$C$4)&amp;"-"&amp;Legend!$B$46</f>
        <v>R-THL</v>
      </c>
      <c r="C24" s="245" t="str">
        <f>Legend!$A$66</f>
        <v>Electricity</v>
      </c>
      <c r="D24" s="245" t="str">
        <f>Legend!$B$66</f>
        <v>RSDELC</v>
      </c>
      <c r="E24" s="249" t="str">
        <f t="shared" si="4"/>
        <v>RSDELC</v>
      </c>
      <c r="F24" s="245" t="s">
        <v>244</v>
      </c>
      <c r="G24" s="250" t="s">
        <v>236</v>
      </c>
      <c r="H24" s="254" t="str">
        <f>Legend!$A$58</f>
        <v>Heat pump (Ground)</v>
      </c>
      <c r="I24" s="254" t="str">
        <f>Legend!$B$58</f>
        <v>HPG</v>
      </c>
      <c r="J24" s="118"/>
      <c r="K24" s="286" t="str">
        <f t="shared" si="3"/>
        <v>R-THL-HPG_ELC02</v>
      </c>
      <c r="L24" s="286" t="str">
        <f>IF(C24="","",Legend!$C$4&amp;" "&amp;$A24&amp;" technology: "&amp;$C24&amp;" "&amp;F24&amp;" -New")</f>
        <v>RSD Thermal uses technology: Electricity Ground Heat Pump (Imp.) -New</v>
      </c>
      <c r="M24" s="109" t="str">
        <f t="shared" si="0"/>
        <v>RSDELC</v>
      </c>
      <c r="N24" s="109" t="str">
        <f t="shared" si="1"/>
        <v>R-THL</v>
      </c>
      <c r="O24" s="119">
        <f>SUMIFS('Key Inputs_New Techs'!$F$9:$F$125,'Key Inputs_New Techs'!$B$9:$B$125,'RSD_New Techs'!$K24)</f>
        <v>2025</v>
      </c>
      <c r="P24" s="114">
        <f t="shared" si="2"/>
        <v>31.536000000000001</v>
      </c>
      <c r="Q24" s="119">
        <f>SUMIFS('Key Inputs_New Techs'!$G$9:$G$125,'Key Inputs_New Techs'!$B$9:$B$125,'RSD_New Techs'!$K24)</f>
        <v>15</v>
      </c>
      <c r="R24" s="109"/>
      <c r="S24" s="109"/>
      <c r="T24" s="109"/>
      <c r="U24" s="109"/>
      <c r="V24" s="109"/>
      <c r="W24" s="109"/>
      <c r="X24" s="109"/>
    </row>
    <row r="25" spans="1:24" s="113" customFormat="1" x14ac:dyDescent="0.25">
      <c r="A25" s="245" t="str">
        <f>Legend!$A$45</f>
        <v>Thermal uses</v>
      </c>
      <c r="B25" s="245" t="str">
        <f>LEFT(Legend!$C$4)&amp;"-"&amp;Legend!$B$46</f>
        <v>R-THL</v>
      </c>
      <c r="C25" s="245" t="str">
        <f>Legend!$A$66</f>
        <v>Electricity</v>
      </c>
      <c r="D25" s="245" t="str">
        <f>Legend!$B$66</f>
        <v>RSDELC</v>
      </c>
      <c r="E25" s="249" t="str">
        <f t="shared" si="4"/>
        <v>RSDELC</v>
      </c>
      <c r="F25" s="245" t="s">
        <v>245</v>
      </c>
      <c r="G25" s="250" t="s">
        <v>246</v>
      </c>
      <c r="H25" s="254" t="str">
        <f>Legend!$A$58</f>
        <v>Heat pump (Ground)</v>
      </c>
      <c r="I25" s="254" t="str">
        <f>Legend!$B$58</f>
        <v>HPG</v>
      </c>
      <c r="J25" s="118"/>
      <c r="K25" s="286" t="str">
        <f t="shared" si="3"/>
        <v>R-THL-HPG_ELC03</v>
      </c>
      <c r="L25" s="286" t="str">
        <f>IF(C25="","",Legend!$C$4&amp;" "&amp;$A25&amp;" technology: "&amp;$C25&amp;" "&amp;F25&amp;" -New")</f>
        <v>RSD Thermal uses technology: Electricity Ground Heat Pump (Adv.) -New</v>
      </c>
      <c r="M25" s="109" t="str">
        <f t="shared" si="0"/>
        <v>RSDELC</v>
      </c>
      <c r="N25" s="109" t="str">
        <f t="shared" si="1"/>
        <v>R-THL</v>
      </c>
      <c r="O25" s="119">
        <f>SUMIFS('Key Inputs_New Techs'!$F$9:$F$125,'Key Inputs_New Techs'!$B$9:$B$125,'RSD_New Techs'!$K25)</f>
        <v>2025</v>
      </c>
      <c r="P25" s="114">
        <f t="shared" si="2"/>
        <v>31.536000000000001</v>
      </c>
      <c r="Q25" s="119">
        <f>SUMIFS('Key Inputs_New Techs'!$G$9:$G$125,'Key Inputs_New Techs'!$B$9:$B$125,'RSD_New Techs'!$K25)</f>
        <v>15</v>
      </c>
      <c r="R25" s="109"/>
      <c r="S25" s="109"/>
      <c r="T25" s="109"/>
      <c r="U25" s="109"/>
      <c r="V25" s="109"/>
      <c r="W25" s="109"/>
      <c r="X25" s="109"/>
    </row>
    <row r="26" spans="1:24" s="113" customFormat="1" x14ac:dyDescent="0.25">
      <c r="A26" s="245" t="str">
        <f>Legend!$A$45</f>
        <v>Thermal uses</v>
      </c>
      <c r="B26" s="245" t="str">
        <f>LEFT(Legend!$C$4)&amp;"-"&amp;Legend!$B$46</f>
        <v>R-THL</v>
      </c>
      <c r="C26" s="253" t="str">
        <f>Legend!$A$73&amp;", "&amp;Legend!$A$69</f>
        <v>Oil, Liquid biofuels</v>
      </c>
      <c r="D26" s="254" t="str">
        <f>Legend!$B$73&amp;", "&amp;Legend!$B$69</f>
        <v>RSDOIL, RSDBLQ</v>
      </c>
      <c r="E26" s="249" t="str">
        <f t="shared" si="4"/>
        <v>RSDOIL</v>
      </c>
      <c r="F26" s="252" t="s">
        <v>265</v>
      </c>
      <c r="G26" s="250" t="s">
        <v>234</v>
      </c>
      <c r="H26" s="254" t="str">
        <f>Legend!$A$56</f>
        <v>Boiler</v>
      </c>
      <c r="I26" s="254" t="str">
        <f>Legend!$B$56</f>
        <v>BLR</v>
      </c>
      <c r="J26" s="118"/>
      <c r="K26" s="286" t="str">
        <f t="shared" si="3"/>
        <v>R-THL-BLR_OIL01</v>
      </c>
      <c r="L26" s="286" t="str">
        <f>IF(C26="","",Legend!$C$4&amp;" "&amp;$A26&amp;" technology: "&amp;$C26&amp;" "&amp;F26&amp;" -New")</f>
        <v>RSD Thermal uses technology: Oil, Liquid biofuels Boiler (Ord.) -New</v>
      </c>
      <c r="M26" s="109" t="str">
        <f t="shared" si="0"/>
        <v>RSDOIL, RSDBLQ</v>
      </c>
      <c r="N26" s="109" t="str">
        <f t="shared" si="1"/>
        <v>R-THL</v>
      </c>
      <c r="O26" s="119">
        <f>SUMIFS('Key Inputs_New Techs'!$F$9:$F$125,'Key Inputs_New Techs'!$B$9:$B$125,'RSD_New Techs'!$K26)</f>
        <v>2020</v>
      </c>
      <c r="P26" s="114">
        <f t="shared" si="2"/>
        <v>31.536000000000001</v>
      </c>
      <c r="Q26" s="119">
        <f>SUMIFS('Key Inputs_New Techs'!$G$9:$G$125,'Key Inputs_New Techs'!$B$9:$B$125,'RSD_New Techs'!$K26)</f>
        <v>17</v>
      </c>
      <c r="R26" s="109"/>
      <c r="S26" s="109"/>
      <c r="T26" s="109"/>
      <c r="U26" s="109"/>
      <c r="V26" s="109"/>
      <c r="W26" s="109"/>
      <c r="X26" s="109"/>
    </row>
    <row r="27" spans="1:24" s="113" customFormat="1" x14ac:dyDescent="0.25">
      <c r="A27" s="245" t="str">
        <f>Legend!$A$45</f>
        <v>Thermal uses</v>
      </c>
      <c r="B27" s="245" t="str">
        <f>LEFT(Legend!$C$4)&amp;"-"&amp;Legend!$B$46</f>
        <v>R-THL</v>
      </c>
      <c r="C27" s="253" t="str">
        <f>Legend!$A$73&amp;", "&amp;Legend!$A$69</f>
        <v>Oil, Liquid biofuels</v>
      </c>
      <c r="D27" s="254" t="str">
        <f>Legend!$B$73&amp;", "&amp;Legend!$B$69</f>
        <v>RSDOIL, RSDBLQ</v>
      </c>
      <c r="E27" s="249" t="str">
        <f t="shared" si="4"/>
        <v>RSDOIL</v>
      </c>
      <c r="F27" s="251" t="s">
        <v>274</v>
      </c>
      <c r="G27" s="250" t="s">
        <v>236</v>
      </c>
      <c r="H27" s="254" t="str">
        <f>Legend!$A$56</f>
        <v>Boiler</v>
      </c>
      <c r="I27" s="254" t="str">
        <f>Legend!$B$56</f>
        <v>BLR</v>
      </c>
      <c r="J27" s="118"/>
      <c r="K27" s="286" t="str">
        <f t="shared" si="3"/>
        <v>R-THL-BLR_OIL02</v>
      </c>
      <c r="L27" s="286" t="str">
        <f>IF(C27="","",Legend!$C$4&amp;" "&amp;$A27&amp;" technology: "&amp;$C27&amp;" "&amp;F27&amp;" -New")</f>
        <v>RSD Thermal uses technology: Oil, Liquid biofuels Boiler cond. (Ord.) -New</v>
      </c>
      <c r="M27" s="109" t="str">
        <f t="shared" si="0"/>
        <v>RSDOIL, RSDBLQ</v>
      </c>
      <c r="N27" s="109" t="str">
        <f t="shared" si="1"/>
        <v>R-THL</v>
      </c>
      <c r="O27" s="119">
        <f>SUMIFS('Key Inputs_New Techs'!$F$9:$F$125,'Key Inputs_New Techs'!$B$9:$B$125,'RSD_New Techs'!$K27)</f>
        <v>2020</v>
      </c>
      <c r="P27" s="114">
        <f t="shared" si="2"/>
        <v>31.536000000000001</v>
      </c>
      <c r="Q27" s="119">
        <f>SUMIFS('Key Inputs_New Techs'!$G$9:$G$125,'Key Inputs_New Techs'!$B$9:$B$125,'RSD_New Techs'!$K27)</f>
        <v>17</v>
      </c>
      <c r="R27" s="109"/>
      <c r="S27" s="109"/>
      <c r="T27" s="109"/>
      <c r="U27" s="109"/>
      <c r="V27" s="109"/>
      <c r="W27" s="109"/>
      <c r="X27" s="109"/>
    </row>
    <row r="28" spans="1:24" s="113" customFormat="1" x14ac:dyDescent="0.25">
      <c r="A28" s="245" t="str">
        <f>Legend!$A$45</f>
        <v>Thermal uses</v>
      </c>
      <c r="B28" s="245" t="str">
        <f>LEFT(Legend!$C$4)&amp;"-"&amp;Legend!$B$46</f>
        <v>R-THL</v>
      </c>
      <c r="C28" s="253" t="str">
        <f>Legend!$A$73&amp;", "&amp;Legend!$A$69</f>
        <v>Oil, Liquid biofuels</v>
      </c>
      <c r="D28" s="254" t="str">
        <f>Legend!$B$73&amp;", "&amp;Legend!$B$69</f>
        <v>RSDOIL, RSDBLQ</v>
      </c>
      <c r="E28" s="249" t="str">
        <f t="shared" ref="E28:E29" si="6">LEFT(D28,6)</f>
        <v>RSDOIL</v>
      </c>
      <c r="F28" s="251" t="s">
        <v>273</v>
      </c>
      <c r="G28" s="250" t="s">
        <v>246</v>
      </c>
      <c r="H28" s="254" t="str">
        <f>Legend!$A$56</f>
        <v>Boiler</v>
      </c>
      <c r="I28" s="254" t="str">
        <f>Legend!$B$56</f>
        <v>BLR</v>
      </c>
      <c r="J28" s="118"/>
      <c r="K28" s="286" t="str">
        <f t="shared" si="3"/>
        <v>R-THL-BLR_OIL03</v>
      </c>
      <c r="L28" s="286" t="str">
        <f>IF(C28="","",Legend!$C$4&amp;" "&amp;$A28&amp;" technology: "&amp;$C28&amp;" "&amp;F28&amp;" -New")</f>
        <v>RSD Thermal uses technology: Oil, Liquid biofuels Boiler cond. (Imp.) -New</v>
      </c>
      <c r="M28" s="109" t="str">
        <f t="shared" si="0"/>
        <v>RSDOIL, RSDBLQ</v>
      </c>
      <c r="N28" s="109" t="str">
        <f t="shared" si="1"/>
        <v>R-THL</v>
      </c>
      <c r="O28" s="119">
        <f>SUMIFS('Key Inputs_New Techs'!$F$9:$F$125,'Key Inputs_New Techs'!$B$9:$B$125,'RSD_New Techs'!$K28)</f>
        <v>2025</v>
      </c>
      <c r="P28" s="114">
        <f t="shared" si="2"/>
        <v>31.536000000000001</v>
      </c>
      <c r="Q28" s="119">
        <f>SUMIFS('Key Inputs_New Techs'!$G$9:$G$125,'Key Inputs_New Techs'!$B$9:$B$125,'RSD_New Techs'!$K28)</f>
        <v>17</v>
      </c>
      <c r="R28" s="109"/>
      <c r="S28" s="109"/>
      <c r="T28" s="109"/>
      <c r="U28" s="109"/>
      <c r="V28" s="109"/>
      <c r="W28" s="109"/>
      <c r="X28" s="109"/>
    </row>
    <row r="29" spans="1:24" s="113" customFormat="1" x14ac:dyDescent="0.25">
      <c r="A29" s="245" t="str">
        <f>Legend!$A$45</f>
        <v>Thermal uses</v>
      </c>
      <c r="B29" s="245" t="str">
        <f>LEFT(Legend!$C$4)&amp;"-"&amp;Legend!$B$46</f>
        <v>R-THL</v>
      </c>
      <c r="C29" s="254" t="str">
        <f>Legend!A$70</f>
        <v>LPG</v>
      </c>
      <c r="D29" s="254" t="str">
        <f>Legend!B$70</f>
        <v>RSDLPG</v>
      </c>
      <c r="E29" s="249" t="str">
        <f t="shared" si="6"/>
        <v>RSDLPG</v>
      </c>
      <c r="F29" s="251" t="s">
        <v>273</v>
      </c>
      <c r="G29" s="513" t="s">
        <v>234</v>
      </c>
      <c r="H29" s="254" t="str">
        <f>Legend!$A$56</f>
        <v>Boiler</v>
      </c>
      <c r="I29" s="254" t="str">
        <f>Legend!$B$56</f>
        <v>BLR</v>
      </c>
      <c r="J29" s="118"/>
      <c r="K29" s="286" t="str">
        <f t="shared" ref="K29" si="7">IF(C29="","",$B29&amp;"-"&amp;I29&amp;"_"&amp;RIGHT(E29,3)&amp;G29)</f>
        <v>R-THL-BLR_LPG01</v>
      </c>
      <c r="L29" s="286" t="str">
        <f>IF(C29="","",Legend!$C$4&amp;" "&amp;$A29&amp;" technology: "&amp;$C29&amp;" "&amp;F29&amp;" -New")</f>
        <v>RSD Thermal uses technology: LPG Boiler cond. (Imp.) -New</v>
      </c>
      <c r="M29" s="109" t="str">
        <f t="shared" ref="M29" si="8">IF(D29="","",D29)</f>
        <v>RSDLPG</v>
      </c>
      <c r="N29" s="109" t="str">
        <f t="shared" si="1"/>
        <v>R-THL</v>
      </c>
      <c r="O29" s="119">
        <f>SUMIFS('Key Inputs_New Techs'!$F$9:$F$125,'Key Inputs_New Techs'!$B$9:$B$125,'RSD_New Techs'!$K29)</f>
        <v>2020</v>
      </c>
      <c r="P29" s="114">
        <f t="shared" ref="P29" si="9">IF(A29="","",31.536)</f>
        <v>31.536000000000001</v>
      </c>
      <c r="Q29" s="119">
        <f>SUMIFS('Key Inputs_New Techs'!$G$9:$G$125,'Key Inputs_New Techs'!$B$9:$B$125,'RSD_New Techs'!$K29)</f>
        <v>17</v>
      </c>
      <c r="R29" s="109"/>
      <c r="S29" s="109"/>
      <c r="T29" s="109"/>
      <c r="U29" s="109"/>
      <c r="V29" s="109"/>
      <c r="W29" s="109"/>
      <c r="X29" s="109"/>
    </row>
    <row r="30" spans="1:24" s="113" customFormat="1" x14ac:dyDescent="0.25">
      <c r="A30" s="255" t="str">
        <f>Legend!$A$45</f>
        <v>Thermal uses</v>
      </c>
      <c r="B30" s="255" t="str">
        <f>LEFT(Legend!$C$4)&amp;"-"&amp;Legend!$B$46</f>
        <v>R-THL</v>
      </c>
      <c r="C30" s="255" t="str">
        <f>Legend!A$74</f>
        <v>Solar</v>
      </c>
      <c r="D30" s="255" t="str">
        <f>Legend!B$74</f>
        <v>RSDSOL</v>
      </c>
      <c r="E30" s="256" t="str">
        <f t="shared" ref="E30:E60" si="10">LEFT(D30,6)</f>
        <v>RSDSOL</v>
      </c>
      <c r="F30" s="269" t="s">
        <v>270</v>
      </c>
      <c r="G30" s="257" t="s">
        <v>234</v>
      </c>
      <c r="H30" s="281" t="str">
        <f>Legend!$A$61</f>
        <v>Heat exchanger</v>
      </c>
      <c r="I30" s="281" t="str">
        <f>Legend!$B$61</f>
        <v>HEX</v>
      </c>
      <c r="J30" s="118"/>
      <c r="K30" s="287" t="str">
        <f t="shared" si="3"/>
        <v>R-THL-HEX_SOL01</v>
      </c>
      <c r="L30" s="287" t="str">
        <f>IF(C30="","",Legend!$C$4&amp;" "&amp;$A30&amp;" technology: "&amp;$C30&amp;" "&amp;F30&amp;" -New")</f>
        <v>RSD Thermal uses technology: Solar Thermal (Ord.) -New</v>
      </c>
      <c r="M30" s="128" t="str">
        <f t="shared" si="0"/>
        <v>RSDSOL</v>
      </c>
      <c r="N30" s="128" t="str">
        <f t="shared" si="1"/>
        <v>R-THL</v>
      </c>
      <c r="O30" s="197">
        <f>SUMIFS('Key Inputs_New Techs'!$F$9:$F$125,'Key Inputs_New Techs'!$B$9:$B$125,'RSD_New Techs'!$K30)</f>
        <v>2020</v>
      </c>
      <c r="P30" s="185">
        <f t="shared" si="2"/>
        <v>31.536000000000001</v>
      </c>
      <c r="Q30" s="197">
        <f>SUMIFS('Key Inputs_New Techs'!$G$9:$G$125,'Key Inputs_New Techs'!$B$9:$B$125,'RSD_New Techs'!$K30)</f>
        <v>15</v>
      </c>
      <c r="R30" s="109"/>
      <c r="S30" s="109"/>
      <c r="T30" s="109"/>
      <c r="U30" s="109"/>
      <c r="V30" s="109"/>
      <c r="W30" s="109"/>
      <c r="X30" s="109"/>
    </row>
    <row r="31" spans="1:24" s="113" customFormat="1" x14ac:dyDescent="0.25">
      <c r="A31" s="245" t="str">
        <f>Legend!$A$45</f>
        <v>Thermal uses</v>
      </c>
      <c r="B31" s="258" t="str">
        <f>LEFT(Legend!$C$4)&amp;"-"&amp;Legend!$B$47</f>
        <v>R-THH</v>
      </c>
      <c r="C31" s="245" t="str">
        <f>Legend!$A$64</f>
        <v>Biomass</v>
      </c>
      <c r="D31" s="245" t="str">
        <f>Legend!$B$64</f>
        <v>RSDBIO</v>
      </c>
      <c r="E31" s="249" t="str">
        <f>LEFT(D31,6)</f>
        <v>RSDBIO</v>
      </c>
      <c r="F31" s="245" t="s">
        <v>233</v>
      </c>
      <c r="G31" s="250" t="s">
        <v>234</v>
      </c>
      <c r="H31" s="254" t="str">
        <f>Legend!$A$60</f>
        <v>Stove</v>
      </c>
      <c r="I31" s="254" t="str">
        <f>Legend!$B$60</f>
        <v>STV</v>
      </c>
      <c r="J31" s="118"/>
      <c r="K31" s="286" t="str">
        <f>IF(C31="","",$B31&amp;"-"&amp;I31&amp;"_"&amp;RIGHT(E31,3)&amp;G31)</f>
        <v>R-THH-STV_BIO01</v>
      </c>
      <c r="L31" s="286" t="str">
        <f>IF(C31="","",Legend!$C$4&amp;" "&amp;$A31&amp;" technology: "&amp;$C31&amp;" "&amp;F31&amp;" -New")</f>
        <v>RSD Thermal uses technology: Biomass Wood Stove (Ord.) -New</v>
      </c>
      <c r="M31" s="109" t="str">
        <f t="shared" ref="M31:M57" si="11">IF(D31="","",D31)</f>
        <v>RSDBIO</v>
      </c>
      <c r="N31" s="109" t="str">
        <f t="shared" si="1"/>
        <v>R-THH</v>
      </c>
      <c r="O31" s="119">
        <f>SUMIFS('Key Inputs_New Techs'!$F$9:$F$125,'Key Inputs_New Techs'!$B$9:$B$125,'RSD_New Techs'!$K31)</f>
        <v>2020</v>
      </c>
      <c r="P31" s="114">
        <f t="shared" ref="P31:P57" si="12">IF(A31="","",31.536)</f>
        <v>31.536000000000001</v>
      </c>
      <c r="Q31" s="130">
        <f>SUMIFS('Key Inputs_New Techs'!$G$9:$G$125,'Key Inputs_New Techs'!$B$9:$B$125,'RSD_New Techs'!$K31)</f>
        <v>15</v>
      </c>
      <c r="R31" s="109"/>
      <c r="S31" s="109"/>
      <c r="T31" s="109"/>
      <c r="U31" s="109"/>
      <c r="V31" s="109"/>
      <c r="W31" s="109"/>
      <c r="X31" s="109"/>
    </row>
    <row r="32" spans="1:24" s="113" customFormat="1" x14ac:dyDescent="0.25">
      <c r="A32" s="245" t="str">
        <f>Legend!$A$45</f>
        <v>Thermal uses</v>
      </c>
      <c r="B32" s="245" t="str">
        <f>LEFT(Legend!$C$4)&amp;"-"&amp;Legend!$B$47</f>
        <v>R-THH</v>
      </c>
      <c r="C32" s="245" t="str">
        <f>Legend!$A$64</f>
        <v>Biomass</v>
      </c>
      <c r="D32" s="245" t="str">
        <f>Legend!$B$64</f>
        <v>RSDBIO</v>
      </c>
      <c r="E32" s="249" t="str">
        <f>LEFT(D32,6)</f>
        <v>RSDBIO</v>
      </c>
      <c r="F32" s="245" t="s">
        <v>235</v>
      </c>
      <c r="G32" s="250" t="s">
        <v>236</v>
      </c>
      <c r="H32" s="254" t="str">
        <f>Legend!$A$60</f>
        <v>Stove</v>
      </c>
      <c r="I32" s="254" t="str">
        <f>Legend!$B$60</f>
        <v>STV</v>
      </c>
      <c r="J32" s="118"/>
      <c r="K32" s="286" t="str">
        <f t="shared" ref="K32:K57" si="13">IF(C32="","",$B32&amp;"-"&amp;I32&amp;"_"&amp;RIGHT(E32,3)&amp;G32)</f>
        <v>R-THH-STV_BIO02</v>
      </c>
      <c r="L32" s="286" t="str">
        <f>IF(C32="","",Legend!$C$4&amp;" "&amp;$A32&amp;" technology: "&amp;$C32&amp;" "&amp;F32&amp;" -New")</f>
        <v>RSD Thermal uses technology: Biomass Wood Stove (Imp.) -New</v>
      </c>
      <c r="M32" s="109" t="str">
        <f t="shared" si="11"/>
        <v>RSDBIO</v>
      </c>
      <c r="N32" s="109" t="str">
        <f t="shared" si="1"/>
        <v>R-THH</v>
      </c>
      <c r="O32" s="119">
        <f>SUMIFS('Key Inputs_New Techs'!$F$9:$F$125,'Key Inputs_New Techs'!$B$9:$B$125,'RSD_New Techs'!$K32)</f>
        <v>2025</v>
      </c>
      <c r="P32" s="114">
        <f t="shared" si="12"/>
        <v>31.536000000000001</v>
      </c>
      <c r="Q32" s="119">
        <f>SUMIFS('Key Inputs_New Techs'!$G$9:$G$125,'Key Inputs_New Techs'!$B$9:$B$125,'RSD_New Techs'!$K32)</f>
        <v>15</v>
      </c>
      <c r="R32" s="109"/>
      <c r="S32" s="109"/>
      <c r="T32" s="109"/>
      <c r="U32" s="109"/>
      <c r="V32" s="109"/>
      <c r="W32" s="109"/>
      <c r="X32" s="109"/>
    </row>
    <row r="33" spans="1:24" s="113" customFormat="1" x14ac:dyDescent="0.25">
      <c r="A33" s="245" t="str">
        <f>Legend!$A$45</f>
        <v>Thermal uses</v>
      </c>
      <c r="B33" s="245" t="str">
        <f>LEFT(Legend!$C$4)&amp;"-"&amp;Legend!$B$47</f>
        <v>R-THH</v>
      </c>
      <c r="C33" s="245" t="str">
        <f>Legend!$A$64</f>
        <v>Biomass</v>
      </c>
      <c r="D33" s="245" t="str">
        <f>Legend!$B$64</f>
        <v>RSDBIO</v>
      </c>
      <c r="E33" s="249" t="str">
        <f>LEFT(D33,6)</f>
        <v>RSDBIO</v>
      </c>
      <c r="F33" s="251" t="s">
        <v>272</v>
      </c>
      <c r="G33" s="250" t="s">
        <v>246</v>
      </c>
      <c r="H33" s="254" t="str">
        <f>Legend!$A$60</f>
        <v>Stove</v>
      </c>
      <c r="I33" s="254" t="str">
        <f>Legend!$B$60</f>
        <v>STV</v>
      </c>
      <c r="J33" s="118"/>
      <c r="K33" s="286" t="str">
        <f t="shared" si="13"/>
        <v>R-THH-STV_BIO03</v>
      </c>
      <c r="L33" s="286" t="str">
        <f>IF(C33="","",Legend!$C$4&amp;" "&amp;$A33&amp;" technology: "&amp;$C33&amp;" "&amp;F33&amp;" -New")</f>
        <v>RSD Thermal uses technology: Biomass Wood Stove (Adv.)) -New</v>
      </c>
      <c r="M33" s="109" t="str">
        <f t="shared" si="11"/>
        <v>RSDBIO</v>
      </c>
      <c r="N33" s="109" t="str">
        <f t="shared" si="1"/>
        <v>R-THH</v>
      </c>
      <c r="O33" s="119">
        <f>SUMIFS('Key Inputs_New Techs'!$F$9:$F$125,'Key Inputs_New Techs'!$B$9:$B$125,'RSD_New Techs'!$K33)</f>
        <v>2030</v>
      </c>
      <c r="P33" s="114">
        <f t="shared" si="12"/>
        <v>31.536000000000001</v>
      </c>
      <c r="Q33" s="119">
        <f>SUMIFS('Key Inputs_New Techs'!$G$9:$G$125,'Key Inputs_New Techs'!$B$9:$B$125,'RSD_New Techs'!$K33)</f>
        <v>15</v>
      </c>
      <c r="R33" s="109"/>
      <c r="S33" s="109"/>
      <c r="T33" s="109"/>
      <c r="U33" s="109"/>
      <c r="V33" s="109"/>
      <c r="W33" s="109"/>
      <c r="X33" s="109"/>
    </row>
    <row r="34" spans="1:24" s="113" customFormat="1" x14ac:dyDescent="0.25">
      <c r="A34" s="245" t="str">
        <f>Legend!$A$45</f>
        <v>Thermal uses</v>
      </c>
      <c r="B34" s="245" t="str">
        <f>LEFT(Legend!$C$4)&amp;"-"&amp;Legend!$B$47</f>
        <v>R-THH</v>
      </c>
      <c r="C34" s="245" t="str">
        <f>Legend!$A$66</f>
        <v>Electricity</v>
      </c>
      <c r="D34" s="245" t="str">
        <f>Legend!$B$66</f>
        <v>RSDELC</v>
      </c>
      <c r="E34" s="249" t="str">
        <f>LEFT(D34,6)</f>
        <v>RSDELC</v>
      </c>
      <c r="F34" s="245" t="s">
        <v>237</v>
      </c>
      <c r="G34" s="250" t="s">
        <v>234</v>
      </c>
      <c r="H34" s="254" t="str">
        <f>Legend!$A$57</f>
        <v>Heat pump (Air)</v>
      </c>
      <c r="I34" s="254" t="str">
        <f>Legend!$B$57</f>
        <v>HPA</v>
      </c>
      <c r="J34" s="118"/>
      <c r="K34" s="286" t="str">
        <f t="shared" si="13"/>
        <v>R-THH-HPA_ELC01</v>
      </c>
      <c r="L34" s="286" t="str">
        <f>IF(C34="","",Legend!$C$4&amp;" "&amp;$A34&amp;" technology: "&amp;$C34&amp;" "&amp;F34&amp;" -New")</f>
        <v>RSD Thermal uses technology: Electricity Heat Pump Air (Ord.) -New</v>
      </c>
      <c r="M34" s="109" t="str">
        <f t="shared" si="11"/>
        <v>RSDELC</v>
      </c>
      <c r="N34" s="109" t="str">
        <f t="shared" si="1"/>
        <v>R-THH</v>
      </c>
      <c r="O34" s="119">
        <f>SUMIFS('Key Inputs_New Techs'!$F$9:$F$125,'Key Inputs_New Techs'!$B$9:$B$125,'RSD_New Techs'!$K34)</f>
        <v>2020</v>
      </c>
      <c r="P34" s="114">
        <f t="shared" si="12"/>
        <v>31.536000000000001</v>
      </c>
      <c r="Q34" s="119">
        <f>SUMIFS('Key Inputs_New Techs'!$G$9:$G$125,'Key Inputs_New Techs'!$B$9:$B$125,'RSD_New Techs'!$K34)</f>
        <v>15</v>
      </c>
      <c r="R34" s="109"/>
      <c r="S34" s="109"/>
      <c r="T34" s="109"/>
      <c r="U34" s="109"/>
      <c r="V34" s="109"/>
      <c r="W34" s="109"/>
      <c r="X34" s="109"/>
    </row>
    <row r="35" spans="1:24" s="113" customFormat="1" x14ac:dyDescent="0.25">
      <c r="A35" s="245" t="str">
        <f>Legend!$A$45</f>
        <v>Thermal uses</v>
      </c>
      <c r="B35" s="245" t="str">
        <f>LEFT(Legend!$C$4)&amp;"-"&amp;Legend!$B$47</f>
        <v>R-THH</v>
      </c>
      <c r="C35" s="245" t="str">
        <f>Legend!$A$66</f>
        <v>Electricity</v>
      </c>
      <c r="D35" s="245" t="str">
        <f>Legend!$B$66</f>
        <v>RSDELC</v>
      </c>
      <c r="E35" s="249" t="str">
        <f t="shared" ref="E35:E57" si="14">LEFT(D35,6)</f>
        <v>RSDELC</v>
      </c>
      <c r="F35" s="245" t="s">
        <v>238</v>
      </c>
      <c r="G35" s="250" t="s">
        <v>236</v>
      </c>
      <c r="H35" s="254" t="str">
        <f>Legend!$A$57</f>
        <v>Heat pump (Air)</v>
      </c>
      <c r="I35" s="254" t="str">
        <f>Legend!$B$57</f>
        <v>HPA</v>
      </c>
      <c r="J35" s="118"/>
      <c r="K35" s="286" t="str">
        <f t="shared" si="13"/>
        <v>R-THH-HPA_ELC02</v>
      </c>
      <c r="L35" s="286" t="str">
        <f>IF(C35="","",Legend!$C$4&amp;" "&amp;$A35&amp;" technology: "&amp;$C35&amp;" "&amp;F35&amp;" -New")</f>
        <v>RSD Thermal uses technology: Electricity Heat Pump Air (Imp.) -New</v>
      </c>
      <c r="M35" s="109" t="str">
        <f t="shared" si="11"/>
        <v>RSDELC</v>
      </c>
      <c r="N35" s="109" t="str">
        <f t="shared" si="1"/>
        <v>R-THH</v>
      </c>
      <c r="O35" s="119">
        <f>SUMIFS('Key Inputs_New Techs'!$F$9:$F$125,'Key Inputs_New Techs'!$B$9:$B$125,'RSD_New Techs'!$K35)</f>
        <v>2025</v>
      </c>
      <c r="P35" s="114">
        <f t="shared" si="12"/>
        <v>31.536000000000001</v>
      </c>
      <c r="Q35" s="119">
        <f>SUMIFS('Key Inputs_New Techs'!$G$9:$G$125,'Key Inputs_New Techs'!$B$9:$B$125,'RSD_New Techs'!$K35)</f>
        <v>15</v>
      </c>
      <c r="R35" s="109"/>
      <c r="S35" s="109"/>
      <c r="T35" s="109"/>
      <c r="U35" s="109"/>
      <c r="V35" s="109"/>
      <c r="W35" s="109"/>
      <c r="X35" s="109"/>
    </row>
    <row r="36" spans="1:24" s="113" customFormat="1" x14ac:dyDescent="0.25">
      <c r="A36" s="245" t="str">
        <f>Legend!$A$45</f>
        <v>Thermal uses</v>
      </c>
      <c r="B36" s="245" t="str">
        <f>LEFT(Legend!$C$4)&amp;"-"&amp;Legend!$B$47</f>
        <v>R-THH</v>
      </c>
      <c r="C36" s="245" t="str">
        <f>Legend!$A$66</f>
        <v>Electricity</v>
      </c>
      <c r="D36" s="245" t="str">
        <f>Legend!$B$66</f>
        <v>RSDELC</v>
      </c>
      <c r="E36" s="249" t="str">
        <f t="shared" si="14"/>
        <v>RSDELC</v>
      </c>
      <c r="F36" s="245" t="s">
        <v>239</v>
      </c>
      <c r="G36" s="250" t="s">
        <v>246</v>
      </c>
      <c r="H36" s="254" t="str">
        <f>Legend!$A$57</f>
        <v>Heat pump (Air)</v>
      </c>
      <c r="I36" s="254" t="str">
        <f>Legend!$B$57</f>
        <v>HPA</v>
      </c>
      <c r="J36" s="118"/>
      <c r="K36" s="286" t="str">
        <f t="shared" si="13"/>
        <v>R-THH-HPA_ELC03</v>
      </c>
      <c r="L36" s="286" t="str">
        <f>IF(C36="","",Legend!$C$4&amp;" "&amp;$A36&amp;" technology: "&amp;$C36&amp;" "&amp;F36&amp;" -New")</f>
        <v>RSD Thermal uses technology: Electricity Heat Pump Air (Adv.) -New</v>
      </c>
      <c r="M36" s="109" t="str">
        <f t="shared" si="11"/>
        <v>RSDELC</v>
      </c>
      <c r="N36" s="109" t="str">
        <f t="shared" si="1"/>
        <v>R-THH</v>
      </c>
      <c r="O36" s="119">
        <f>SUMIFS('Key Inputs_New Techs'!$F$9:$F$125,'Key Inputs_New Techs'!$B$9:$B$125,'RSD_New Techs'!$K36)</f>
        <v>2030</v>
      </c>
      <c r="P36" s="114">
        <f t="shared" si="12"/>
        <v>31.536000000000001</v>
      </c>
      <c r="Q36" s="119">
        <f>SUMIFS('Key Inputs_New Techs'!$G$9:$G$125,'Key Inputs_New Techs'!$B$9:$B$125,'RSD_New Techs'!$K36)</f>
        <v>15</v>
      </c>
      <c r="R36" s="109"/>
      <c r="S36" s="109"/>
      <c r="T36" s="109"/>
      <c r="U36" s="109"/>
      <c r="V36" s="109"/>
      <c r="W36" s="109"/>
      <c r="X36" s="109"/>
    </row>
    <row r="37" spans="1:24" s="113" customFormat="1" x14ac:dyDescent="0.25">
      <c r="A37" s="245" t="str">
        <f>Legend!$A$45</f>
        <v>Thermal uses</v>
      </c>
      <c r="B37" s="245" t="str">
        <f>LEFT(Legend!$C$4)&amp;"-"&amp;Legend!$B$47</f>
        <v>R-THH</v>
      </c>
      <c r="C37" s="245" t="str">
        <f>Legend!$A$66</f>
        <v>Electricity</v>
      </c>
      <c r="D37" s="245" t="str">
        <f>Legend!$B$66</f>
        <v>RSDELC</v>
      </c>
      <c r="E37" s="249" t="str">
        <f t="shared" si="14"/>
        <v>RSDELC</v>
      </c>
      <c r="F37" s="245" t="s">
        <v>240</v>
      </c>
      <c r="G37" s="250" t="s">
        <v>378</v>
      </c>
      <c r="H37" s="254" t="str">
        <f>Legend!$A$57</f>
        <v>Heat pump (Air)</v>
      </c>
      <c r="I37" s="254" t="str">
        <f>Legend!$B$57</f>
        <v>HPA</v>
      </c>
      <c r="J37" s="118"/>
      <c r="K37" s="286" t="str">
        <f t="shared" si="13"/>
        <v>R-THH-HPA_ELC04</v>
      </c>
      <c r="L37" s="286" t="str">
        <f>IF(C37="","",Legend!$C$4&amp;" "&amp;$A37&amp;" technology: "&amp;$C37&amp;" "&amp;F37&amp;" -New")</f>
        <v>RSD Thermal uses technology: Electricity Heat Pump Wat. (Ord.) -New</v>
      </c>
      <c r="M37" s="109" t="str">
        <f t="shared" si="11"/>
        <v>RSDELC</v>
      </c>
      <c r="N37" s="109" t="str">
        <f t="shared" si="1"/>
        <v>R-THH</v>
      </c>
      <c r="O37" s="119">
        <f>SUMIFS('Key Inputs_New Techs'!$F$9:$F$125,'Key Inputs_New Techs'!$B$9:$B$125,'RSD_New Techs'!$K37)</f>
        <v>2020</v>
      </c>
      <c r="P37" s="114">
        <f t="shared" si="12"/>
        <v>31.536000000000001</v>
      </c>
      <c r="Q37" s="119">
        <f>SUMIFS('Key Inputs_New Techs'!$G$9:$G$125,'Key Inputs_New Techs'!$B$9:$B$125,'RSD_New Techs'!$K37)</f>
        <v>15</v>
      </c>
      <c r="R37" s="109"/>
      <c r="S37" s="109"/>
      <c r="T37" s="109"/>
      <c r="U37" s="109"/>
      <c r="V37" s="109"/>
      <c r="W37" s="109"/>
      <c r="X37" s="109"/>
    </row>
    <row r="38" spans="1:24" s="113" customFormat="1" x14ac:dyDescent="0.25">
      <c r="A38" s="245" t="str">
        <f>Legend!$A$45</f>
        <v>Thermal uses</v>
      </c>
      <c r="B38" s="245" t="str">
        <f>LEFT(Legend!$C$4)&amp;"-"&amp;Legend!$B$47</f>
        <v>R-THH</v>
      </c>
      <c r="C38" s="245" t="str">
        <f>Legend!$A$66</f>
        <v>Electricity</v>
      </c>
      <c r="D38" s="245" t="str">
        <f>Legend!$B$66</f>
        <v>RSDELC</v>
      </c>
      <c r="E38" s="249" t="str">
        <f t="shared" si="14"/>
        <v>RSDELC</v>
      </c>
      <c r="F38" s="245" t="s">
        <v>241</v>
      </c>
      <c r="G38" s="250" t="s">
        <v>379</v>
      </c>
      <c r="H38" s="254" t="str">
        <f>Legend!$A$57</f>
        <v>Heat pump (Air)</v>
      </c>
      <c r="I38" s="254" t="str">
        <f>Legend!$B$57</f>
        <v>HPA</v>
      </c>
      <c r="J38" s="118"/>
      <c r="K38" s="286" t="str">
        <f t="shared" si="13"/>
        <v>R-THH-HPA_ELC05</v>
      </c>
      <c r="L38" s="286" t="str">
        <f>IF(C38="","",Legend!$C$4&amp;" "&amp;$A38&amp;" technology: "&amp;$C38&amp;" "&amp;F38&amp;" -New")</f>
        <v>RSD Thermal uses technology: Electricity Heat Pump Wat. (Imp.) -New</v>
      </c>
      <c r="M38" s="109" t="str">
        <f t="shared" si="11"/>
        <v>RSDELC</v>
      </c>
      <c r="N38" s="109" t="str">
        <f t="shared" si="1"/>
        <v>R-THH</v>
      </c>
      <c r="O38" s="119">
        <f>SUMIFS('Key Inputs_New Techs'!$F$9:$F$125,'Key Inputs_New Techs'!$B$9:$B$125,'RSD_New Techs'!$K38)</f>
        <v>2025</v>
      </c>
      <c r="P38" s="114">
        <f t="shared" si="12"/>
        <v>31.536000000000001</v>
      </c>
      <c r="Q38" s="119">
        <f>SUMIFS('Key Inputs_New Techs'!$G$9:$G$125,'Key Inputs_New Techs'!$B$9:$B$125,'RSD_New Techs'!$K38)</f>
        <v>15</v>
      </c>
      <c r="R38" s="109"/>
      <c r="S38" s="109"/>
      <c r="T38" s="109"/>
      <c r="U38" s="109"/>
      <c r="V38" s="109"/>
      <c r="W38" s="109"/>
      <c r="X38" s="109"/>
    </row>
    <row r="39" spans="1:24" s="113" customFormat="1" x14ac:dyDescent="0.25">
      <c r="A39" s="245" t="str">
        <f>Legend!$A$45</f>
        <v>Thermal uses</v>
      </c>
      <c r="B39" s="245" t="str">
        <f>LEFT(Legend!$C$4)&amp;"-"&amp;Legend!$B$47</f>
        <v>R-THH</v>
      </c>
      <c r="C39" s="245" t="str">
        <f>Legend!$A$66</f>
        <v>Electricity</v>
      </c>
      <c r="D39" s="245" t="str">
        <f>Legend!$B$66</f>
        <v>RSDELC</v>
      </c>
      <c r="E39" s="249" t="str">
        <f t="shared" si="14"/>
        <v>RSDELC</v>
      </c>
      <c r="F39" s="251" t="s">
        <v>271</v>
      </c>
      <c r="G39" s="250" t="s">
        <v>380</v>
      </c>
      <c r="H39" s="254" t="str">
        <f>Legend!$A$57</f>
        <v>Heat pump (Air)</v>
      </c>
      <c r="I39" s="254" t="str">
        <f>Legend!$B$57</f>
        <v>HPA</v>
      </c>
      <c r="J39" s="118"/>
      <c r="K39" s="286" t="str">
        <f t="shared" si="13"/>
        <v>R-THH-HPA_ELC06</v>
      </c>
      <c r="L39" s="286" t="str">
        <f>IF(C39="","",Legend!$C$4&amp;" "&amp;$A39&amp;" technology: "&amp;$C39&amp;" "&amp;F39&amp;" -New")</f>
        <v>RSD Thermal uses technology: Electricity Heat Pump Wat. (Adv.) -New</v>
      </c>
      <c r="M39" s="109" t="str">
        <f t="shared" si="11"/>
        <v>RSDELC</v>
      </c>
      <c r="N39" s="109" t="str">
        <f t="shared" si="1"/>
        <v>R-THH</v>
      </c>
      <c r="O39" s="119">
        <f>SUMIFS('Key Inputs_New Techs'!$F$9:$F$125,'Key Inputs_New Techs'!$B$9:$B$125,'RSD_New Techs'!$K39)</f>
        <v>2030</v>
      </c>
      <c r="P39" s="114">
        <f t="shared" si="12"/>
        <v>31.536000000000001</v>
      </c>
      <c r="Q39" s="119">
        <f>SUMIFS('Key Inputs_New Techs'!$G$9:$G$125,'Key Inputs_New Techs'!$B$9:$B$125,'RSD_New Techs'!$K39)</f>
        <v>15</v>
      </c>
      <c r="R39" s="109"/>
      <c r="S39" s="109"/>
      <c r="T39" s="109"/>
      <c r="U39" s="109"/>
      <c r="V39" s="109"/>
      <c r="W39" s="109"/>
      <c r="X39" s="109"/>
    </row>
    <row r="40" spans="1:24" s="113" customFormat="1" x14ac:dyDescent="0.25">
      <c r="A40" s="245" t="str">
        <f>Legend!$A$45</f>
        <v>Thermal uses</v>
      </c>
      <c r="B40" s="245" t="str">
        <f>LEFT(Legend!$C$4)&amp;"-"&amp;Legend!$B$47</f>
        <v>R-THH</v>
      </c>
      <c r="C40" s="245" t="str">
        <f>Legend!$A$66</f>
        <v>Electricity</v>
      </c>
      <c r="D40" s="245" t="str">
        <f>Legend!$B$66</f>
        <v>RSDELC</v>
      </c>
      <c r="E40" s="249" t="str">
        <f t="shared" si="14"/>
        <v>RSDELC</v>
      </c>
      <c r="F40" s="245" t="s">
        <v>242</v>
      </c>
      <c r="G40" s="250" t="s">
        <v>381</v>
      </c>
      <c r="H40" s="254" t="str">
        <f>Legend!$A$59</f>
        <v>Resistance</v>
      </c>
      <c r="I40" s="254" t="str">
        <f>Legend!$B$59</f>
        <v>RST</v>
      </c>
      <c r="J40" s="118"/>
      <c r="K40" s="286" t="str">
        <f t="shared" si="13"/>
        <v>R-THH-RST_ELC07</v>
      </c>
      <c r="L40" s="286" t="str">
        <f>IF(C40="","",Legend!$C$4&amp;" "&amp;$A40&amp;" technology: "&amp;$C40&amp;" "&amp;F40&amp;" -New")</f>
        <v>RSD Thermal uses technology: Electricity Electr. Resist. (Ord.) -New</v>
      </c>
      <c r="M40" s="109" t="str">
        <f t="shared" si="11"/>
        <v>RSDELC</v>
      </c>
      <c r="N40" s="109" t="str">
        <f t="shared" si="1"/>
        <v>R-THH</v>
      </c>
      <c r="O40" s="119">
        <f>SUMIFS('Key Inputs_New Techs'!$F$9:$F$125,'Key Inputs_New Techs'!$B$9:$B$125,'RSD_New Techs'!$K40)</f>
        <v>2020</v>
      </c>
      <c r="P40" s="114">
        <f t="shared" si="12"/>
        <v>31.536000000000001</v>
      </c>
      <c r="Q40" s="119">
        <f>SUMIFS('Key Inputs_New Techs'!$G$9:$G$125,'Key Inputs_New Techs'!$B$9:$B$125,'RSD_New Techs'!$K40)</f>
        <v>15</v>
      </c>
      <c r="R40" s="109"/>
      <c r="S40" s="109"/>
      <c r="T40" s="109"/>
      <c r="U40" s="109"/>
      <c r="V40" s="109"/>
      <c r="W40" s="109"/>
      <c r="X40" s="109"/>
    </row>
    <row r="41" spans="1:24" s="113" customFormat="1" x14ac:dyDescent="0.25">
      <c r="A41" s="245" t="str">
        <f>Legend!$A$45</f>
        <v>Thermal uses</v>
      </c>
      <c r="B41" s="245" t="str">
        <f>LEFT(Legend!$C$4)&amp;"-"&amp;Legend!$B$47</f>
        <v>R-THH</v>
      </c>
      <c r="C41" s="245" t="str">
        <f>Legend!A$71&amp;","&amp;Legend!A$63</f>
        <v>Natural gas,Biogas</v>
      </c>
      <c r="D41" s="245" t="str">
        <f>Legend!B$71&amp;","&amp;Legend!B$63 &amp;","&amp;Legend!B$76&amp;","&amp;Legend!B$77</f>
        <v>RSDGAS,RSDBGS,RSDH2B,RSDEFUM</v>
      </c>
      <c r="E41" s="249" t="str">
        <f t="shared" si="14"/>
        <v>RSDGAS</v>
      </c>
      <c r="F41" s="251" t="s">
        <v>265</v>
      </c>
      <c r="G41" s="250" t="s">
        <v>234</v>
      </c>
      <c r="H41" s="254" t="str">
        <f>Legend!$A$56</f>
        <v>Boiler</v>
      </c>
      <c r="I41" s="254" t="str">
        <f>Legend!$B$56</f>
        <v>BLR</v>
      </c>
      <c r="J41" s="118"/>
      <c r="K41" s="286" t="str">
        <f t="shared" si="13"/>
        <v>R-THH-BLR_GAS01</v>
      </c>
      <c r="L41" s="286" t="str">
        <f>IF(C41="","",Legend!$C$4&amp;" "&amp;$A41&amp;" technology: "&amp;$C41&amp;" "&amp;F41&amp;" -New")</f>
        <v>RSD Thermal uses technology: Natural gas,Biogas Boiler (Ord.) -New</v>
      </c>
      <c r="M41" s="109" t="str">
        <f t="shared" si="11"/>
        <v>RSDGAS,RSDBGS,RSDH2B,RSDEFUM</v>
      </c>
      <c r="N41" s="109" t="str">
        <f t="shared" si="1"/>
        <v>R-THH</v>
      </c>
      <c r="O41" s="119">
        <f>SUMIFS('Key Inputs_New Techs'!$F$9:$F$125,'Key Inputs_New Techs'!$B$9:$B$125,'RSD_New Techs'!$K41)</f>
        <v>2020</v>
      </c>
      <c r="P41" s="114">
        <f t="shared" si="12"/>
        <v>31.536000000000001</v>
      </c>
      <c r="Q41" s="119">
        <f>SUMIFS('Key Inputs_New Techs'!$G$9:$G$125,'Key Inputs_New Techs'!$B$9:$B$125,'RSD_New Techs'!$K41)</f>
        <v>15</v>
      </c>
      <c r="R41" s="109"/>
      <c r="S41" s="109"/>
      <c r="T41" s="109"/>
      <c r="U41" s="109"/>
      <c r="V41" s="109"/>
      <c r="W41" s="109"/>
      <c r="X41" s="109"/>
    </row>
    <row r="42" spans="1:24" s="113" customFormat="1" x14ac:dyDescent="0.25">
      <c r="A42" s="245" t="str">
        <f>Legend!$A$45</f>
        <v>Thermal uses</v>
      </c>
      <c r="B42" s="245" t="str">
        <f>LEFT(Legend!$C$4)&amp;"-"&amp;Legend!$B$47</f>
        <v>R-THH</v>
      </c>
      <c r="C42" s="245" t="str">
        <f>Legend!A$71&amp;","&amp;Legend!A$63</f>
        <v>Natural gas,Biogas</v>
      </c>
      <c r="D42" s="245" t="str">
        <f>Legend!B$71&amp;","&amp;Legend!B$63 &amp;","&amp;Legend!B$76&amp;","&amp;Legend!B$77</f>
        <v>RSDGAS,RSDBGS,RSDH2B,RSDEFUM</v>
      </c>
      <c r="E42" s="249" t="str">
        <f t="shared" si="14"/>
        <v>RSDGAS</v>
      </c>
      <c r="F42" s="251" t="s">
        <v>274</v>
      </c>
      <c r="G42" s="250" t="s">
        <v>236</v>
      </c>
      <c r="H42" s="254" t="str">
        <f>Legend!$A$56</f>
        <v>Boiler</v>
      </c>
      <c r="I42" s="254" t="str">
        <f>Legend!$B$56</f>
        <v>BLR</v>
      </c>
      <c r="J42" s="118"/>
      <c r="K42" s="286" t="str">
        <f t="shared" si="13"/>
        <v>R-THH-BLR_GAS02</v>
      </c>
      <c r="L42" s="286" t="str">
        <f>IF(C42="","",Legend!$C$4&amp;" "&amp;$A42&amp;" technology: "&amp;$C42&amp;" "&amp;F42&amp;" -New")</f>
        <v>RSD Thermal uses technology: Natural gas,Biogas Boiler cond. (Ord.) -New</v>
      </c>
      <c r="M42" s="109" t="str">
        <f t="shared" si="11"/>
        <v>RSDGAS,RSDBGS,RSDH2B,RSDEFUM</v>
      </c>
      <c r="N42" s="109" t="str">
        <f t="shared" si="1"/>
        <v>R-THH</v>
      </c>
      <c r="O42" s="119">
        <f>SUMIFS('Key Inputs_New Techs'!$F$9:$F$125,'Key Inputs_New Techs'!$B$9:$B$125,'RSD_New Techs'!$K42)</f>
        <v>2020</v>
      </c>
      <c r="P42" s="114">
        <f t="shared" si="12"/>
        <v>31.536000000000001</v>
      </c>
      <c r="Q42" s="119">
        <f>SUMIFS('Key Inputs_New Techs'!$G$9:$G$125,'Key Inputs_New Techs'!$B$9:$B$125,'RSD_New Techs'!$K42)</f>
        <v>15</v>
      </c>
      <c r="R42" s="109"/>
      <c r="S42" s="109"/>
      <c r="T42" s="109"/>
      <c r="U42" s="109"/>
      <c r="V42" s="109"/>
      <c r="W42" s="109"/>
      <c r="X42" s="109"/>
    </row>
    <row r="43" spans="1:24" s="113" customFormat="1" x14ac:dyDescent="0.25">
      <c r="A43" s="245" t="str">
        <f>Legend!$A$45</f>
        <v>Thermal uses</v>
      </c>
      <c r="B43" s="245" t="str">
        <f>LEFT(Legend!$C$4)&amp;"-"&amp;Legend!$B$47</f>
        <v>R-THH</v>
      </c>
      <c r="C43" s="245" t="str">
        <f>Legend!A$71&amp;","&amp;Legend!A$63</f>
        <v>Natural gas,Biogas</v>
      </c>
      <c r="D43" s="245" t="str">
        <f>Legend!B$71&amp;","&amp;Legend!B$63 &amp;","&amp;Legend!B$76&amp;","&amp;Legend!B$77</f>
        <v>RSDGAS,RSDBGS,RSDH2B,RSDEFUM</v>
      </c>
      <c r="E43" s="249" t="str">
        <f t="shared" si="14"/>
        <v>RSDGAS</v>
      </c>
      <c r="F43" s="251" t="s">
        <v>266</v>
      </c>
      <c r="G43" s="250" t="s">
        <v>246</v>
      </c>
      <c r="H43" s="254" t="str">
        <f>Legend!$A$56</f>
        <v>Boiler</v>
      </c>
      <c r="I43" s="254" t="str">
        <f>Legend!$B$56</f>
        <v>BLR</v>
      </c>
      <c r="J43" s="118"/>
      <c r="K43" s="286" t="str">
        <f t="shared" si="13"/>
        <v>R-THH-BLR_GAS03</v>
      </c>
      <c r="L43" s="286" t="str">
        <f>IF(C43="","",Legend!$C$4&amp;" "&amp;$A43&amp;" technology: "&amp;$C43&amp;" "&amp;F43&amp;" -New")</f>
        <v>RSD Thermal uses technology: Natural gas,Biogas Boiler (Imp.) -New</v>
      </c>
      <c r="M43" s="109" t="str">
        <f t="shared" si="11"/>
        <v>RSDGAS,RSDBGS,RSDH2B,RSDEFUM</v>
      </c>
      <c r="N43" s="109" t="str">
        <f t="shared" si="1"/>
        <v>R-THH</v>
      </c>
      <c r="O43" s="119">
        <f>SUMIFS('Key Inputs_New Techs'!$F$9:$F$125,'Key Inputs_New Techs'!$B$9:$B$125,'RSD_New Techs'!$K43)</f>
        <v>2025</v>
      </c>
      <c r="P43" s="114">
        <f t="shared" si="12"/>
        <v>31.536000000000001</v>
      </c>
      <c r="Q43" s="119">
        <f>SUMIFS('Key Inputs_New Techs'!$G$9:$G$125,'Key Inputs_New Techs'!$B$9:$B$125,'RSD_New Techs'!$K43)</f>
        <v>15</v>
      </c>
      <c r="R43" s="109"/>
      <c r="S43" s="109"/>
      <c r="T43" s="109"/>
      <c r="U43" s="109"/>
      <c r="V43" s="109"/>
      <c r="W43" s="109"/>
      <c r="X43" s="109"/>
    </row>
    <row r="44" spans="1:24" s="113" customFormat="1" x14ac:dyDescent="0.25">
      <c r="A44" s="245" t="str">
        <f>Legend!$A$45</f>
        <v>Thermal uses</v>
      </c>
      <c r="B44" s="245" t="str">
        <f>LEFT(Legend!$C$4)&amp;"-"&amp;Legend!$B$47</f>
        <v>R-THH</v>
      </c>
      <c r="C44" s="245" t="str">
        <f>Legend!A$71&amp;","&amp;Legend!A$63</f>
        <v>Natural gas,Biogas</v>
      </c>
      <c r="D44" s="245" t="str">
        <f>Legend!B$71&amp;","&amp;Legend!B$63 &amp;","&amp;Legend!B$76&amp;","&amp;Legend!B$77</f>
        <v>RSDGAS,RSDBGS,RSDH2B,RSDEFUM</v>
      </c>
      <c r="E44" s="249" t="str">
        <f t="shared" si="14"/>
        <v>RSDGAS</v>
      </c>
      <c r="F44" s="251" t="s">
        <v>273</v>
      </c>
      <c r="G44" s="250" t="s">
        <v>378</v>
      </c>
      <c r="H44" s="254" t="str">
        <f>Legend!$A$56</f>
        <v>Boiler</v>
      </c>
      <c r="I44" s="254" t="str">
        <f>Legend!$B$56</f>
        <v>BLR</v>
      </c>
      <c r="J44" s="118"/>
      <c r="K44" s="286" t="str">
        <f t="shared" si="13"/>
        <v>R-THH-BLR_GAS04</v>
      </c>
      <c r="L44" s="286" t="str">
        <f>IF(C44="","",Legend!$C$4&amp;" "&amp;$A44&amp;" technology: "&amp;$C44&amp;" "&amp;F44&amp;" -New")</f>
        <v>RSD Thermal uses technology: Natural gas,Biogas Boiler cond. (Imp.) -New</v>
      </c>
      <c r="M44" s="109" t="str">
        <f t="shared" si="11"/>
        <v>RSDGAS,RSDBGS,RSDH2B,RSDEFUM</v>
      </c>
      <c r="N44" s="109" t="str">
        <f t="shared" si="1"/>
        <v>R-THH</v>
      </c>
      <c r="O44" s="119">
        <f>SUMIFS('Key Inputs_New Techs'!$F$9:$F$125,'Key Inputs_New Techs'!$B$9:$B$125,'RSD_New Techs'!$K44)</f>
        <v>2025</v>
      </c>
      <c r="P44" s="114">
        <f t="shared" si="12"/>
        <v>31.536000000000001</v>
      </c>
      <c r="Q44" s="119">
        <f>SUMIFS('Key Inputs_New Techs'!$G$9:$G$125,'Key Inputs_New Techs'!$B$9:$B$125,'RSD_New Techs'!$K44)</f>
        <v>15</v>
      </c>
      <c r="R44" s="109"/>
      <c r="S44" s="109"/>
      <c r="T44" s="109"/>
      <c r="U44" s="109"/>
      <c r="V44" s="109"/>
      <c r="W44" s="109"/>
      <c r="X44" s="109"/>
    </row>
    <row r="45" spans="1:24" s="113" customFormat="1" x14ac:dyDescent="0.25">
      <c r="A45" s="245" t="str">
        <f>Legend!$A$45</f>
        <v>Thermal uses</v>
      </c>
      <c r="B45" s="245" t="str">
        <f>LEFT(Legend!$C$4)&amp;"-"&amp;Legend!$B$47</f>
        <v>R-THH</v>
      </c>
      <c r="C45" s="245" t="str">
        <f>Legend!A$71&amp;","&amp;Legend!A$63</f>
        <v>Natural gas,Biogas</v>
      </c>
      <c r="D45" s="245" t="str">
        <f>Legend!B$71&amp;","&amp;Legend!B$63 &amp;","&amp;Legend!B$76&amp;","&amp;Legend!B$77</f>
        <v>RSDGAS,RSDBGS,RSDH2B,RSDEFUM</v>
      </c>
      <c r="E45" s="249" t="str">
        <f t="shared" si="14"/>
        <v>RSDGAS</v>
      </c>
      <c r="F45" s="252" t="s">
        <v>267</v>
      </c>
      <c r="G45" s="250" t="s">
        <v>379</v>
      </c>
      <c r="H45" s="254" t="str">
        <f>Legend!$A$57</f>
        <v>Heat pump (Air)</v>
      </c>
      <c r="I45" s="254" t="str">
        <f>Legend!$B$57</f>
        <v>HPA</v>
      </c>
      <c r="J45" s="118"/>
      <c r="K45" s="286" t="str">
        <f t="shared" si="13"/>
        <v>R-THH-HPA_GAS05</v>
      </c>
      <c r="L45" s="286" t="str">
        <f>IF(C45="","",Legend!$C$4&amp;" "&amp;$A45&amp;" technology: "&amp;$C45&amp;" "&amp;F45&amp;" -New")</f>
        <v>RSD Thermal uses technology: Natural gas,Biogas Heat Pump (Ord.) -New</v>
      </c>
      <c r="M45" s="109" t="str">
        <f t="shared" si="11"/>
        <v>RSDGAS,RSDBGS,RSDH2B,RSDEFUM</v>
      </c>
      <c r="N45" s="109" t="str">
        <f t="shared" si="1"/>
        <v>R-THH</v>
      </c>
      <c r="O45" s="119">
        <f>SUMIFS('Key Inputs_New Techs'!$F$9:$F$125,'Key Inputs_New Techs'!$B$9:$B$125,'RSD_New Techs'!$K45)</f>
        <v>2020</v>
      </c>
      <c r="P45" s="114">
        <f t="shared" si="12"/>
        <v>31.536000000000001</v>
      </c>
      <c r="Q45" s="119">
        <f>SUMIFS('Key Inputs_New Techs'!$G$9:$G$125,'Key Inputs_New Techs'!$B$9:$B$125,'RSD_New Techs'!$K45)</f>
        <v>15</v>
      </c>
      <c r="R45" s="109"/>
      <c r="S45" s="109"/>
      <c r="T45" s="109"/>
      <c r="U45" s="109"/>
      <c r="V45" s="109"/>
      <c r="W45" s="109"/>
      <c r="X45" s="109"/>
    </row>
    <row r="46" spans="1:24" s="113" customFormat="1" x14ac:dyDescent="0.25">
      <c r="A46" s="245" t="str">
        <f>Legend!$A$45</f>
        <v>Thermal uses</v>
      </c>
      <c r="B46" s="245" t="str">
        <f>LEFT(Legend!$C$4)&amp;"-"&amp;Legend!$B$47</f>
        <v>R-THH</v>
      </c>
      <c r="C46" s="245" t="str">
        <f>Legend!A$71&amp;","&amp;Legend!A$63</f>
        <v>Natural gas,Biogas</v>
      </c>
      <c r="D46" s="245" t="str">
        <f>Legend!B$71&amp;","&amp;Legend!B$63 &amp;","&amp;Legend!B$76&amp;","&amp;Legend!B$77</f>
        <v>RSDGAS,RSDBGS,RSDH2B,RSDEFUM</v>
      </c>
      <c r="E46" s="249" t="str">
        <f t="shared" si="14"/>
        <v>RSDGAS</v>
      </c>
      <c r="F46" s="252" t="s">
        <v>268</v>
      </c>
      <c r="G46" s="250" t="s">
        <v>380</v>
      </c>
      <c r="H46" s="254" t="str">
        <f>Legend!$A$57</f>
        <v>Heat pump (Air)</v>
      </c>
      <c r="I46" s="254" t="str">
        <f>Legend!$B$57</f>
        <v>HPA</v>
      </c>
      <c r="J46" s="118"/>
      <c r="K46" s="286" t="str">
        <f t="shared" si="13"/>
        <v>R-THH-HPA_GAS06</v>
      </c>
      <c r="L46" s="286" t="str">
        <f>IF(C46="","",Legend!$C$4&amp;" "&amp;$A46&amp;" technology: "&amp;$C46&amp;" "&amp;F46&amp;" -New")</f>
        <v>RSD Thermal uses technology: Natural gas,Biogas Heat Pump (Imp.) -New</v>
      </c>
      <c r="M46" s="109" t="str">
        <f t="shared" si="11"/>
        <v>RSDGAS,RSDBGS,RSDH2B,RSDEFUM</v>
      </c>
      <c r="N46" s="109" t="str">
        <f t="shared" si="1"/>
        <v>R-THH</v>
      </c>
      <c r="O46" s="119">
        <f>SUMIFS('Key Inputs_New Techs'!$F$9:$F$125,'Key Inputs_New Techs'!$B$9:$B$125,'RSD_New Techs'!$K46)</f>
        <v>2025</v>
      </c>
      <c r="P46" s="114">
        <f t="shared" si="12"/>
        <v>31.536000000000001</v>
      </c>
      <c r="Q46" s="119">
        <f>SUMIFS('Key Inputs_New Techs'!$G$9:$G$125,'Key Inputs_New Techs'!$B$9:$B$125,'RSD_New Techs'!$K46)</f>
        <v>15</v>
      </c>
      <c r="R46" s="109"/>
      <c r="S46" s="109"/>
      <c r="T46" s="109"/>
      <c r="U46" s="109"/>
      <c r="V46" s="109"/>
      <c r="W46" s="109"/>
      <c r="X46" s="109"/>
    </row>
    <row r="47" spans="1:24" s="113" customFormat="1" x14ac:dyDescent="0.25">
      <c r="A47" s="245" t="str">
        <f>Legend!$A$45</f>
        <v>Thermal uses</v>
      </c>
      <c r="B47" s="245" t="str">
        <f>LEFT(Legend!$C$4)&amp;"-"&amp;Legend!$B$47</f>
        <v>R-THH</v>
      </c>
      <c r="C47" s="245" t="str">
        <f>Legend!A$71&amp;","&amp;Legend!A$63</f>
        <v>Natural gas,Biogas</v>
      </c>
      <c r="D47" s="245" t="str">
        <f>Legend!B$71&amp;","&amp;Legend!B$63 &amp;","&amp;Legend!B$76&amp;","&amp;Legend!B$77</f>
        <v>RSDGAS,RSDBGS,RSDH2B,RSDEFUM</v>
      </c>
      <c r="E47" s="249" t="str">
        <f t="shared" si="14"/>
        <v>RSDGAS</v>
      </c>
      <c r="F47" s="252" t="s">
        <v>269</v>
      </c>
      <c r="G47" s="250" t="s">
        <v>381</v>
      </c>
      <c r="H47" s="254" t="str">
        <f>Legend!$A$57</f>
        <v>Heat pump (Air)</v>
      </c>
      <c r="I47" s="254" t="str">
        <f>Legend!$B$57</f>
        <v>HPA</v>
      </c>
      <c r="J47" s="118"/>
      <c r="K47" s="286" t="str">
        <f t="shared" si="13"/>
        <v>R-THH-HPA_GAS07</v>
      </c>
      <c r="L47" s="286" t="str">
        <f>IF(C47="","",Legend!$C$4&amp;" "&amp;$A47&amp;" technology: "&amp;$C47&amp;" "&amp;F47&amp;" -New")</f>
        <v>RSD Thermal uses technology: Natural gas,Biogas Heat Pump (Adv.) -New</v>
      </c>
      <c r="M47" s="109" t="str">
        <f t="shared" si="11"/>
        <v>RSDGAS,RSDBGS,RSDH2B,RSDEFUM</v>
      </c>
      <c r="N47" s="109" t="str">
        <f t="shared" si="1"/>
        <v>R-THH</v>
      </c>
      <c r="O47" s="119">
        <f>SUMIFS('Key Inputs_New Techs'!$F$9:$F$125,'Key Inputs_New Techs'!$B$9:$B$125,'RSD_New Techs'!$K47)</f>
        <v>2030</v>
      </c>
      <c r="P47" s="114">
        <f t="shared" si="12"/>
        <v>31.536000000000001</v>
      </c>
      <c r="Q47" s="119">
        <f>SUMIFS('Key Inputs_New Techs'!$G$9:$G$125,'Key Inputs_New Techs'!$B$9:$B$125,'RSD_New Techs'!$K47)</f>
        <v>15</v>
      </c>
      <c r="R47" s="109"/>
      <c r="S47" s="109"/>
      <c r="T47" s="109"/>
      <c r="U47" s="109"/>
      <c r="V47" s="109"/>
      <c r="W47" s="109"/>
      <c r="X47" s="109"/>
    </row>
    <row r="48" spans="1:24" s="113" customFormat="1" x14ac:dyDescent="0.25">
      <c r="A48" s="245" t="str">
        <f>Legend!$A$45</f>
        <v>Thermal uses</v>
      </c>
      <c r="B48" s="245" t="str">
        <f>LEFT(Legend!$C$4)&amp;"-"&amp;Legend!$B$47</f>
        <v>R-THH</v>
      </c>
      <c r="C48" s="245" t="str">
        <f>Legend!$A$66</f>
        <v>Electricity</v>
      </c>
      <c r="D48" s="245" t="str">
        <f>Legend!$B$66</f>
        <v>RSDELC</v>
      </c>
      <c r="E48" s="249" t="str">
        <f t="shared" si="14"/>
        <v>RSDELC</v>
      </c>
      <c r="F48" s="245" t="s">
        <v>243</v>
      </c>
      <c r="G48" s="250" t="s">
        <v>234</v>
      </c>
      <c r="H48" s="254" t="str">
        <f>Legend!$A$58</f>
        <v>Heat pump (Ground)</v>
      </c>
      <c r="I48" s="254" t="str">
        <f>Legend!$B$58</f>
        <v>HPG</v>
      </c>
      <c r="J48" s="118"/>
      <c r="K48" s="286" t="str">
        <f t="shared" si="13"/>
        <v>R-THH-HPG_ELC01</v>
      </c>
      <c r="L48" s="286" t="str">
        <f>IF(C48="","",Legend!$C$4&amp;" "&amp;$A48&amp;" technology: "&amp;$C48&amp;" "&amp;F48&amp;" -New")</f>
        <v>RSD Thermal uses technology: Electricity Ground Heat Pump (Ord.) -New</v>
      </c>
      <c r="M48" s="109" t="str">
        <f t="shared" si="11"/>
        <v>RSDELC</v>
      </c>
      <c r="N48" s="109" t="str">
        <f t="shared" si="1"/>
        <v>R-THH</v>
      </c>
      <c r="O48" s="119">
        <f>SUMIFS('Key Inputs_New Techs'!$F$9:$F$125,'Key Inputs_New Techs'!$B$9:$B$125,'RSD_New Techs'!$K48)</f>
        <v>2020</v>
      </c>
      <c r="P48" s="114">
        <f t="shared" si="12"/>
        <v>31.536000000000001</v>
      </c>
      <c r="Q48" s="119">
        <f>SUMIFS('Key Inputs_New Techs'!$G$9:$G$125,'Key Inputs_New Techs'!$B$9:$B$125,'RSD_New Techs'!$K48)</f>
        <v>15</v>
      </c>
      <c r="R48" s="109"/>
      <c r="S48" s="109"/>
      <c r="T48" s="109"/>
      <c r="U48" s="109"/>
      <c r="V48" s="109"/>
      <c r="W48" s="109"/>
      <c r="X48" s="109"/>
    </row>
    <row r="49" spans="1:24" s="113" customFormat="1" x14ac:dyDescent="0.25">
      <c r="A49" s="245" t="str">
        <f>Legend!$A$45</f>
        <v>Thermal uses</v>
      </c>
      <c r="B49" s="245" t="str">
        <f>LEFT(Legend!$C$4)&amp;"-"&amp;Legend!$B$47</f>
        <v>R-THH</v>
      </c>
      <c r="C49" s="245" t="str">
        <f>Legend!$A$66</f>
        <v>Electricity</v>
      </c>
      <c r="D49" s="245" t="str">
        <f>Legend!$B$66</f>
        <v>RSDELC</v>
      </c>
      <c r="E49" s="249" t="str">
        <f t="shared" si="14"/>
        <v>RSDELC</v>
      </c>
      <c r="F49" s="245" t="s">
        <v>244</v>
      </c>
      <c r="G49" s="250" t="s">
        <v>236</v>
      </c>
      <c r="H49" s="254" t="str">
        <f>Legend!$A$58</f>
        <v>Heat pump (Ground)</v>
      </c>
      <c r="I49" s="254" t="str">
        <f>Legend!$B$58</f>
        <v>HPG</v>
      </c>
      <c r="J49" s="118"/>
      <c r="K49" s="286" t="str">
        <f t="shared" si="13"/>
        <v>R-THH-HPG_ELC02</v>
      </c>
      <c r="L49" s="286" t="str">
        <f>IF(C49="","",Legend!$C$4&amp;" "&amp;$A49&amp;" technology: "&amp;$C49&amp;" "&amp;F49&amp;" -New")</f>
        <v>RSD Thermal uses technology: Electricity Ground Heat Pump (Imp.) -New</v>
      </c>
      <c r="M49" s="109" t="str">
        <f t="shared" si="11"/>
        <v>RSDELC</v>
      </c>
      <c r="N49" s="109" t="str">
        <f t="shared" si="1"/>
        <v>R-THH</v>
      </c>
      <c r="O49" s="119">
        <f>SUMIFS('Key Inputs_New Techs'!$F$9:$F$125,'Key Inputs_New Techs'!$B$9:$B$125,'RSD_New Techs'!$K49)</f>
        <v>2025</v>
      </c>
      <c r="P49" s="114">
        <f t="shared" si="12"/>
        <v>31.536000000000001</v>
      </c>
      <c r="Q49" s="119">
        <f>SUMIFS('Key Inputs_New Techs'!$G$9:$G$125,'Key Inputs_New Techs'!$B$9:$B$125,'RSD_New Techs'!$K49)</f>
        <v>15</v>
      </c>
      <c r="R49" s="109"/>
      <c r="S49" s="109"/>
      <c r="T49" s="109"/>
      <c r="U49" s="109"/>
      <c r="V49" s="109"/>
      <c r="W49" s="109"/>
      <c r="X49" s="109"/>
    </row>
    <row r="50" spans="1:24" s="113" customFormat="1" x14ac:dyDescent="0.25">
      <c r="A50" s="245" t="str">
        <f>Legend!$A$45</f>
        <v>Thermal uses</v>
      </c>
      <c r="B50" s="245" t="str">
        <f>LEFT(Legend!$C$4)&amp;"-"&amp;Legend!$B$47</f>
        <v>R-THH</v>
      </c>
      <c r="C50" s="245" t="str">
        <f>Legend!$A$66</f>
        <v>Electricity</v>
      </c>
      <c r="D50" s="245" t="str">
        <f>Legend!$B$66</f>
        <v>RSDELC</v>
      </c>
      <c r="E50" s="249" t="str">
        <f t="shared" si="14"/>
        <v>RSDELC</v>
      </c>
      <c r="F50" s="245" t="s">
        <v>245</v>
      </c>
      <c r="G50" s="250" t="s">
        <v>246</v>
      </c>
      <c r="H50" s="254" t="str">
        <f>Legend!$A$58</f>
        <v>Heat pump (Ground)</v>
      </c>
      <c r="I50" s="254" t="str">
        <f>Legend!$B$58</f>
        <v>HPG</v>
      </c>
      <c r="J50" s="118"/>
      <c r="K50" s="286" t="str">
        <f t="shared" si="13"/>
        <v>R-THH-HPG_ELC03</v>
      </c>
      <c r="L50" s="286" t="str">
        <f>IF(C50="","",Legend!$C$4&amp;" "&amp;$A50&amp;" technology: "&amp;$C50&amp;" "&amp;F50&amp;" -New")</f>
        <v>RSD Thermal uses technology: Electricity Ground Heat Pump (Adv.) -New</v>
      </c>
      <c r="M50" s="109" t="str">
        <f t="shared" si="11"/>
        <v>RSDELC</v>
      </c>
      <c r="N50" s="109" t="str">
        <f t="shared" si="1"/>
        <v>R-THH</v>
      </c>
      <c r="O50" s="119">
        <f>SUMIFS('Key Inputs_New Techs'!$F$9:$F$125,'Key Inputs_New Techs'!$B$9:$B$125,'RSD_New Techs'!$K50)</f>
        <v>2025</v>
      </c>
      <c r="P50" s="114">
        <f t="shared" si="12"/>
        <v>31.536000000000001</v>
      </c>
      <c r="Q50" s="119">
        <f>SUMIFS('Key Inputs_New Techs'!$G$9:$G$125,'Key Inputs_New Techs'!$B$9:$B$125,'RSD_New Techs'!$K50)</f>
        <v>15</v>
      </c>
      <c r="R50" s="109"/>
      <c r="S50" s="109"/>
      <c r="T50" s="109"/>
      <c r="U50" s="109"/>
      <c r="V50" s="109"/>
      <c r="W50" s="109"/>
      <c r="X50" s="109"/>
    </row>
    <row r="51" spans="1:24" s="113" customFormat="1" x14ac:dyDescent="0.25">
      <c r="A51" s="245" t="str">
        <f>Legend!$A$45</f>
        <v>Thermal uses</v>
      </c>
      <c r="B51" s="245" t="str">
        <f>LEFT(Legend!$C$4)&amp;"-"&amp;Legend!$B$47</f>
        <v>R-THH</v>
      </c>
      <c r="C51" s="245" t="str">
        <f>Legend!$A$68</f>
        <v>Heat</v>
      </c>
      <c r="D51" s="245" t="str">
        <f>Legend!$B$68</f>
        <v>RSDHET</v>
      </c>
      <c r="E51" s="249" t="str">
        <f t="shared" si="14"/>
        <v>RSDHET</v>
      </c>
      <c r="F51" s="245" t="s">
        <v>247</v>
      </c>
      <c r="G51" s="250" t="s">
        <v>234</v>
      </c>
      <c r="H51" s="254" t="str">
        <f>Legend!$A$61</f>
        <v>Heat exchanger</v>
      </c>
      <c r="I51" s="254" t="str">
        <f>Legend!$B$61</f>
        <v>HEX</v>
      </c>
      <c r="J51" s="118"/>
      <c r="K51" s="286" t="str">
        <f t="shared" si="13"/>
        <v>R-THH-HEX_HET01</v>
      </c>
      <c r="L51" s="286" t="str">
        <f>IF(C51="","",Legend!$C$4&amp;" "&amp;$A51&amp;" technology: "&amp;$C51&amp;" "&amp;F51&amp;" -New")</f>
        <v>RSD Thermal uses technology: Heat District Heat (Ord.) -New</v>
      </c>
      <c r="M51" s="109" t="str">
        <f t="shared" si="11"/>
        <v>RSDHET</v>
      </c>
      <c r="N51" s="109" t="str">
        <f t="shared" si="1"/>
        <v>R-THH</v>
      </c>
      <c r="O51" s="119">
        <f>SUMIFS('Key Inputs_New Techs'!$F$9:$F$125,'Key Inputs_New Techs'!$B$9:$B$125,'RSD_New Techs'!$K51)</f>
        <v>2020</v>
      </c>
      <c r="P51" s="114">
        <f t="shared" si="12"/>
        <v>31.536000000000001</v>
      </c>
      <c r="Q51" s="119">
        <f>SUMIFS('Key Inputs_New Techs'!$G$9:$G$125,'Key Inputs_New Techs'!$B$9:$B$125,'RSD_New Techs'!$K51)</f>
        <v>15</v>
      </c>
      <c r="R51" s="109"/>
      <c r="S51" s="109"/>
      <c r="T51" s="109"/>
      <c r="U51" s="109"/>
      <c r="V51" s="109"/>
      <c r="W51" s="109"/>
      <c r="X51" s="109"/>
    </row>
    <row r="52" spans="1:24" s="113" customFormat="1" x14ac:dyDescent="0.25">
      <c r="A52" s="245" t="str">
        <f>Legend!$A$45</f>
        <v>Thermal uses</v>
      </c>
      <c r="B52" s="245" t="str">
        <f>LEFT(Legend!$C$4)&amp;"-"&amp;Legend!$B$47</f>
        <v>R-THH</v>
      </c>
      <c r="C52" s="245" t="str">
        <f>Legend!$A$68</f>
        <v>Heat</v>
      </c>
      <c r="D52" s="245" t="str">
        <f>Legend!$B$68</f>
        <v>RSDHET</v>
      </c>
      <c r="E52" s="249" t="str">
        <f t="shared" si="14"/>
        <v>RSDHET</v>
      </c>
      <c r="F52" s="245" t="s">
        <v>248</v>
      </c>
      <c r="G52" s="250" t="s">
        <v>236</v>
      </c>
      <c r="H52" s="254" t="str">
        <f>Legend!$A$61</f>
        <v>Heat exchanger</v>
      </c>
      <c r="I52" s="254" t="str">
        <f>Legend!$B$61</f>
        <v>HEX</v>
      </c>
      <c r="J52" s="118"/>
      <c r="K52" s="286" t="str">
        <f t="shared" si="13"/>
        <v>R-THH-HEX_HET02</v>
      </c>
      <c r="L52" s="286" t="str">
        <f>IF(C52="","",Legend!$C$4&amp;" "&amp;$A52&amp;" technology: "&amp;$C52&amp;" "&amp;F52&amp;" -New")</f>
        <v>RSD Thermal uses technology: Heat District Heat (Imp.) -New</v>
      </c>
      <c r="M52" s="109" t="str">
        <f t="shared" si="11"/>
        <v>RSDHET</v>
      </c>
      <c r="N52" s="109" t="str">
        <f t="shared" si="1"/>
        <v>R-THH</v>
      </c>
      <c r="O52" s="119">
        <f>SUMIFS('Key Inputs_New Techs'!$F$9:$F$125,'Key Inputs_New Techs'!$B$9:$B$125,'RSD_New Techs'!$K52)</f>
        <v>2025</v>
      </c>
      <c r="P52" s="114">
        <f t="shared" si="12"/>
        <v>31.536000000000001</v>
      </c>
      <c r="Q52" s="119">
        <f>SUMIFS('Key Inputs_New Techs'!$G$9:$G$125,'Key Inputs_New Techs'!$B$9:$B$125,'RSD_New Techs'!$K52)</f>
        <v>15</v>
      </c>
      <c r="R52" s="109"/>
      <c r="S52" s="109"/>
      <c r="T52" s="109"/>
      <c r="U52" s="109"/>
      <c r="V52" s="109"/>
      <c r="W52" s="109"/>
      <c r="X52" s="109"/>
    </row>
    <row r="53" spans="1:24" s="113" customFormat="1" x14ac:dyDescent="0.25">
      <c r="A53" s="245" t="str">
        <f>Legend!$A$45</f>
        <v>Thermal uses</v>
      </c>
      <c r="B53" s="245" t="str">
        <f>LEFT(Legend!$C$4)&amp;"-"&amp;Legend!$B$47</f>
        <v>R-THH</v>
      </c>
      <c r="C53" s="253" t="str">
        <f>Legend!$A$73&amp;", "&amp;Legend!$A$69</f>
        <v>Oil, Liquid biofuels</v>
      </c>
      <c r="D53" s="254" t="str">
        <f>Legend!$B$73&amp;", "&amp;Legend!$B$69</f>
        <v>RSDOIL, RSDBLQ</v>
      </c>
      <c r="E53" s="249" t="str">
        <f t="shared" si="14"/>
        <v>RSDOIL</v>
      </c>
      <c r="F53" s="252" t="s">
        <v>265</v>
      </c>
      <c r="G53" s="250" t="s">
        <v>234</v>
      </c>
      <c r="H53" s="254" t="str">
        <f>Legend!$A$56</f>
        <v>Boiler</v>
      </c>
      <c r="I53" s="254" t="str">
        <f>Legend!$B$56</f>
        <v>BLR</v>
      </c>
      <c r="J53" s="118"/>
      <c r="K53" s="286" t="str">
        <f t="shared" si="13"/>
        <v>R-THH-BLR_OIL01</v>
      </c>
      <c r="L53" s="286" t="str">
        <f>IF(C53="","",Legend!$C$4&amp;" "&amp;$A53&amp;" technology: "&amp;$C53&amp;" "&amp;F53&amp;" -New")</f>
        <v>RSD Thermal uses technology: Oil, Liquid biofuels Boiler (Ord.) -New</v>
      </c>
      <c r="M53" s="109" t="str">
        <f t="shared" si="11"/>
        <v>RSDOIL, RSDBLQ</v>
      </c>
      <c r="N53" s="109" t="str">
        <f t="shared" si="1"/>
        <v>R-THH</v>
      </c>
      <c r="O53" s="119">
        <f>SUMIFS('Key Inputs_New Techs'!$F$9:$F$125,'Key Inputs_New Techs'!$B$9:$B$125,'RSD_New Techs'!$K53)</f>
        <v>2020</v>
      </c>
      <c r="P53" s="114">
        <f t="shared" si="12"/>
        <v>31.536000000000001</v>
      </c>
      <c r="Q53" s="119">
        <f>SUMIFS('Key Inputs_New Techs'!$G$9:$G$125,'Key Inputs_New Techs'!$B$9:$B$125,'RSD_New Techs'!$K53)</f>
        <v>17</v>
      </c>
      <c r="R53" s="109"/>
      <c r="S53" s="109"/>
      <c r="T53" s="109"/>
      <c r="U53" s="109"/>
      <c r="V53" s="109"/>
      <c r="W53" s="109"/>
      <c r="X53" s="109"/>
    </row>
    <row r="54" spans="1:24" s="113" customFormat="1" x14ac:dyDescent="0.25">
      <c r="A54" s="245" t="str">
        <f>Legend!$A$45</f>
        <v>Thermal uses</v>
      </c>
      <c r="B54" s="245" t="str">
        <f>LEFT(Legend!$C$4)&amp;"-"&amp;Legend!$B$47</f>
        <v>R-THH</v>
      </c>
      <c r="C54" s="253" t="str">
        <f>Legend!$A$73&amp;", "&amp;Legend!$A$69</f>
        <v>Oil, Liquid biofuels</v>
      </c>
      <c r="D54" s="254" t="str">
        <f>Legend!$B$73&amp;", "&amp;Legend!$B$69</f>
        <v>RSDOIL, RSDBLQ</v>
      </c>
      <c r="E54" s="249" t="str">
        <f t="shared" si="14"/>
        <v>RSDOIL</v>
      </c>
      <c r="F54" s="251" t="s">
        <v>274</v>
      </c>
      <c r="G54" s="250" t="s">
        <v>236</v>
      </c>
      <c r="H54" s="254" t="str">
        <f>Legend!$A$56</f>
        <v>Boiler</v>
      </c>
      <c r="I54" s="254" t="str">
        <f>Legend!$B$56</f>
        <v>BLR</v>
      </c>
      <c r="J54" s="118"/>
      <c r="K54" s="286" t="str">
        <f t="shared" si="13"/>
        <v>R-THH-BLR_OIL02</v>
      </c>
      <c r="L54" s="286" t="str">
        <f>IF(C54="","",Legend!$C$4&amp;" "&amp;$A54&amp;" technology: "&amp;$C54&amp;" "&amp;F54&amp;" -New")</f>
        <v>RSD Thermal uses technology: Oil, Liquid biofuels Boiler cond. (Ord.) -New</v>
      </c>
      <c r="M54" s="109" t="str">
        <f t="shared" si="11"/>
        <v>RSDOIL, RSDBLQ</v>
      </c>
      <c r="N54" s="109" t="str">
        <f t="shared" si="1"/>
        <v>R-THH</v>
      </c>
      <c r="O54" s="119">
        <f>SUMIFS('Key Inputs_New Techs'!$F$9:$F$125,'Key Inputs_New Techs'!$B$9:$B$125,'RSD_New Techs'!$K54)</f>
        <v>2020</v>
      </c>
      <c r="P54" s="114">
        <f t="shared" si="12"/>
        <v>31.536000000000001</v>
      </c>
      <c r="Q54" s="119">
        <f>SUMIFS('Key Inputs_New Techs'!$G$9:$G$125,'Key Inputs_New Techs'!$B$9:$B$125,'RSD_New Techs'!$K54)</f>
        <v>17</v>
      </c>
      <c r="R54" s="109"/>
      <c r="S54" s="109"/>
      <c r="T54" s="109"/>
      <c r="U54" s="109"/>
      <c r="V54" s="109"/>
      <c r="W54" s="109"/>
      <c r="X54" s="109"/>
    </row>
    <row r="55" spans="1:24" s="113" customFormat="1" x14ac:dyDescent="0.25">
      <c r="A55" s="245" t="str">
        <f>Legend!$A$45</f>
        <v>Thermal uses</v>
      </c>
      <c r="B55" s="245" t="str">
        <f>LEFT(Legend!$C$4)&amp;"-"&amp;Legend!$B$47</f>
        <v>R-THH</v>
      </c>
      <c r="C55" s="253" t="str">
        <f>Legend!$A$73&amp;", "&amp;Legend!$A$69</f>
        <v>Oil, Liquid biofuels</v>
      </c>
      <c r="D55" s="254" t="str">
        <f>Legend!$B$73&amp;", "&amp;Legend!$B$69</f>
        <v>RSDOIL, RSDBLQ</v>
      </c>
      <c r="E55" s="249" t="str">
        <f t="shared" si="14"/>
        <v>RSDOIL</v>
      </c>
      <c r="F55" s="251" t="s">
        <v>273</v>
      </c>
      <c r="G55" s="250" t="s">
        <v>246</v>
      </c>
      <c r="H55" s="254" t="str">
        <f>Legend!$A$56</f>
        <v>Boiler</v>
      </c>
      <c r="I55" s="254" t="str">
        <f>Legend!$B$56</f>
        <v>BLR</v>
      </c>
      <c r="J55" s="118"/>
      <c r="K55" s="286" t="str">
        <f t="shared" si="13"/>
        <v>R-THH-BLR_OIL03</v>
      </c>
      <c r="L55" s="286" t="str">
        <f>IF(C55="","",Legend!$C$4&amp;" "&amp;$A55&amp;" technology: "&amp;$C55&amp;" "&amp;F55&amp;" -New")</f>
        <v>RSD Thermal uses technology: Oil, Liquid biofuels Boiler cond. (Imp.) -New</v>
      </c>
      <c r="M55" s="109" t="str">
        <f t="shared" si="11"/>
        <v>RSDOIL, RSDBLQ</v>
      </c>
      <c r="N55" s="109" t="str">
        <f t="shared" si="1"/>
        <v>R-THH</v>
      </c>
      <c r="O55" s="119">
        <f>SUMIFS('Key Inputs_New Techs'!$F$9:$F$125,'Key Inputs_New Techs'!$B$9:$B$125,'RSD_New Techs'!$K55)</f>
        <v>2025</v>
      </c>
      <c r="P55" s="114">
        <f t="shared" si="12"/>
        <v>31.536000000000001</v>
      </c>
      <c r="Q55" s="119">
        <f>SUMIFS('Key Inputs_New Techs'!$G$9:$G$125,'Key Inputs_New Techs'!$B$9:$B$125,'RSD_New Techs'!$K55)</f>
        <v>17</v>
      </c>
      <c r="R55" s="109"/>
      <c r="S55" s="109"/>
      <c r="T55" s="109"/>
      <c r="U55" s="109"/>
      <c r="V55" s="109"/>
      <c r="W55" s="109"/>
      <c r="X55" s="109"/>
    </row>
    <row r="56" spans="1:24" s="113" customFormat="1" x14ac:dyDescent="0.25">
      <c r="A56" s="245" t="str">
        <f>Legend!$A$45</f>
        <v>Thermal uses</v>
      </c>
      <c r="B56" s="245" t="str">
        <f>LEFT(Legend!$C$4)&amp;"-"&amp;Legend!$B$47</f>
        <v>R-THH</v>
      </c>
      <c r="C56" s="254" t="str">
        <f>Legend!A$70</f>
        <v>LPG</v>
      </c>
      <c r="D56" s="254" t="str">
        <f>Legend!B$70</f>
        <v>RSDLPG</v>
      </c>
      <c r="E56" s="249" t="str">
        <f t="shared" ref="E56" si="15">LEFT(D56,6)</f>
        <v>RSDLPG</v>
      </c>
      <c r="F56" s="251" t="s">
        <v>273</v>
      </c>
      <c r="G56" s="513" t="s">
        <v>234</v>
      </c>
      <c r="H56" s="254" t="str">
        <f>Legend!$A$56</f>
        <v>Boiler</v>
      </c>
      <c r="I56" s="254" t="str">
        <f>Legend!$B$56</f>
        <v>BLR</v>
      </c>
      <c r="J56" s="118"/>
      <c r="K56" s="286" t="str">
        <f t="shared" ref="K56" si="16">IF(C56="","",$B56&amp;"-"&amp;I56&amp;"_"&amp;RIGHT(E56,3)&amp;G56)</f>
        <v>R-THH-BLR_LPG01</v>
      </c>
      <c r="L56" s="286" t="str">
        <f>IF(C56="","",Legend!$C$4&amp;" "&amp;$A56&amp;" technology: "&amp;$C56&amp;" "&amp;F56&amp;" -New")</f>
        <v>RSD Thermal uses technology: LPG Boiler cond. (Imp.) -New</v>
      </c>
      <c r="M56" s="109" t="str">
        <f t="shared" ref="M56" si="17">IF(D56="","",D56)</f>
        <v>RSDLPG</v>
      </c>
      <c r="N56" s="109" t="str">
        <f t="shared" si="1"/>
        <v>R-THH</v>
      </c>
      <c r="O56" s="119">
        <f>SUMIFS('Key Inputs_New Techs'!$F$9:$F$125,'Key Inputs_New Techs'!$B$9:$B$125,'RSD_New Techs'!$K56)</f>
        <v>2020</v>
      </c>
      <c r="P56" s="114">
        <f t="shared" ref="P56" si="18">IF(A56="","",31.536)</f>
        <v>31.536000000000001</v>
      </c>
      <c r="Q56" s="119">
        <f>SUMIFS('Key Inputs_New Techs'!$G$9:$G$125,'Key Inputs_New Techs'!$B$9:$B$125,'RSD_New Techs'!$K56)</f>
        <v>17</v>
      </c>
      <c r="R56" s="109"/>
      <c r="S56" s="109"/>
      <c r="T56" s="109"/>
      <c r="U56" s="109"/>
      <c r="V56" s="109"/>
      <c r="W56" s="109"/>
      <c r="X56" s="109"/>
    </row>
    <row r="57" spans="1:24" s="113" customFormat="1" x14ac:dyDescent="0.25">
      <c r="A57" s="245" t="str">
        <f>Legend!$A$45</f>
        <v>Thermal uses</v>
      </c>
      <c r="B57" s="255" t="str">
        <f>LEFT(Legend!$C$4)&amp;"-"&amp;Legend!$B$47</f>
        <v>R-THH</v>
      </c>
      <c r="C57" s="255" t="str">
        <f>Legend!A$74</f>
        <v>Solar</v>
      </c>
      <c r="D57" s="255" t="str">
        <f>Legend!B$74</f>
        <v>RSDSOL</v>
      </c>
      <c r="E57" s="256" t="str">
        <f t="shared" si="14"/>
        <v>RSDSOL</v>
      </c>
      <c r="F57" s="269" t="s">
        <v>270</v>
      </c>
      <c r="G57" s="257" t="s">
        <v>234</v>
      </c>
      <c r="H57" s="281" t="str">
        <f>Legend!$A$61</f>
        <v>Heat exchanger</v>
      </c>
      <c r="I57" s="281" t="str">
        <f>Legend!$B$61</f>
        <v>HEX</v>
      </c>
      <c r="J57" s="118"/>
      <c r="K57" s="287" t="str">
        <f t="shared" si="13"/>
        <v>R-THH-HEX_SOL01</v>
      </c>
      <c r="L57" s="287" t="str">
        <f>IF(C57="","",Legend!$C$4&amp;" "&amp;$A57&amp;" technology: "&amp;$C57&amp;" "&amp;F57&amp;" -New")</f>
        <v>RSD Thermal uses technology: Solar Thermal (Ord.) -New</v>
      </c>
      <c r="M57" s="128" t="str">
        <f t="shared" si="11"/>
        <v>RSDSOL</v>
      </c>
      <c r="N57" s="128" t="str">
        <f t="shared" si="1"/>
        <v>R-THH</v>
      </c>
      <c r="O57" s="197">
        <f>SUMIFS('Key Inputs_New Techs'!$F$9:$F$125,'Key Inputs_New Techs'!$B$9:$B$125,'RSD_New Techs'!$K57)</f>
        <v>2020</v>
      </c>
      <c r="P57" s="185">
        <f t="shared" si="12"/>
        <v>31.536000000000001</v>
      </c>
      <c r="Q57" s="197">
        <f>SUMIFS('Key Inputs_New Techs'!$G$9:$G$125,'Key Inputs_New Techs'!$B$9:$B$125,'RSD_New Techs'!$K57)</f>
        <v>15</v>
      </c>
      <c r="R57" s="109"/>
      <c r="S57" s="109"/>
      <c r="T57" s="109"/>
      <c r="U57" s="109"/>
      <c r="V57" s="109"/>
      <c r="W57" s="109"/>
      <c r="X57" s="109"/>
    </row>
    <row r="58" spans="1:24" s="113" customFormat="1" x14ac:dyDescent="0.25">
      <c r="A58" s="258" t="str">
        <f>Legend!A$48</f>
        <v>Air conditioning</v>
      </c>
      <c r="B58" s="258" t="str">
        <f>LEFT(Legend!$C$4)&amp;"-"&amp;Legend!$B$49</f>
        <v>R-ACL</v>
      </c>
      <c r="C58" s="245" t="str">
        <f>Legend!$A$66</f>
        <v>Electricity</v>
      </c>
      <c r="D58" s="245" t="str">
        <f>Legend!$B$66</f>
        <v>RSDELC</v>
      </c>
      <c r="E58" s="249" t="str">
        <f t="shared" si="10"/>
        <v>RSDELC</v>
      </c>
      <c r="F58" s="245" t="s">
        <v>249</v>
      </c>
      <c r="G58" s="250" t="s">
        <v>234</v>
      </c>
      <c r="H58" s="250"/>
      <c r="I58" s="250"/>
      <c r="J58" s="118"/>
      <c r="K58" s="109" t="str">
        <f>IF(C58="","",$B58&amp;"_"&amp;RIGHT(E58,3)&amp;G58)</f>
        <v>R-ACL_ELC01</v>
      </c>
      <c r="L58" s="109" t="str">
        <f>IF(C58="","",Legend!$C$4&amp;" "&amp;$A58&amp;" technology: "&amp;$C58&amp;" "&amp;F58&amp;" -New")</f>
        <v>RSD Air conditioning technology: Electricity Air conditioning (Ord.) -New</v>
      </c>
      <c r="M58" s="109" t="str">
        <f t="shared" si="0"/>
        <v>RSDELC</v>
      </c>
      <c r="N58" s="109" t="str">
        <f t="shared" si="1"/>
        <v>R-ACL</v>
      </c>
      <c r="O58" s="119">
        <f>SUMIFS('Key Inputs_New Techs'!$F$9:$F$125,'Key Inputs_New Techs'!$B$9:$B$125,'RSD_New Techs'!$K58)</f>
        <v>2020</v>
      </c>
      <c r="P58" s="114">
        <f t="shared" si="2"/>
        <v>31.536000000000001</v>
      </c>
      <c r="Q58" s="119">
        <f>SUMIFS('Key Inputs_New Techs'!$G$9:$G$125,'Key Inputs_New Techs'!$B$9:$B$125,'RSD_New Techs'!$K58)</f>
        <v>14</v>
      </c>
    </row>
    <row r="59" spans="1:24" s="113" customFormat="1" x14ac:dyDescent="0.25">
      <c r="A59" s="245" t="str">
        <f>Legend!A$48</f>
        <v>Air conditioning</v>
      </c>
      <c r="B59" s="245" t="str">
        <f>LEFT(Legend!$C$4)&amp;"-"&amp;Legend!$B$49</f>
        <v>R-ACL</v>
      </c>
      <c r="C59" s="245" t="str">
        <f>Legend!$A$66</f>
        <v>Electricity</v>
      </c>
      <c r="D59" s="245" t="str">
        <f>Legend!$B$66</f>
        <v>RSDELC</v>
      </c>
      <c r="E59" s="249" t="str">
        <f t="shared" si="10"/>
        <v>RSDELC</v>
      </c>
      <c r="F59" s="245" t="s">
        <v>250</v>
      </c>
      <c r="G59" s="250" t="s">
        <v>236</v>
      </c>
      <c r="H59" s="250"/>
      <c r="I59" s="250"/>
      <c r="J59" s="118"/>
      <c r="K59" s="109" t="str">
        <f t="shared" ref="K59:K74" si="19">IF(C59="","",$B59&amp;"_"&amp;RIGHT(E59,3)&amp;G59)</f>
        <v>R-ACL_ELC02</v>
      </c>
      <c r="L59" s="109" t="str">
        <f>IF(C59="","",Legend!$C$4&amp;" "&amp;$A59&amp;" technology: "&amp;$C59&amp;" "&amp;F59&amp;" -New")</f>
        <v>RSD Air conditioning technology: Electricity Air conditioning (Imp.) -New</v>
      </c>
      <c r="M59" s="109" t="str">
        <f t="shared" si="0"/>
        <v>RSDELC</v>
      </c>
      <c r="N59" s="109" t="str">
        <f t="shared" si="1"/>
        <v>R-ACL</v>
      </c>
      <c r="O59" s="119">
        <f>SUMIFS('Key Inputs_New Techs'!$F$9:$F$125,'Key Inputs_New Techs'!$B$9:$B$125,'RSD_New Techs'!$K59)</f>
        <v>2025</v>
      </c>
      <c r="P59" s="114">
        <f t="shared" si="2"/>
        <v>31.536000000000001</v>
      </c>
      <c r="Q59" s="119">
        <f>SUMIFS('Key Inputs_New Techs'!$G$9:$G$125,'Key Inputs_New Techs'!$B$9:$B$125,'RSD_New Techs'!$K59)</f>
        <v>14</v>
      </c>
    </row>
    <row r="60" spans="1:24" s="113" customFormat="1" x14ac:dyDescent="0.25">
      <c r="A60" s="255" t="str">
        <f>Legend!A$48</f>
        <v>Air conditioning</v>
      </c>
      <c r="B60" s="255" t="str">
        <f>LEFT(Legend!$C$4)&amp;"-"&amp;Legend!$B$49</f>
        <v>R-ACL</v>
      </c>
      <c r="C60" s="255" t="str">
        <f>Legend!$A$66</f>
        <v>Electricity</v>
      </c>
      <c r="D60" s="255" t="str">
        <f>Legend!$B$66</f>
        <v>RSDELC</v>
      </c>
      <c r="E60" s="256" t="str">
        <f t="shared" si="10"/>
        <v>RSDELC</v>
      </c>
      <c r="F60" s="255" t="s">
        <v>251</v>
      </c>
      <c r="G60" s="257" t="s">
        <v>246</v>
      </c>
      <c r="H60" s="257"/>
      <c r="I60" s="257"/>
      <c r="J60" s="118"/>
      <c r="K60" s="128" t="str">
        <f t="shared" si="19"/>
        <v>R-ACL_ELC03</v>
      </c>
      <c r="L60" s="128" t="str">
        <f>IF(C60="","",Legend!$C$4&amp;" "&amp;$A60&amp;" technology: "&amp;$C60&amp;" "&amp;F60&amp;" -New")</f>
        <v>RSD Air conditioning technology: Electricity Air conditioning (Adv.) -New</v>
      </c>
      <c r="M60" s="128" t="str">
        <f t="shared" si="0"/>
        <v>RSDELC</v>
      </c>
      <c r="N60" s="128" t="str">
        <f t="shared" si="1"/>
        <v>R-ACL</v>
      </c>
      <c r="O60" s="197">
        <f>SUMIFS('Key Inputs_New Techs'!$F$9:$F$125,'Key Inputs_New Techs'!$B$9:$B$125,'RSD_New Techs'!$K60)</f>
        <v>2030</v>
      </c>
      <c r="P60" s="185">
        <f t="shared" si="2"/>
        <v>31.536000000000001</v>
      </c>
      <c r="Q60" s="197">
        <f>SUMIFS('Key Inputs_New Techs'!$G$9:$G$125,'Key Inputs_New Techs'!$B$9:$B$125,'RSD_New Techs'!$K60)</f>
        <v>14</v>
      </c>
    </row>
    <row r="61" spans="1:24" s="113" customFormat="1" x14ac:dyDescent="0.25">
      <c r="A61" s="258" t="str">
        <f>Legend!A$48</f>
        <v>Air conditioning</v>
      </c>
      <c r="B61" s="258" t="str">
        <f>LEFT(Legend!$C$4)&amp;"-"&amp;Legend!$B$50</f>
        <v>R-ACH</v>
      </c>
      <c r="C61" s="245" t="str">
        <f>Legend!$A$66</f>
        <v>Electricity</v>
      </c>
      <c r="D61" s="245" t="str">
        <f>Legend!$B$66</f>
        <v>RSDELC</v>
      </c>
      <c r="E61" s="249" t="str">
        <f t="shared" ref="E61:E63" si="20">LEFT(D61,6)</f>
        <v>RSDELC</v>
      </c>
      <c r="F61" s="245" t="s">
        <v>249</v>
      </c>
      <c r="G61" s="250" t="s">
        <v>234</v>
      </c>
      <c r="H61" s="250"/>
      <c r="I61" s="250"/>
      <c r="J61" s="118"/>
      <c r="K61" s="109" t="str">
        <f>IF(C61="","",$B61&amp;"_"&amp;RIGHT(E61,3)&amp;G61)</f>
        <v>R-ACH_ELC01</v>
      </c>
      <c r="L61" s="109" t="str">
        <f>IF(C61="","",Legend!$C$4&amp;" "&amp;$A61&amp;" technology: "&amp;$C61&amp;" "&amp;F61&amp;" -New")</f>
        <v>RSD Air conditioning technology: Electricity Air conditioning (Ord.) -New</v>
      </c>
      <c r="M61" s="109" t="str">
        <f t="shared" ref="M61:M63" si="21">IF(D61="","",D61)</f>
        <v>RSDELC</v>
      </c>
      <c r="N61" s="109" t="str">
        <f t="shared" si="1"/>
        <v>R-ACH</v>
      </c>
      <c r="O61" s="119">
        <f>SUMIFS('Key Inputs_New Techs'!$F$9:$F$125,'Key Inputs_New Techs'!$B$9:$B$125,'RSD_New Techs'!$K61)</f>
        <v>2020</v>
      </c>
      <c r="P61" s="114">
        <f t="shared" ref="P61:P64" si="22">IF(A61="","",31.536)</f>
        <v>31.536000000000001</v>
      </c>
      <c r="Q61" s="119">
        <f>SUMIFS('Key Inputs_New Techs'!$G$9:$G$125,'Key Inputs_New Techs'!$B$9:$B$125,'RSD_New Techs'!$K61)</f>
        <v>14</v>
      </c>
    </row>
    <row r="62" spans="1:24" s="113" customFormat="1" x14ac:dyDescent="0.25">
      <c r="A62" s="245" t="str">
        <f>Legend!A$48</f>
        <v>Air conditioning</v>
      </c>
      <c r="B62" s="245" t="str">
        <f>LEFT(Legend!$C$4)&amp;"-"&amp;Legend!$B$50</f>
        <v>R-ACH</v>
      </c>
      <c r="C62" s="245" t="str">
        <f>Legend!$A$66</f>
        <v>Electricity</v>
      </c>
      <c r="D62" s="245" t="str">
        <f>Legend!$B$66</f>
        <v>RSDELC</v>
      </c>
      <c r="E62" s="249" t="str">
        <f t="shared" si="20"/>
        <v>RSDELC</v>
      </c>
      <c r="F62" s="245" t="s">
        <v>250</v>
      </c>
      <c r="G62" s="250" t="s">
        <v>236</v>
      </c>
      <c r="H62" s="250"/>
      <c r="I62" s="250"/>
      <c r="J62" s="118"/>
      <c r="K62" s="109" t="str">
        <f t="shared" ref="K62:K63" si="23">IF(C62="","",$B62&amp;"_"&amp;RIGHT(E62,3)&amp;G62)</f>
        <v>R-ACH_ELC02</v>
      </c>
      <c r="L62" s="109" t="str">
        <f>IF(C62="","",Legend!$C$4&amp;" "&amp;$A62&amp;" technology: "&amp;$C62&amp;" "&amp;F62&amp;" -New")</f>
        <v>RSD Air conditioning technology: Electricity Air conditioning (Imp.) -New</v>
      </c>
      <c r="M62" s="109" t="str">
        <f t="shared" si="21"/>
        <v>RSDELC</v>
      </c>
      <c r="N62" s="109" t="str">
        <f t="shared" si="1"/>
        <v>R-ACH</v>
      </c>
      <c r="O62" s="119">
        <f>SUMIFS('Key Inputs_New Techs'!$F$9:$F$125,'Key Inputs_New Techs'!$B$9:$B$125,'RSD_New Techs'!$K62)</f>
        <v>2025</v>
      </c>
      <c r="P62" s="114">
        <f t="shared" si="22"/>
        <v>31.536000000000001</v>
      </c>
      <c r="Q62" s="119">
        <f>SUMIFS('Key Inputs_New Techs'!$G$9:$G$125,'Key Inputs_New Techs'!$B$9:$B$125,'RSD_New Techs'!$K62)</f>
        <v>14</v>
      </c>
    </row>
    <row r="63" spans="1:24" s="113" customFormat="1" x14ac:dyDescent="0.25">
      <c r="A63" s="255" t="str">
        <f>Legend!A$48</f>
        <v>Air conditioning</v>
      </c>
      <c r="B63" s="255" t="str">
        <f>LEFT(Legend!$C$4)&amp;"-"&amp;Legend!$B$50</f>
        <v>R-ACH</v>
      </c>
      <c r="C63" s="255" t="str">
        <f>Legend!$A$66</f>
        <v>Electricity</v>
      </c>
      <c r="D63" s="255" t="str">
        <f>Legend!$B$66</f>
        <v>RSDELC</v>
      </c>
      <c r="E63" s="256" t="str">
        <f t="shared" si="20"/>
        <v>RSDELC</v>
      </c>
      <c r="F63" s="255" t="s">
        <v>251</v>
      </c>
      <c r="G63" s="257" t="s">
        <v>246</v>
      </c>
      <c r="H63" s="257"/>
      <c r="I63" s="257"/>
      <c r="J63" s="118"/>
      <c r="K63" s="128" t="str">
        <f t="shared" si="23"/>
        <v>R-ACH_ELC03</v>
      </c>
      <c r="L63" s="128" t="str">
        <f>IF(C63="","",Legend!$C$4&amp;" "&amp;$A63&amp;" technology: "&amp;$C63&amp;" "&amp;F63&amp;" -New")</f>
        <v>RSD Air conditioning technology: Electricity Air conditioning (Adv.) -New</v>
      </c>
      <c r="M63" s="128" t="str">
        <f t="shared" si="21"/>
        <v>RSDELC</v>
      </c>
      <c r="N63" s="128" t="str">
        <f t="shared" si="1"/>
        <v>R-ACH</v>
      </c>
      <c r="O63" s="197">
        <f>SUMIFS('Key Inputs_New Techs'!$F$9:$F$125,'Key Inputs_New Techs'!$B$9:$B$125,'RSD_New Techs'!$K63)</f>
        <v>2030</v>
      </c>
      <c r="P63" s="185">
        <f t="shared" si="22"/>
        <v>31.536000000000001</v>
      </c>
      <c r="Q63" s="197">
        <f>SUMIFS('Key Inputs_New Techs'!$G$9:$G$125,'Key Inputs_New Techs'!$B$9:$B$125,'RSD_New Techs'!$K63)</f>
        <v>14</v>
      </c>
    </row>
    <row r="64" spans="1:24" s="113" customFormat="1" x14ac:dyDescent="0.25">
      <c r="A64" s="245" t="str">
        <f>Legend!$A$51</f>
        <v>Cooking</v>
      </c>
      <c r="B64" s="245" t="str">
        <f>LEFT(Legend!$C$4)&amp;"-"&amp;Legend!$B$51</f>
        <v>R-CK</v>
      </c>
      <c r="C64" s="245" t="str">
        <f>Legend!$A$66</f>
        <v>Electricity</v>
      </c>
      <c r="D64" s="245" t="str">
        <f>Legend!$B$66</f>
        <v>RSDELC</v>
      </c>
      <c r="E64" s="249" t="str">
        <f t="shared" ref="E64:E72" si="24">LEFT(D64,6)</f>
        <v>RSDELC</v>
      </c>
      <c r="F64" s="245" t="s">
        <v>252</v>
      </c>
      <c r="G64" s="250" t="s">
        <v>234</v>
      </c>
      <c r="H64" s="250"/>
      <c r="I64" s="250"/>
      <c r="J64" s="118"/>
      <c r="K64" s="109" t="str">
        <f t="shared" si="19"/>
        <v>R-CK_ELC01</v>
      </c>
      <c r="L64" s="109" t="str">
        <f>IF(C64="","",Legend!$C$4&amp;" "&amp;$A64&amp;" technology: "&amp;$C64&amp;" "&amp;F64&amp;" -New")</f>
        <v>RSD Cooking technology: Electricity Cooking system (Ord.) -New</v>
      </c>
      <c r="M64" s="109" t="str">
        <f t="shared" si="0"/>
        <v>RSDELC</v>
      </c>
      <c r="N64" s="109" t="str">
        <f t="shared" si="1"/>
        <v>R-CK</v>
      </c>
      <c r="O64" s="119">
        <f>SUMIFS('Key Inputs_New Techs'!$F$9:$F$125,'Key Inputs_New Techs'!$B$9:$B$125,'RSD_New Techs'!$K64)</f>
        <v>2020</v>
      </c>
      <c r="P64" s="114">
        <f t="shared" si="22"/>
        <v>31.536000000000001</v>
      </c>
      <c r="Q64" s="119">
        <f>SUMIFS('Key Inputs_New Techs'!$G$9:$G$125,'Key Inputs_New Techs'!$B$9:$B$125,'RSD_New Techs'!$K64)</f>
        <v>12</v>
      </c>
    </row>
    <row r="65" spans="1:44" s="113" customFormat="1" x14ac:dyDescent="0.25">
      <c r="A65" s="245" t="str">
        <f>Legend!$A$51</f>
        <v>Cooking</v>
      </c>
      <c r="B65" s="245" t="str">
        <f>LEFT(Legend!$C$4)&amp;"-"&amp;Legend!$B$51</f>
        <v>R-CK</v>
      </c>
      <c r="C65" s="245" t="str">
        <f>Legend!A$71&amp;","&amp;Legend!A$63</f>
        <v>Natural gas,Biogas</v>
      </c>
      <c r="D65" s="245" t="str">
        <f>Legend!B$71&amp;","&amp;Legend!B$63 &amp;","&amp;Legend!B$76&amp;","&amp;Legend!B$77</f>
        <v>RSDGAS,RSDBGS,RSDH2B,RSDEFUM</v>
      </c>
      <c r="E65" s="249" t="str">
        <f>LEFT(D65,6)</f>
        <v>RSDGAS</v>
      </c>
      <c r="F65" s="245" t="s">
        <v>252</v>
      </c>
      <c r="G65" s="250" t="s">
        <v>234</v>
      </c>
      <c r="H65" s="250"/>
      <c r="I65" s="250"/>
      <c r="J65" s="118"/>
      <c r="K65" s="109" t="str">
        <f t="shared" si="19"/>
        <v>R-CK_GAS01</v>
      </c>
      <c r="L65" s="109" t="str">
        <f>IF(C65="","",Legend!$C$4&amp;" "&amp;$A65&amp;" technology: "&amp;$C65&amp;" "&amp;F65&amp;" -New")</f>
        <v>RSD Cooking technology: Natural gas,Biogas Cooking system (Ord.) -New</v>
      </c>
      <c r="M65" s="109" t="str">
        <f t="shared" si="0"/>
        <v>RSDGAS,RSDBGS,RSDH2B,RSDEFUM</v>
      </c>
      <c r="N65" s="109" t="str">
        <f t="shared" si="1"/>
        <v>R-CK</v>
      </c>
      <c r="O65" s="119">
        <f>SUMIFS('Key Inputs_New Techs'!$F$9:$F$125,'Key Inputs_New Techs'!$B$9:$B$125,'RSD_New Techs'!$K65)</f>
        <v>2020</v>
      </c>
      <c r="P65" s="114">
        <f t="shared" si="2"/>
        <v>31.536000000000001</v>
      </c>
      <c r="Q65" s="119">
        <f>SUMIFS('Key Inputs_New Techs'!$G$9:$G$125,'Key Inputs_New Techs'!$B$9:$B$125,'RSD_New Techs'!$K65)</f>
        <v>12</v>
      </c>
    </row>
    <row r="66" spans="1:44" s="113" customFormat="1" x14ac:dyDescent="0.25">
      <c r="A66" s="245" t="str">
        <f>Legend!$A$51</f>
        <v>Cooking</v>
      </c>
      <c r="B66" s="245" t="str">
        <f>LEFT(Legend!$C$4)&amp;"-"&amp;Legend!$B$51</f>
        <v>R-CK</v>
      </c>
      <c r="C66" s="245" t="str">
        <f>Legend!$A$70</f>
        <v>LPG</v>
      </c>
      <c r="D66" s="245" t="str">
        <f>Legend!$B$70</f>
        <v>RSDLPG</v>
      </c>
      <c r="E66" s="249" t="str">
        <f t="shared" ref="E66:E68" si="25">LEFT(D66,6)</f>
        <v>RSDLPG</v>
      </c>
      <c r="F66" s="245" t="s">
        <v>252</v>
      </c>
      <c r="G66" s="259" t="s">
        <v>234</v>
      </c>
      <c r="H66" s="259"/>
      <c r="I66" s="259"/>
      <c r="J66" s="118"/>
      <c r="K66" s="126" t="str">
        <f t="shared" si="19"/>
        <v>R-CK_LPG01</v>
      </c>
      <c r="L66" s="126" t="str">
        <f>IF(C66="","",Legend!$C$4&amp;" "&amp;$A66&amp;" technology: "&amp;$C66&amp;" "&amp;F66&amp;" -New")</f>
        <v>RSD Cooking technology: LPG Cooking system (Ord.) -New</v>
      </c>
      <c r="M66" s="109" t="str">
        <f t="shared" si="0"/>
        <v>RSDLPG</v>
      </c>
      <c r="N66" s="109" t="str">
        <f t="shared" si="1"/>
        <v>R-CK</v>
      </c>
      <c r="O66" s="119">
        <f>SUMIFS('Key Inputs_New Techs'!$F$9:$F$125,'Key Inputs_New Techs'!$B$9:$B$125,'RSD_New Techs'!$K66)</f>
        <v>2020</v>
      </c>
      <c r="P66" s="114">
        <f t="shared" si="2"/>
        <v>31.536000000000001</v>
      </c>
      <c r="Q66" s="119">
        <f>SUMIFS('Key Inputs_New Techs'!$G$9:$G$125,'Key Inputs_New Techs'!$B$9:$B$125,'RSD_New Techs'!$K66)</f>
        <v>20</v>
      </c>
    </row>
    <row r="67" spans="1:44" s="113" customFormat="1" x14ac:dyDescent="0.25">
      <c r="A67" s="245" t="str">
        <f>Legend!$A$51</f>
        <v>Cooking</v>
      </c>
      <c r="B67" s="245" t="str">
        <f>LEFT(Legend!$C$4)&amp;"-"&amp;Legend!$B$51</f>
        <v>R-CK</v>
      </c>
      <c r="C67" s="245" t="str">
        <f>Legend!A$64</f>
        <v>Biomass</v>
      </c>
      <c r="D67" s="245" t="str">
        <f>Legend!B$64</f>
        <v>RSDBIO</v>
      </c>
      <c r="E67" s="249" t="str">
        <f t="shared" ref="E67" si="26">LEFT(D67,6)</f>
        <v>RSDBIO</v>
      </c>
      <c r="F67" s="245" t="s">
        <v>252</v>
      </c>
      <c r="G67" s="259" t="s">
        <v>234</v>
      </c>
      <c r="H67" s="259"/>
      <c r="I67" s="259"/>
      <c r="J67" s="118"/>
      <c r="K67" s="126" t="str">
        <f t="shared" ref="K67" si="27">IF(C67="","",$B67&amp;"_"&amp;RIGHT(E67,3)&amp;G67)</f>
        <v>R-CK_BIO01</v>
      </c>
      <c r="L67" s="126" t="str">
        <f>IF(C67="","",Legend!$C$4&amp;" "&amp;$A67&amp;" technology: "&amp;$C67&amp;" "&amp;F67&amp;" -New")</f>
        <v>RSD Cooking technology: Biomass Cooking system (Ord.) -New</v>
      </c>
      <c r="M67" s="109" t="str">
        <f t="shared" ref="M67" si="28">IF(D67="","",D67)</f>
        <v>RSDBIO</v>
      </c>
      <c r="N67" s="109" t="str">
        <f t="shared" si="1"/>
        <v>R-CK</v>
      </c>
      <c r="O67" s="119">
        <f>SUMIFS('Key Inputs_New Techs'!$F$9:$F$125,'Key Inputs_New Techs'!$B$9:$B$125,'RSD_New Techs'!$K67)</f>
        <v>2020</v>
      </c>
      <c r="P67" s="114">
        <f t="shared" ref="P67" si="29">IF(A67="","",31.536)</f>
        <v>31.536000000000001</v>
      </c>
      <c r="Q67" s="119">
        <f>SUMIFS('Key Inputs_New Techs'!$G$9:$G$125,'Key Inputs_New Techs'!$B$9:$B$125,'RSD_New Techs'!$K67)</f>
        <v>12</v>
      </c>
    </row>
    <row r="68" spans="1:44" s="113" customFormat="1" x14ac:dyDescent="0.25">
      <c r="A68" s="245" t="str">
        <f>Legend!$A$51</f>
        <v>Cooking</v>
      </c>
      <c r="B68" s="245" t="str">
        <f>LEFT(Legend!$C$4)&amp;"-"&amp;Legend!$B$51</f>
        <v>R-CK</v>
      </c>
      <c r="C68" s="255" t="str">
        <f>Legend!A$65</f>
        <v>Coal</v>
      </c>
      <c r="D68" s="255" t="str">
        <f>Legend!B$65</f>
        <v>RSDCOA</v>
      </c>
      <c r="E68" s="256" t="str">
        <f t="shared" si="25"/>
        <v>RSDCOA</v>
      </c>
      <c r="F68" s="255" t="s">
        <v>252</v>
      </c>
      <c r="G68" s="260" t="s">
        <v>234</v>
      </c>
      <c r="H68" s="259"/>
      <c r="I68" s="259"/>
      <c r="J68" s="118"/>
      <c r="K68" s="126" t="str">
        <f t="shared" si="19"/>
        <v>R-CK_COA01</v>
      </c>
      <c r="L68" s="126" t="str">
        <f>IF(C68="","",Legend!$C$4&amp;" "&amp;$A68&amp;" technology: "&amp;$C68&amp;" "&amp;F68&amp;" -New")</f>
        <v>RSD Cooking technology: Coal Cooking system (Ord.) -New</v>
      </c>
      <c r="M68" s="109" t="str">
        <f t="shared" si="0"/>
        <v>RSDCOA</v>
      </c>
      <c r="N68" s="109" t="str">
        <f t="shared" si="1"/>
        <v>R-CK</v>
      </c>
      <c r="O68" s="197">
        <f>SUMIFS('Key Inputs_New Techs'!$F$9:$F$125,'Key Inputs_New Techs'!$B$9:$B$125,'RSD_New Techs'!$K68)</f>
        <v>2020</v>
      </c>
      <c r="P68" s="185">
        <f t="shared" si="2"/>
        <v>31.536000000000001</v>
      </c>
      <c r="Q68" s="197">
        <f>SUMIFS('Key Inputs_New Techs'!$G$9:$G$125,'Key Inputs_New Techs'!$B$9:$B$125,'RSD_New Techs'!$K68)</f>
        <v>12</v>
      </c>
    </row>
    <row r="69" spans="1:44" s="113" customFormat="1" x14ac:dyDescent="0.25">
      <c r="A69" s="258" t="str">
        <f>Legend!$A$52</f>
        <v>Lighting</v>
      </c>
      <c r="B69" s="258" t="str">
        <f>LEFT(Legend!$C$4)&amp;"-"&amp;Legend!$B$52</f>
        <v>R-LIG</v>
      </c>
      <c r="C69" s="245" t="str">
        <f>Legend!$A$66</f>
        <v>Electricity</v>
      </c>
      <c r="D69" s="245" t="str">
        <f>Legend!$B$66</f>
        <v>RSDELC</v>
      </c>
      <c r="E69" s="249" t="str">
        <f t="shared" si="24"/>
        <v>RSDELC</v>
      </c>
      <c r="F69" s="245" t="s">
        <v>253</v>
      </c>
      <c r="G69" s="250" t="s">
        <v>234</v>
      </c>
      <c r="H69" s="250"/>
      <c r="I69" s="250"/>
      <c r="J69" s="118"/>
      <c r="K69" s="112" t="str">
        <f t="shared" si="19"/>
        <v>R-LIG_ELC01</v>
      </c>
      <c r="L69" s="112" t="str">
        <f>IF(C69="","",Legend!$C$4&amp;" "&amp;$A69&amp;" technology: "&amp;$C69&amp;" "&amp;F69&amp;" -New")</f>
        <v>RSD Lighting technology: Electricity Lighting system (Ord.) -New</v>
      </c>
      <c r="M69" s="112" t="str">
        <f t="shared" si="0"/>
        <v>RSDELC</v>
      </c>
      <c r="N69" s="112" t="str">
        <f t="shared" si="1"/>
        <v>R-LIG</v>
      </c>
      <c r="O69" s="119">
        <f>SUMIFS('Key Inputs_New Techs'!$F$9:$F$125,'Key Inputs_New Techs'!$B$9:$B$125,'RSD_New Techs'!$K69)</f>
        <v>2020</v>
      </c>
      <c r="P69" s="130">
        <f>IF(A69="","",1)</f>
        <v>1</v>
      </c>
      <c r="Q69" s="119">
        <f>SUMIFS('Key Inputs_New Techs'!$G$9:$G$125,'Key Inputs_New Techs'!$B$9:$B$125,'RSD_New Techs'!$K69)</f>
        <v>5.7077625570776256</v>
      </c>
    </row>
    <row r="70" spans="1:44" s="113" customFormat="1" x14ac:dyDescent="0.25">
      <c r="A70" s="245" t="str">
        <f>Legend!$A$52</f>
        <v>Lighting</v>
      </c>
      <c r="B70" s="245" t="str">
        <f>LEFT(Legend!$C$4)&amp;"-"&amp;Legend!$B$52</f>
        <v>R-LIG</v>
      </c>
      <c r="C70" s="245" t="str">
        <f>Legend!$A$66</f>
        <v>Electricity</v>
      </c>
      <c r="D70" s="245" t="str">
        <f>Legend!$B$66</f>
        <v>RSDELC</v>
      </c>
      <c r="E70" s="249" t="str">
        <f t="shared" ref="E70" si="30">LEFT(D70,6)</f>
        <v>RSDELC</v>
      </c>
      <c r="F70" s="261" t="s">
        <v>303</v>
      </c>
      <c r="G70" s="250" t="s">
        <v>236</v>
      </c>
      <c r="H70" s="250"/>
      <c r="I70" s="250"/>
      <c r="J70" s="118"/>
      <c r="K70" s="109" t="str">
        <f t="shared" si="19"/>
        <v>R-LIG_ELC02</v>
      </c>
      <c r="L70" s="109" t="str">
        <f>IF(C70="","",Legend!$C$4&amp;" "&amp;$A70&amp;" technology: "&amp;$C70&amp;" "&amp;F70&amp;" -New")</f>
        <v>RSD Lighting technology: Electricity Lighting system (Imp.) -New</v>
      </c>
      <c r="M70" s="109" t="str">
        <f t="shared" si="0"/>
        <v>RSDELC</v>
      </c>
      <c r="N70" s="109" t="str">
        <f t="shared" si="1"/>
        <v>R-LIG</v>
      </c>
      <c r="O70" s="119">
        <f>SUMIFS('Key Inputs_New Techs'!$F$9:$F$125,'Key Inputs_New Techs'!$B$9:$B$125,'RSD_New Techs'!$K70)</f>
        <v>2025</v>
      </c>
      <c r="P70" s="119">
        <f>IF(A70="","",1)</f>
        <v>1</v>
      </c>
      <c r="Q70" s="119">
        <f>SUMIFS('Key Inputs_New Techs'!$G$9:$G$125,'Key Inputs_New Techs'!$B$9:$B$125,'RSD_New Techs'!$K70)</f>
        <v>5.7077625570776256</v>
      </c>
    </row>
    <row r="71" spans="1:44" s="113" customFormat="1" x14ac:dyDescent="0.25">
      <c r="A71" s="245" t="str">
        <f>Legend!$A$52</f>
        <v>Lighting</v>
      </c>
      <c r="B71" s="255" t="str">
        <f>LEFT(Legend!$C$4)&amp;"-"&amp;Legend!$B$52</f>
        <v>R-LIG</v>
      </c>
      <c r="C71" s="255" t="str">
        <f>Legend!$A$66</f>
        <v>Electricity</v>
      </c>
      <c r="D71" s="255" t="str">
        <f>Legend!$B$66</f>
        <v>RSDELC</v>
      </c>
      <c r="E71" s="256" t="str">
        <f t="shared" ref="E71" si="31">LEFT(D71,6)</f>
        <v>RSDELC</v>
      </c>
      <c r="F71" s="261" t="s">
        <v>305</v>
      </c>
      <c r="G71" s="250" t="s">
        <v>246</v>
      </c>
      <c r="H71" s="250"/>
      <c r="I71" s="250"/>
      <c r="J71" s="118"/>
      <c r="K71" s="109" t="str">
        <f t="shared" si="19"/>
        <v>R-LIG_ELC03</v>
      </c>
      <c r="L71" s="109" t="str">
        <f>IF(C71="","",Legend!$C$4&amp;" "&amp;$A71&amp;" technology: "&amp;$C71&amp;" "&amp;F71&amp;" -New")</f>
        <v>RSD Lighting technology: Electricity Lighting system (Adv.) -New</v>
      </c>
      <c r="M71" s="109" t="str">
        <f t="shared" si="0"/>
        <v>RSDELC</v>
      </c>
      <c r="N71" s="109" t="str">
        <f t="shared" si="1"/>
        <v>R-LIG</v>
      </c>
      <c r="O71" s="197">
        <f>SUMIFS('Key Inputs_New Techs'!$F$9:$F$125,'Key Inputs_New Techs'!$B$9:$B$125,'RSD_New Techs'!$K71)</f>
        <v>2030</v>
      </c>
      <c r="P71" s="119">
        <f>IF(A71="","",1)</f>
        <v>1</v>
      </c>
      <c r="Q71" s="197">
        <f>SUMIFS('Key Inputs_New Techs'!$G$9:$G$125,'Key Inputs_New Techs'!$B$9:$B$125,'RSD_New Techs'!$K71)</f>
        <v>5.7077625570776256</v>
      </c>
    </row>
    <row r="72" spans="1:44" s="113" customFormat="1" x14ac:dyDescent="0.25">
      <c r="A72" s="258" t="str">
        <f>Legend!$A$53</f>
        <v>Electric Appliances</v>
      </c>
      <c r="B72" s="245" t="str">
        <f>LEFT(Legend!$C$4)&amp;"-"&amp;Legend!$B$53</f>
        <v>R-EAP</v>
      </c>
      <c r="C72" s="245" t="str">
        <f>Legend!$A$66</f>
        <v>Electricity</v>
      </c>
      <c r="D72" s="245" t="str">
        <f>Legend!$B$66</f>
        <v>RSDELC</v>
      </c>
      <c r="E72" s="249" t="str">
        <f t="shared" si="24"/>
        <v>RSDELC</v>
      </c>
      <c r="F72" s="262" t="s">
        <v>264</v>
      </c>
      <c r="G72" s="263" t="s">
        <v>234</v>
      </c>
      <c r="H72" s="250"/>
      <c r="I72" s="250"/>
      <c r="J72" s="118"/>
      <c r="K72" s="112" t="str">
        <f t="shared" si="19"/>
        <v>R-EAP_ELC01</v>
      </c>
      <c r="L72" s="112" t="str">
        <f>IF(C72="","",Legend!$C$4&amp;" "&amp;$A72&amp;" technology: "&amp;$C72&amp;" "&amp;F72&amp;" -New")</f>
        <v>RSD Electric Appliances technology: Electricity Appl. (Ord.) -New</v>
      </c>
      <c r="M72" s="112" t="str">
        <f t="shared" si="0"/>
        <v>RSDELC</v>
      </c>
      <c r="N72" s="112" t="str">
        <f t="shared" si="1"/>
        <v>R-EAP</v>
      </c>
      <c r="O72" s="119">
        <f>SUMIFS('Key Inputs_New Techs'!$F$9:$F$125,'Key Inputs_New Techs'!$B$9:$B$125,'RSD_New Techs'!$K72)</f>
        <v>2020</v>
      </c>
      <c r="P72" s="124">
        <f>IF(A72="","",31.536)</f>
        <v>31.536000000000001</v>
      </c>
      <c r="Q72" s="119">
        <f>SUMIFS('Key Inputs_New Techs'!$G$9:$G$125,'Key Inputs_New Techs'!$B$9:$B$125,'RSD_New Techs'!$K72)</f>
        <v>7</v>
      </c>
    </row>
    <row r="73" spans="1:44" s="113" customFormat="1" x14ac:dyDescent="0.25">
      <c r="A73" s="245" t="str">
        <f>Legend!$A$53</f>
        <v>Electric Appliances</v>
      </c>
      <c r="B73" s="245" t="str">
        <f>LEFT(Legend!$C$4)&amp;"-"&amp;Legend!$B$53</f>
        <v>R-EAP</v>
      </c>
      <c r="C73" s="245" t="str">
        <f>Legend!$A$66</f>
        <v>Electricity</v>
      </c>
      <c r="D73" s="245" t="str">
        <f>Legend!$B$66</f>
        <v>RSDELC</v>
      </c>
      <c r="E73" s="249" t="str">
        <f t="shared" ref="E73" si="32">LEFT(D73,6)</f>
        <v>RSDELC</v>
      </c>
      <c r="F73" s="261" t="s">
        <v>306</v>
      </c>
      <c r="G73" s="250" t="s">
        <v>236</v>
      </c>
      <c r="H73" s="250"/>
      <c r="I73" s="250"/>
      <c r="J73" s="118"/>
      <c r="K73" s="109" t="str">
        <f t="shared" si="19"/>
        <v>R-EAP_ELC02</v>
      </c>
      <c r="L73" s="109" t="str">
        <f>IF(C73="","",Legend!$C$4&amp;" "&amp;$A73&amp;" technology: "&amp;$C73&amp;" "&amp;F73&amp;" -New")</f>
        <v>RSD Electric Appliances technology: Electricity Appl. (Imp.) -New</v>
      </c>
      <c r="M73" s="109" t="str">
        <f t="shared" si="0"/>
        <v>RSDELC</v>
      </c>
      <c r="N73" s="109" t="str">
        <f t="shared" si="1"/>
        <v>R-EAP</v>
      </c>
      <c r="O73" s="119">
        <f>SUMIFS('Key Inputs_New Techs'!$F$9:$F$125,'Key Inputs_New Techs'!$B$9:$B$125,'RSD_New Techs'!$K73)</f>
        <v>2025</v>
      </c>
      <c r="P73" s="114">
        <f>IF(A73="","",31.536)</f>
        <v>31.536000000000001</v>
      </c>
      <c r="Q73" s="119">
        <f>SUMIFS('Key Inputs_New Techs'!$G$9:$G$125,'Key Inputs_New Techs'!$B$9:$B$125,'RSD_New Techs'!$K73)</f>
        <v>7</v>
      </c>
      <c r="R73" s="121"/>
      <c r="S73" s="119"/>
      <c r="T73" s="114"/>
      <c r="U73" s="118"/>
      <c r="V73" s="126"/>
      <c r="W73" s="109"/>
      <c r="X73" s="109"/>
      <c r="Y73" s="109"/>
      <c r="Z73" s="109"/>
      <c r="AA73" s="109"/>
      <c r="AB73" s="109"/>
      <c r="AC73" s="109"/>
      <c r="AD73" s="109"/>
      <c r="AE73" s="109"/>
      <c r="AF73" s="114"/>
      <c r="AG73" s="122"/>
      <c r="AH73" s="122"/>
      <c r="AI73" s="109"/>
      <c r="AJ73" s="109"/>
      <c r="AK73" s="109"/>
      <c r="AL73" s="122"/>
    </row>
    <row r="74" spans="1:44" s="113" customFormat="1" x14ac:dyDescent="0.25">
      <c r="A74" s="255" t="str">
        <f>Legend!$A$53</f>
        <v>Electric Appliances</v>
      </c>
      <c r="B74" s="255" t="str">
        <f>LEFT(Legend!$C$4)&amp;"-"&amp;Legend!$B$53</f>
        <v>R-EAP</v>
      </c>
      <c r="C74" s="255" t="str">
        <f>Legend!$A$66</f>
        <v>Electricity</v>
      </c>
      <c r="D74" s="255" t="str">
        <f>Legend!$B$66</f>
        <v>RSDELC</v>
      </c>
      <c r="E74" s="256" t="str">
        <f t="shared" ref="E74" si="33">LEFT(D74,6)</f>
        <v>RSDELC</v>
      </c>
      <c r="F74" s="264" t="s">
        <v>304</v>
      </c>
      <c r="G74" s="257" t="s">
        <v>246</v>
      </c>
      <c r="H74" s="250"/>
      <c r="I74" s="250"/>
      <c r="J74" s="118"/>
      <c r="K74" s="128" t="str">
        <f t="shared" si="19"/>
        <v>R-EAP_ELC03</v>
      </c>
      <c r="L74" s="128" t="str">
        <f>IF(C74="","",Legend!$C$4&amp;" "&amp;$A74&amp;" technology: "&amp;$C74&amp;" "&amp;F74&amp;" -New")</f>
        <v>RSD Electric Appliances technology: Electricity Appl. (Adv.) -New</v>
      </c>
      <c r="M74" s="128" t="str">
        <f t="shared" si="0"/>
        <v>RSDELC</v>
      </c>
      <c r="N74" s="128" t="str">
        <f t="shared" si="1"/>
        <v>R-EAP</v>
      </c>
      <c r="O74" s="197">
        <f>SUMIFS('Key Inputs_New Techs'!$F$9:$F$125,'Key Inputs_New Techs'!$B$9:$B$125,'RSD_New Techs'!$K74)</f>
        <v>2030</v>
      </c>
      <c r="P74" s="185">
        <f>IF(A74="","",31.536)</f>
        <v>31.536000000000001</v>
      </c>
      <c r="Q74" s="197">
        <f>SUMIFS('Key Inputs_New Techs'!$G$9:$G$125,'Key Inputs_New Techs'!$B$9:$B$125,'RSD_New Techs'!$K74)</f>
        <v>7</v>
      </c>
      <c r="R74" s="121"/>
      <c r="S74" s="119"/>
      <c r="T74" s="114"/>
      <c r="U74" s="118"/>
      <c r="V74" s="126"/>
      <c r="W74" s="109"/>
      <c r="X74" s="109"/>
      <c r="Y74" s="109"/>
      <c r="Z74" s="109"/>
      <c r="AA74" s="109"/>
      <c r="AB74" s="109"/>
      <c r="AC74" s="109"/>
      <c r="AD74" s="109"/>
      <c r="AE74" s="109"/>
      <c r="AF74" s="114"/>
      <c r="AG74" s="122"/>
      <c r="AH74" s="122"/>
      <c r="AI74" s="109"/>
      <c r="AJ74" s="109"/>
      <c r="AK74" s="109"/>
      <c r="AL74" s="122"/>
    </row>
    <row r="75" spans="1:44" s="113" customFormat="1" ht="15.75" x14ac:dyDescent="0.25">
      <c r="A75" s="245"/>
      <c r="B75" s="245"/>
      <c r="C75" s="245"/>
      <c r="D75" s="245"/>
      <c r="E75" s="245"/>
      <c r="F75" s="245"/>
      <c r="G75" s="245"/>
      <c r="H75" s="245"/>
      <c r="I75" s="245"/>
      <c r="J75" s="118"/>
      <c r="K75" s="126"/>
      <c r="L75" s="109"/>
      <c r="M75" s="109"/>
      <c r="N75" s="109"/>
      <c r="O75" s="119"/>
      <c r="P75" s="114"/>
      <c r="Q75" s="120"/>
      <c r="R75" s="119"/>
      <c r="S75" s="114"/>
      <c r="T75" s="118"/>
      <c r="U75" s="126"/>
      <c r="V75" s="109"/>
      <c r="W75" s="109"/>
      <c r="X75" s="109"/>
      <c r="Y75" s="109"/>
      <c r="Z75" s="109"/>
      <c r="AA75" s="109"/>
      <c r="AB75" s="109"/>
      <c r="AC75" s="109"/>
      <c r="AD75" s="109"/>
      <c r="AE75" s="114"/>
      <c r="AF75" s="122"/>
      <c r="AG75" s="122"/>
      <c r="AH75" s="109"/>
      <c r="AI75" s="109"/>
      <c r="AJ75" s="109"/>
      <c r="AK75" s="122"/>
    </row>
    <row r="76" spans="1:44" s="113" customFormat="1" ht="15.75" x14ac:dyDescent="0.25">
      <c r="A76" s="245"/>
      <c r="B76" s="245"/>
      <c r="C76" s="245"/>
      <c r="D76" s="245"/>
      <c r="E76" s="245"/>
      <c r="F76" s="245"/>
      <c r="G76" s="245"/>
      <c r="H76" s="245"/>
      <c r="I76" s="245"/>
      <c r="J76" s="118"/>
      <c r="K76" s="115" t="s">
        <v>34</v>
      </c>
      <c r="L76" s="109"/>
      <c r="M76" s="109"/>
      <c r="O76" s="114"/>
      <c r="P76" s="120"/>
      <c r="Q76" s="119"/>
      <c r="R76" s="114"/>
      <c r="S76" s="118"/>
      <c r="T76" s="126"/>
      <c r="U76" s="109"/>
      <c r="V76" s="109"/>
      <c r="W76" s="109"/>
      <c r="X76" s="109"/>
      <c r="Y76" s="109"/>
      <c r="Z76" s="109"/>
      <c r="AA76" s="109"/>
      <c r="AB76" s="109"/>
      <c r="AC76" s="109"/>
      <c r="AD76" s="114"/>
      <c r="AE76" s="122"/>
      <c r="AF76" s="122"/>
      <c r="AG76" s="109"/>
      <c r="AH76" s="109"/>
      <c r="AI76" s="109"/>
      <c r="AJ76" s="122"/>
    </row>
    <row r="77" spans="1:44" ht="38.450000000000003" customHeight="1" thickBot="1" x14ac:dyDescent="0.3">
      <c r="A77" s="550"/>
      <c r="B77" s="550"/>
      <c r="C77" s="550"/>
      <c r="D77" s="550"/>
      <c r="E77" s="550"/>
      <c r="F77" s="265"/>
      <c r="G77" s="265"/>
      <c r="H77" s="265"/>
      <c r="I77" s="265"/>
      <c r="K77" s="77" t="s">
        <v>35</v>
      </c>
      <c r="L77" s="77" t="s">
        <v>192</v>
      </c>
      <c r="M77" s="77" t="s">
        <v>188</v>
      </c>
      <c r="N77" s="77" t="s">
        <v>113</v>
      </c>
      <c r="O77" s="77" t="s">
        <v>40</v>
      </c>
      <c r="P77" s="77" t="s">
        <v>195</v>
      </c>
      <c r="Q77" s="77" t="s">
        <v>314</v>
      </c>
      <c r="R77" s="77" t="s">
        <v>315</v>
      </c>
      <c r="S77" s="77" t="s">
        <v>317</v>
      </c>
      <c r="T77" s="77" t="s">
        <v>316</v>
      </c>
      <c r="U77" s="77" t="s">
        <v>318</v>
      </c>
      <c r="V77" s="77" t="s">
        <v>319</v>
      </c>
      <c r="W77" s="77" t="s">
        <v>320</v>
      </c>
      <c r="X77" s="77" t="s">
        <v>321</v>
      </c>
      <c r="Y77" s="77" t="s">
        <v>1</v>
      </c>
      <c r="Z77" s="77" t="s">
        <v>2</v>
      </c>
      <c r="AA77" s="77" t="s">
        <v>416</v>
      </c>
      <c r="AB77" s="77" t="s">
        <v>3</v>
      </c>
      <c r="AC77" s="77" t="s">
        <v>322</v>
      </c>
      <c r="AD77" s="77" t="s">
        <v>323</v>
      </c>
      <c r="AE77" s="77" t="s">
        <v>324</v>
      </c>
      <c r="AF77" s="77" t="s">
        <v>417</v>
      </c>
      <c r="AG77" s="77" t="s">
        <v>325</v>
      </c>
      <c r="AH77" s="77" t="s">
        <v>4</v>
      </c>
      <c r="AI77" s="77" t="s">
        <v>5</v>
      </c>
      <c r="AJ77" s="77" t="s">
        <v>6</v>
      </c>
      <c r="AK77" s="77" t="s">
        <v>7</v>
      </c>
      <c r="AL77" s="77" t="s">
        <v>418</v>
      </c>
      <c r="AM77" s="77" t="s">
        <v>8</v>
      </c>
      <c r="AN77" s="77" t="s">
        <v>9</v>
      </c>
      <c r="AO77" s="77" t="s">
        <v>419</v>
      </c>
      <c r="AP77" s="77" t="s">
        <v>10</v>
      </c>
      <c r="AQ77" s="77" t="s">
        <v>420</v>
      </c>
      <c r="AR77" s="77" t="s">
        <v>11</v>
      </c>
    </row>
    <row r="78" spans="1:44" ht="38.25" x14ac:dyDescent="0.25">
      <c r="A78" s="266"/>
      <c r="B78" s="266"/>
      <c r="C78" s="266"/>
      <c r="D78" s="266"/>
      <c r="E78" s="266"/>
      <c r="F78" s="266"/>
      <c r="G78" s="266"/>
      <c r="H78" s="266"/>
      <c r="I78" s="266"/>
      <c r="K78" s="2" t="s">
        <v>196</v>
      </c>
      <c r="L78" s="2" t="s">
        <v>27</v>
      </c>
      <c r="M78" s="2" t="s">
        <v>197</v>
      </c>
      <c r="N78" s="2"/>
      <c r="O78" s="6"/>
      <c r="P78" s="6" t="s">
        <v>46</v>
      </c>
      <c r="Q78" s="2" t="s">
        <v>327</v>
      </c>
      <c r="R78" s="2" t="s">
        <v>328</v>
      </c>
      <c r="S78" s="2" t="s">
        <v>330</v>
      </c>
      <c r="T78" s="2" t="s">
        <v>329</v>
      </c>
      <c r="U78" s="2" t="s">
        <v>331</v>
      </c>
      <c r="V78" s="2" t="s">
        <v>332</v>
      </c>
      <c r="W78" s="2" t="s">
        <v>333</v>
      </c>
      <c r="X78" s="2" t="s">
        <v>334</v>
      </c>
      <c r="Y78" s="2" t="s">
        <v>87</v>
      </c>
      <c r="Z78" s="2" t="s">
        <v>88</v>
      </c>
      <c r="AA78" s="2" t="s">
        <v>425</v>
      </c>
      <c r="AB78" s="2" t="s">
        <v>426</v>
      </c>
      <c r="AC78" s="2" t="s">
        <v>335</v>
      </c>
      <c r="AD78" s="2" t="s">
        <v>336</v>
      </c>
      <c r="AE78" s="2" t="s">
        <v>337</v>
      </c>
      <c r="AF78" s="2" t="s">
        <v>427</v>
      </c>
      <c r="AG78" s="2" t="s">
        <v>338</v>
      </c>
      <c r="AH78" s="2" t="s">
        <v>428</v>
      </c>
      <c r="AI78" s="2" t="s">
        <v>89</v>
      </c>
      <c r="AJ78" s="2" t="s">
        <v>90</v>
      </c>
      <c r="AK78" s="2" t="s">
        <v>91</v>
      </c>
      <c r="AL78" s="2" t="s">
        <v>429</v>
      </c>
      <c r="AM78" s="2" t="s">
        <v>430</v>
      </c>
      <c r="AN78" s="2" t="s">
        <v>92</v>
      </c>
      <c r="AO78" s="2" t="s">
        <v>431</v>
      </c>
      <c r="AP78" s="2" t="s">
        <v>432</v>
      </c>
      <c r="AQ78" s="2" t="s">
        <v>587</v>
      </c>
      <c r="AR78" s="2" t="s">
        <v>339</v>
      </c>
    </row>
    <row r="79" spans="1:44" x14ac:dyDescent="0.25">
      <c r="A79" s="266"/>
      <c r="B79" s="266"/>
      <c r="C79" s="266"/>
      <c r="D79" s="266"/>
      <c r="E79" s="266"/>
      <c r="F79" s="266"/>
      <c r="G79" s="266"/>
      <c r="H79" s="266"/>
      <c r="I79" s="266"/>
      <c r="K79" s="270" t="s">
        <v>258</v>
      </c>
      <c r="L79" s="271"/>
      <c r="M79" s="271"/>
      <c r="N79" s="271"/>
      <c r="O79" s="272"/>
      <c r="P79" s="272"/>
      <c r="Q79" s="272"/>
      <c r="R79" s="272"/>
      <c r="S79" s="272"/>
      <c r="T79" s="272"/>
      <c r="U79" s="272"/>
      <c r="V79" s="272"/>
      <c r="W79" s="272"/>
      <c r="X79" s="272"/>
      <c r="Y79" s="272"/>
      <c r="Z79" s="272"/>
      <c r="AA79" s="272"/>
      <c r="AB79" s="272"/>
      <c r="AC79" s="272"/>
      <c r="AD79" s="272"/>
      <c r="AE79" s="272"/>
      <c r="AF79" s="272"/>
      <c r="AG79" s="272"/>
      <c r="AH79" s="272"/>
      <c r="AI79" s="272"/>
      <c r="AJ79" s="272"/>
      <c r="AK79" s="272"/>
      <c r="AL79" s="272"/>
      <c r="AM79" s="272"/>
      <c r="AN79" s="272"/>
      <c r="AO79" s="272"/>
      <c r="AP79" s="272"/>
      <c r="AQ79" s="272"/>
      <c r="AR79" s="272"/>
    </row>
    <row r="80" spans="1:44" ht="15.75" x14ac:dyDescent="0.25">
      <c r="E80" s="249"/>
      <c r="G80" s="250"/>
      <c r="H80" s="250"/>
      <c r="I80" s="250"/>
      <c r="J80" s="118"/>
      <c r="K80" s="201" t="str">
        <f>IF('Key Inputs_New Techs'!B9="","",'Key Inputs_New Techs'!B9)</f>
        <v>R-THL-STV_BIO01</v>
      </c>
      <c r="L80" s="109" t="str">
        <f>IFERROR(VLOOKUP(K80,'Commodities &amp; Processes'!L:M,2,FALSE),"")</f>
        <v>RSD Thermal uses technology: Biomass Wood Stove (Ord.) -New</v>
      </c>
      <c r="N80" s="109">
        <f>'Key Inputs_New Techs'!H9</f>
        <v>2020</v>
      </c>
      <c r="O80" s="114" t="s">
        <v>37</v>
      </c>
      <c r="P80" s="120" t="s">
        <v>174</v>
      </c>
      <c r="Q80" s="273">
        <f>'Key Inputs_New Techs'!K9</f>
        <v>0.72</v>
      </c>
      <c r="R80" s="273">
        <f>'Key Inputs_New Techs'!L9</f>
        <v>0.72</v>
      </c>
      <c r="S80" s="273">
        <f>'Key Inputs_New Techs'!M9</f>
        <v>0.72</v>
      </c>
      <c r="T80" s="273">
        <f>'Key Inputs_New Techs'!N9</f>
        <v>0.72</v>
      </c>
      <c r="U80" s="273">
        <f>'Key Inputs_New Techs'!O9</f>
        <v>0.72</v>
      </c>
      <c r="V80" s="273">
        <f>'Key Inputs_New Techs'!P9</f>
        <v>0.72</v>
      </c>
      <c r="W80" s="273">
        <f>'Key Inputs_New Techs'!Q9</f>
        <v>0.72</v>
      </c>
      <c r="X80" s="273">
        <f>'Key Inputs_New Techs'!R9</f>
        <v>0.72</v>
      </c>
      <c r="Y80" s="273">
        <f>'Key Inputs_New Techs'!S9</f>
        <v>0.72</v>
      </c>
      <c r="Z80" s="273">
        <f>'Key Inputs_New Techs'!T9</f>
        <v>0.72</v>
      </c>
      <c r="AA80" s="273">
        <f>'Key Inputs_New Techs'!U9</f>
        <v>0.72</v>
      </c>
      <c r="AB80" s="273">
        <f>'Key Inputs_New Techs'!V9</f>
        <v>0.72</v>
      </c>
      <c r="AC80" s="273">
        <f>'Key Inputs_New Techs'!W9</f>
        <v>0.72</v>
      </c>
      <c r="AD80" s="273">
        <f>'Key Inputs_New Techs'!X9</f>
        <v>0.72</v>
      </c>
      <c r="AE80" s="273">
        <f>'Key Inputs_New Techs'!Y9</f>
        <v>0.72</v>
      </c>
      <c r="AF80" s="273">
        <f>'Key Inputs_New Techs'!Z9</f>
        <v>0.72</v>
      </c>
      <c r="AG80" s="273">
        <f>'Key Inputs_New Techs'!AA9</f>
        <v>0.72</v>
      </c>
      <c r="AH80" s="273">
        <f>'Key Inputs_New Techs'!AB9</f>
        <v>0.72</v>
      </c>
      <c r="AI80" s="273">
        <f>'Key Inputs_New Techs'!AC9</f>
        <v>0.72</v>
      </c>
      <c r="AJ80" s="273">
        <f>'Key Inputs_New Techs'!AD9</f>
        <v>0.72</v>
      </c>
      <c r="AK80" s="273">
        <f>'Key Inputs_New Techs'!AE9</f>
        <v>0.72</v>
      </c>
      <c r="AL80" s="273">
        <f>'Key Inputs_New Techs'!AF9</f>
        <v>0.72</v>
      </c>
      <c r="AM80" s="273">
        <f>'Key Inputs_New Techs'!AG9</f>
        <v>0.72</v>
      </c>
      <c r="AN80" s="273">
        <f>'Key Inputs_New Techs'!AH9</f>
        <v>0.72</v>
      </c>
      <c r="AO80" s="273">
        <f>'Key Inputs_New Techs'!AI9</f>
        <v>0.72</v>
      </c>
      <c r="AP80" s="273">
        <f>'Key Inputs_New Techs'!AJ9</f>
        <v>0.72</v>
      </c>
      <c r="AQ80" s="273">
        <f>'Key Inputs_New Techs'!AK9</f>
        <v>0.72</v>
      </c>
      <c r="AR80" s="273">
        <f>'Key Inputs_New Techs'!AL9</f>
        <v>0.72</v>
      </c>
    </row>
    <row r="81" spans="1:45" ht="15.75" x14ac:dyDescent="0.25">
      <c r="E81" s="249"/>
      <c r="G81" s="250"/>
      <c r="H81" s="250"/>
      <c r="I81" s="250"/>
      <c r="J81" s="118"/>
      <c r="K81" s="201" t="str">
        <f>IF('Key Inputs_New Techs'!B10="","",'Key Inputs_New Techs'!B10)</f>
        <v>R-THL-STV_BIO02</v>
      </c>
      <c r="L81" s="109" t="str">
        <f>IFERROR(VLOOKUP(K$81,'Commodities &amp; Processes'!L:M,2,FALSE),"")</f>
        <v>RSD Thermal uses technology: Biomass Wood Stove (Imp.) -New</v>
      </c>
      <c r="N81" s="109">
        <f>'Key Inputs_New Techs'!H10</f>
        <v>2025</v>
      </c>
      <c r="O81" s="114" t="s">
        <v>37</v>
      </c>
      <c r="P81" s="120" t="s">
        <v>174</v>
      </c>
      <c r="Q81" s="273">
        <f>'Key Inputs_New Techs'!K10</f>
        <v>0.72</v>
      </c>
      <c r="R81" s="273">
        <f>'Key Inputs_New Techs'!L10</f>
        <v>0.72</v>
      </c>
      <c r="S81" s="273">
        <f>'Key Inputs_New Techs'!M10</f>
        <v>0.72</v>
      </c>
      <c r="T81" s="273">
        <f>'Key Inputs_New Techs'!N10</f>
        <v>0.72</v>
      </c>
      <c r="U81" s="273">
        <f>'Key Inputs_New Techs'!O10</f>
        <v>0.72</v>
      </c>
      <c r="V81" s="273">
        <f>'Key Inputs_New Techs'!P10</f>
        <v>0.72</v>
      </c>
      <c r="W81" s="273">
        <f>'Key Inputs_New Techs'!Q10</f>
        <v>0.72</v>
      </c>
      <c r="X81" s="273">
        <f>'Key Inputs_New Techs'!R10</f>
        <v>0.72</v>
      </c>
      <c r="Y81" s="273">
        <f>'Key Inputs_New Techs'!S10</f>
        <v>0.72</v>
      </c>
      <c r="Z81" s="273">
        <f>'Key Inputs_New Techs'!T10</f>
        <v>0.72</v>
      </c>
      <c r="AA81" s="273">
        <f>'Key Inputs_New Techs'!U10</f>
        <v>0.72</v>
      </c>
      <c r="AB81" s="273">
        <f>'Key Inputs_New Techs'!V10</f>
        <v>0.72</v>
      </c>
      <c r="AC81" s="273">
        <f>'Key Inputs_New Techs'!W10</f>
        <v>0.72</v>
      </c>
      <c r="AD81" s="273">
        <f>'Key Inputs_New Techs'!X10</f>
        <v>0.72</v>
      </c>
      <c r="AE81" s="273">
        <f>'Key Inputs_New Techs'!Y10</f>
        <v>0.72</v>
      </c>
      <c r="AF81" s="273">
        <f>'Key Inputs_New Techs'!Z10</f>
        <v>0.72</v>
      </c>
      <c r="AG81" s="273">
        <f>'Key Inputs_New Techs'!AA10</f>
        <v>0.72</v>
      </c>
      <c r="AH81" s="273">
        <f>'Key Inputs_New Techs'!AB10</f>
        <v>0.72</v>
      </c>
      <c r="AI81" s="273">
        <f>'Key Inputs_New Techs'!AC10</f>
        <v>0.72</v>
      </c>
      <c r="AJ81" s="273">
        <f>'Key Inputs_New Techs'!AD10</f>
        <v>0.72</v>
      </c>
      <c r="AK81" s="273">
        <f>'Key Inputs_New Techs'!AE10</f>
        <v>0.72</v>
      </c>
      <c r="AL81" s="273">
        <f>'Key Inputs_New Techs'!AF10</f>
        <v>0.72</v>
      </c>
      <c r="AM81" s="273">
        <f>'Key Inputs_New Techs'!AG10</f>
        <v>0.72</v>
      </c>
      <c r="AN81" s="273">
        <f>'Key Inputs_New Techs'!AH10</f>
        <v>0.72</v>
      </c>
      <c r="AO81" s="273">
        <f>'Key Inputs_New Techs'!AI10</f>
        <v>0.72</v>
      </c>
      <c r="AP81" s="273">
        <f>'Key Inputs_New Techs'!AJ10</f>
        <v>0.72</v>
      </c>
      <c r="AQ81" s="273">
        <f>'Key Inputs_New Techs'!AK10</f>
        <v>0.72</v>
      </c>
      <c r="AR81" s="273">
        <f>'Key Inputs_New Techs'!AL10</f>
        <v>0.72</v>
      </c>
    </row>
    <row r="82" spans="1:45" ht="15.75" x14ac:dyDescent="0.25">
      <c r="E82" s="249"/>
      <c r="G82" s="250"/>
      <c r="H82" s="250"/>
      <c r="I82" s="250"/>
      <c r="J82" s="118"/>
      <c r="K82" s="201" t="str">
        <f>IF('Key Inputs_New Techs'!B11="","",'Key Inputs_New Techs'!B11)</f>
        <v/>
      </c>
      <c r="L82" s="109" t="str">
        <f>IFERROR(VLOOKUP(K$81,'Commodities &amp; Processes'!L:M,2,FALSE),"")</f>
        <v>RSD Thermal uses technology: Biomass Wood Stove (Imp.) -New</v>
      </c>
      <c r="N82" s="109">
        <f>'Key Inputs_New Techs'!H11</f>
        <v>2030</v>
      </c>
      <c r="O82" s="114" t="s">
        <v>37</v>
      </c>
      <c r="P82" s="120" t="s">
        <v>174</v>
      </c>
      <c r="Q82" s="273">
        <f>'Key Inputs_New Techs'!K11</f>
        <v>0.77208496722682796</v>
      </c>
      <c r="R82" s="273">
        <f>'Key Inputs_New Techs'!L11</f>
        <v>0.77208496722682796</v>
      </c>
      <c r="S82" s="273">
        <f>'Key Inputs_New Techs'!M11</f>
        <v>0.77208496722682796</v>
      </c>
      <c r="T82" s="273">
        <f>'Key Inputs_New Techs'!N11</f>
        <v>0.77208496722682796</v>
      </c>
      <c r="U82" s="273">
        <f>'Key Inputs_New Techs'!O11</f>
        <v>0.77208496722682796</v>
      </c>
      <c r="V82" s="273">
        <f>'Key Inputs_New Techs'!P11</f>
        <v>0.77208496722682796</v>
      </c>
      <c r="W82" s="273">
        <f>'Key Inputs_New Techs'!Q11</f>
        <v>0.77208496722682796</v>
      </c>
      <c r="X82" s="273">
        <f>'Key Inputs_New Techs'!R11</f>
        <v>0.77208496722682796</v>
      </c>
      <c r="Y82" s="273">
        <f>'Key Inputs_New Techs'!S11</f>
        <v>0.77208496722682796</v>
      </c>
      <c r="Z82" s="273">
        <f>'Key Inputs_New Techs'!T11</f>
        <v>0.77208496722682796</v>
      </c>
      <c r="AA82" s="273">
        <f>'Key Inputs_New Techs'!U11</f>
        <v>0.77208496722682796</v>
      </c>
      <c r="AB82" s="273">
        <f>'Key Inputs_New Techs'!V11</f>
        <v>0.77208496722682796</v>
      </c>
      <c r="AC82" s="273">
        <f>'Key Inputs_New Techs'!W11</f>
        <v>0.77208496722682796</v>
      </c>
      <c r="AD82" s="273">
        <f>'Key Inputs_New Techs'!X11</f>
        <v>0.77208496722682796</v>
      </c>
      <c r="AE82" s="273">
        <f>'Key Inputs_New Techs'!Y11</f>
        <v>0.77208496722682796</v>
      </c>
      <c r="AF82" s="273">
        <f>'Key Inputs_New Techs'!Z11</f>
        <v>0.77208496722682796</v>
      </c>
      <c r="AG82" s="273">
        <f>'Key Inputs_New Techs'!AA11</f>
        <v>0.77208496722682796</v>
      </c>
      <c r="AH82" s="273">
        <f>'Key Inputs_New Techs'!AB11</f>
        <v>0.77208496722682796</v>
      </c>
      <c r="AI82" s="273">
        <f>'Key Inputs_New Techs'!AC11</f>
        <v>0.77208496722682796</v>
      </c>
      <c r="AJ82" s="273">
        <f>'Key Inputs_New Techs'!AD11</f>
        <v>0.77208496722682796</v>
      </c>
      <c r="AK82" s="273">
        <f>'Key Inputs_New Techs'!AE11</f>
        <v>0.77208496722682796</v>
      </c>
      <c r="AL82" s="273">
        <f>'Key Inputs_New Techs'!AF11</f>
        <v>0.77208496722682796</v>
      </c>
      <c r="AM82" s="273">
        <f>'Key Inputs_New Techs'!AG11</f>
        <v>0.77208496722682796</v>
      </c>
      <c r="AN82" s="273">
        <f>'Key Inputs_New Techs'!AH11</f>
        <v>0.77208496722682796</v>
      </c>
      <c r="AO82" s="273">
        <f>'Key Inputs_New Techs'!AI11</f>
        <v>0.77208496722682796</v>
      </c>
      <c r="AP82" s="273">
        <f>'Key Inputs_New Techs'!AJ11</f>
        <v>0.77208496722682796</v>
      </c>
      <c r="AQ82" s="273">
        <f>'Key Inputs_New Techs'!AK11</f>
        <v>0.77208496722682796</v>
      </c>
      <c r="AR82" s="273">
        <f>'Key Inputs_New Techs'!AL11</f>
        <v>0.77208496722682796</v>
      </c>
    </row>
    <row r="83" spans="1:45" ht="15.75" x14ac:dyDescent="0.25">
      <c r="E83" s="249"/>
      <c r="G83" s="250"/>
      <c r="H83" s="250"/>
      <c r="I83" s="250"/>
      <c r="J83" s="118"/>
      <c r="K83" s="201" t="str">
        <f>IF('Key Inputs_New Techs'!B12="","",'Key Inputs_New Techs'!B12)</f>
        <v>R-THL-STV_BIO03</v>
      </c>
      <c r="L83" s="109" t="str">
        <f>IFERROR(VLOOKUP(K$83,'Commodities &amp; Processes'!L:M,2,FALSE),"")</f>
        <v>RSD Thermal uses technology: Biomass Wood Stove (Adv.)) -New</v>
      </c>
      <c r="N83" s="109">
        <f>'Key Inputs_New Techs'!H12</f>
        <v>2030</v>
      </c>
      <c r="O83" s="114" t="s">
        <v>37</v>
      </c>
      <c r="P83" s="120" t="s">
        <v>174</v>
      </c>
      <c r="Q83" s="273">
        <f>'Key Inputs_New Techs'!K12</f>
        <v>0.79301947715886789</v>
      </c>
      <c r="R83" s="273">
        <f>'Key Inputs_New Techs'!L12</f>
        <v>0.79301947715886789</v>
      </c>
      <c r="S83" s="273">
        <f>'Key Inputs_New Techs'!M12</f>
        <v>0.79301947715886789</v>
      </c>
      <c r="T83" s="273">
        <f>'Key Inputs_New Techs'!N12</f>
        <v>0.79301947715886789</v>
      </c>
      <c r="U83" s="273">
        <f>'Key Inputs_New Techs'!O12</f>
        <v>0.79301947715886789</v>
      </c>
      <c r="V83" s="273">
        <f>'Key Inputs_New Techs'!P12</f>
        <v>0.79301947715886789</v>
      </c>
      <c r="W83" s="273">
        <f>'Key Inputs_New Techs'!Q12</f>
        <v>0.79301947715886789</v>
      </c>
      <c r="X83" s="273">
        <f>'Key Inputs_New Techs'!R12</f>
        <v>0.79301947715886789</v>
      </c>
      <c r="Y83" s="273">
        <f>'Key Inputs_New Techs'!S12</f>
        <v>0.79301947715886789</v>
      </c>
      <c r="Z83" s="273">
        <f>'Key Inputs_New Techs'!T12</f>
        <v>0.79301947715886789</v>
      </c>
      <c r="AA83" s="273">
        <f>'Key Inputs_New Techs'!U12</f>
        <v>0.79301947715886789</v>
      </c>
      <c r="AB83" s="273">
        <f>'Key Inputs_New Techs'!V12</f>
        <v>0.79301947715886789</v>
      </c>
      <c r="AC83" s="273">
        <f>'Key Inputs_New Techs'!W12</f>
        <v>0.79301947715886789</v>
      </c>
      <c r="AD83" s="273">
        <f>'Key Inputs_New Techs'!X12</f>
        <v>0.79301947715886789</v>
      </c>
      <c r="AE83" s="273">
        <f>'Key Inputs_New Techs'!Y12</f>
        <v>0.79301947715886789</v>
      </c>
      <c r="AF83" s="273">
        <f>'Key Inputs_New Techs'!Z12</f>
        <v>0.79301947715886789</v>
      </c>
      <c r="AG83" s="273">
        <f>'Key Inputs_New Techs'!AA12</f>
        <v>0.79301947715886789</v>
      </c>
      <c r="AH83" s="273">
        <f>'Key Inputs_New Techs'!AB12</f>
        <v>0.79301947715886789</v>
      </c>
      <c r="AI83" s="273">
        <f>'Key Inputs_New Techs'!AC12</f>
        <v>0.79301947715886789</v>
      </c>
      <c r="AJ83" s="273">
        <f>'Key Inputs_New Techs'!AD12</f>
        <v>0.79301947715886789</v>
      </c>
      <c r="AK83" s="273">
        <f>'Key Inputs_New Techs'!AE12</f>
        <v>0.79301947715886789</v>
      </c>
      <c r="AL83" s="273">
        <f>'Key Inputs_New Techs'!AF12</f>
        <v>0.79301947715886789</v>
      </c>
      <c r="AM83" s="273">
        <f>'Key Inputs_New Techs'!AG12</f>
        <v>0.79301947715886789</v>
      </c>
      <c r="AN83" s="273">
        <f>'Key Inputs_New Techs'!AH12</f>
        <v>0.79301947715886789</v>
      </c>
      <c r="AO83" s="273">
        <f>'Key Inputs_New Techs'!AI12</f>
        <v>0.79301947715886789</v>
      </c>
      <c r="AP83" s="273">
        <f>'Key Inputs_New Techs'!AJ12</f>
        <v>0.79301947715886789</v>
      </c>
      <c r="AQ83" s="273">
        <f>'Key Inputs_New Techs'!AK12</f>
        <v>0.79301947715886789</v>
      </c>
      <c r="AR83" s="273">
        <f>'Key Inputs_New Techs'!AL12</f>
        <v>0.79301947715886789</v>
      </c>
    </row>
    <row r="84" spans="1:45" ht="15.75" x14ac:dyDescent="0.25">
      <c r="E84" s="249"/>
      <c r="G84" s="250"/>
      <c r="H84" s="250"/>
      <c r="I84" s="250"/>
      <c r="J84" s="118"/>
      <c r="K84" s="201" t="str">
        <f>IF('Key Inputs_New Techs'!B13="","",'Key Inputs_New Techs'!B13)</f>
        <v/>
      </c>
      <c r="L84" s="109" t="str">
        <f>IFERROR(VLOOKUP(K$83,'Commodities &amp; Processes'!L:M,2,FALSE),"")</f>
        <v>RSD Thermal uses technology: Biomass Wood Stove (Adv.)) -New</v>
      </c>
      <c r="N84" s="109">
        <f>'Key Inputs_New Techs'!H13</f>
        <v>2050</v>
      </c>
      <c r="O84" s="114" t="s">
        <v>37</v>
      </c>
      <c r="P84" s="120" t="s">
        <v>174</v>
      </c>
      <c r="Q84" s="273">
        <f>'Key Inputs_New Techs'!K13</f>
        <v>0.81000000000000016</v>
      </c>
      <c r="R84" s="273">
        <f>'Key Inputs_New Techs'!L13</f>
        <v>0.81000000000000016</v>
      </c>
      <c r="S84" s="273">
        <f>'Key Inputs_New Techs'!M13</f>
        <v>0.81000000000000016</v>
      </c>
      <c r="T84" s="273">
        <f>'Key Inputs_New Techs'!N13</f>
        <v>0.81000000000000016</v>
      </c>
      <c r="U84" s="273">
        <f>'Key Inputs_New Techs'!O13</f>
        <v>0.81000000000000016</v>
      </c>
      <c r="V84" s="273">
        <f>'Key Inputs_New Techs'!P13</f>
        <v>0.81000000000000016</v>
      </c>
      <c r="W84" s="273">
        <f>'Key Inputs_New Techs'!Q13</f>
        <v>0.81000000000000016</v>
      </c>
      <c r="X84" s="273">
        <f>'Key Inputs_New Techs'!R13</f>
        <v>0.81000000000000016</v>
      </c>
      <c r="Y84" s="273">
        <f>'Key Inputs_New Techs'!S13</f>
        <v>0.81000000000000016</v>
      </c>
      <c r="Z84" s="273">
        <f>'Key Inputs_New Techs'!T13</f>
        <v>0.81000000000000016</v>
      </c>
      <c r="AA84" s="273">
        <f>'Key Inputs_New Techs'!U13</f>
        <v>0.81000000000000016</v>
      </c>
      <c r="AB84" s="273">
        <f>'Key Inputs_New Techs'!V13</f>
        <v>0.81000000000000016</v>
      </c>
      <c r="AC84" s="273">
        <f>'Key Inputs_New Techs'!W13</f>
        <v>0.81000000000000016</v>
      </c>
      <c r="AD84" s="273">
        <f>'Key Inputs_New Techs'!X13</f>
        <v>0.81000000000000016</v>
      </c>
      <c r="AE84" s="273">
        <f>'Key Inputs_New Techs'!Y13</f>
        <v>0.81000000000000016</v>
      </c>
      <c r="AF84" s="273">
        <f>'Key Inputs_New Techs'!Z13</f>
        <v>0.81000000000000016</v>
      </c>
      <c r="AG84" s="273">
        <f>'Key Inputs_New Techs'!AA13</f>
        <v>0.81000000000000016</v>
      </c>
      <c r="AH84" s="273">
        <f>'Key Inputs_New Techs'!AB13</f>
        <v>0.81000000000000016</v>
      </c>
      <c r="AI84" s="273">
        <f>'Key Inputs_New Techs'!AC13</f>
        <v>0.81000000000000016</v>
      </c>
      <c r="AJ84" s="273">
        <f>'Key Inputs_New Techs'!AD13</f>
        <v>0.81000000000000016</v>
      </c>
      <c r="AK84" s="273">
        <f>'Key Inputs_New Techs'!AE13</f>
        <v>0.81000000000000016</v>
      </c>
      <c r="AL84" s="273">
        <f>'Key Inputs_New Techs'!AF13</f>
        <v>0.81000000000000016</v>
      </c>
      <c r="AM84" s="273">
        <f>'Key Inputs_New Techs'!AG13</f>
        <v>0.81000000000000016</v>
      </c>
      <c r="AN84" s="273">
        <f>'Key Inputs_New Techs'!AH13</f>
        <v>0.81000000000000016</v>
      </c>
      <c r="AO84" s="273">
        <f>'Key Inputs_New Techs'!AI13</f>
        <v>0.81000000000000016</v>
      </c>
      <c r="AP84" s="273">
        <f>'Key Inputs_New Techs'!AJ13</f>
        <v>0.81000000000000016</v>
      </c>
      <c r="AQ84" s="273">
        <f>'Key Inputs_New Techs'!AK13</f>
        <v>0.81000000000000016</v>
      </c>
      <c r="AR84" s="273">
        <f>'Key Inputs_New Techs'!AL13</f>
        <v>0.81000000000000016</v>
      </c>
    </row>
    <row r="85" spans="1:45" ht="15.75" x14ac:dyDescent="0.25">
      <c r="E85" s="249"/>
      <c r="G85" s="250"/>
      <c r="H85" s="250"/>
      <c r="I85" s="250"/>
      <c r="J85" s="118"/>
      <c r="K85" s="201" t="str">
        <f>IF('Key Inputs_New Techs'!B14="","",'Key Inputs_New Techs'!B14)</f>
        <v>R-THL-HPA_ELC01</v>
      </c>
      <c r="L85" s="109" t="str">
        <f>IFERROR(VLOOKUP(K85,'Commodities &amp; Processes'!L:M,2,FALSE),"")</f>
        <v>RSD Thermal uses technology: Electricity Heat Pump Air (Ord.) -New</v>
      </c>
      <c r="N85" s="109">
        <f>'Key Inputs_New Techs'!H14</f>
        <v>2020</v>
      </c>
      <c r="O85" s="114" t="s">
        <v>37</v>
      </c>
      <c r="P85" s="120" t="s">
        <v>174</v>
      </c>
      <c r="Q85" s="273">
        <f>'Key Inputs_New Techs'!K14</f>
        <v>2.6656</v>
      </c>
      <c r="R85" s="273">
        <f>'Key Inputs_New Techs'!L14</f>
        <v>2.6656</v>
      </c>
      <c r="S85" s="273">
        <f>'Key Inputs_New Techs'!M14</f>
        <v>2.6656</v>
      </c>
      <c r="T85" s="273">
        <f>'Key Inputs_New Techs'!N14</f>
        <v>2.6656</v>
      </c>
      <c r="U85" s="273">
        <f>'Key Inputs_New Techs'!O14</f>
        <v>2.38</v>
      </c>
      <c r="V85" s="273">
        <f>'Key Inputs_New Techs'!P14</f>
        <v>1.9753999999999998</v>
      </c>
      <c r="W85" s="273">
        <f>'Key Inputs_New Techs'!Q14</f>
        <v>1.9753999999999998</v>
      </c>
      <c r="X85" s="273">
        <f>'Key Inputs_New Techs'!R14</f>
        <v>2.38</v>
      </c>
      <c r="Y85" s="273">
        <f>'Key Inputs_New Techs'!S14</f>
        <v>2.6656</v>
      </c>
      <c r="Z85" s="273">
        <f>'Key Inputs_New Techs'!T14</f>
        <v>2.38</v>
      </c>
      <c r="AA85" s="273">
        <f>'Key Inputs_New Techs'!U14</f>
        <v>2.6656</v>
      </c>
      <c r="AB85" s="273">
        <f>'Key Inputs_New Techs'!V14</f>
        <v>1.9753999999999998</v>
      </c>
      <c r="AC85" s="273">
        <f>'Key Inputs_New Techs'!W14</f>
        <v>2.6656</v>
      </c>
      <c r="AD85" s="273">
        <f>'Key Inputs_New Techs'!X14</f>
        <v>2.6656</v>
      </c>
      <c r="AE85" s="273">
        <f>'Key Inputs_New Techs'!Y14</f>
        <v>2.6656</v>
      </c>
      <c r="AF85" s="273">
        <f>'Key Inputs_New Techs'!Z14</f>
        <v>1.9753999999999998</v>
      </c>
      <c r="AG85" s="273">
        <f>'Key Inputs_New Techs'!AA14</f>
        <v>1.9753999999999998</v>
      </c>
      <c r="AH85" s="273">
        <f>'Key Inputs_New Techs'!AB14</f>
        <v>1.9753999999999998</v>
      </c>
      <c r="AI85" s="273">
        <f>'Key Inputs_New Techs'!AC14</f>
        <v>2.38</v>
      </c>
      <c r="AJ85" s="273">
        <f>'Key Inputs_New Techs'!AD14</f>
        <v>2.38</v>
      </c>
      <c r="AK85" s="273">
        <f>'Key Inputs_New Techs'!AE14</f>
        <v>2.6656</v>
      </c>
      <c r="AL85" s="273">
        <f>'Key Inputs_New Techs'!AF14</f>
        <v>2.6656</v>
      </c>
      <c r="AM85" s="273">
        <f>'Key Inputs_New Techs'!AG14</f>
        <v>2.6656</v>
      </c>
      <c r="AN85" s="273">
        <f>'Key Inputs_New Techs'!AH14</f>
        <v>2.6656</v>
      </c>
      <c r="AO85" s="273">
        <f>'Key Inputs_New Techs'!AI14</f>
        <v>2.6656</v>
      </c>
      <c r="AP85" s="273">
        <f>'Key Inputs_New Techs'!AJ14</f>
        <v>2.6656</v>
      </c>
      <c r="AQ85" s="273">
        <f>'Key Inputs_New Techs'!AK14</f>
        <v>1.9753999999999998</v>
      </c>
      <c r="AR85" s="273">
        <f>'Key Inputs_New Techs'!AL14</f>
        <v>1.9753999999999998</v>
      </c>
    </row>
    <row r="86" spans="1:45" ht="15.75" x14ac:dyDescent="0.25">
      <c r="E86" s="249"/>
      <c r="G86" s="250"/>
      <c r="H86" s="250"/>
      <c r="I86" s="250"/>
      <c r="J86" s="118"/>
      <c r="K86" s="201" t="str">
        <f>IF('Key Inputs_New Techs'!B15="","",'Key Inputs_New Techs'!B15)</f>
        <v>R-THL-HPA_ELC02</v>
      </c>
      <c r="L86" s="109" t="str">
        <f>IFERROR(VLOOKUP(K$86,'Commodities &amp; Processes'!L:M,2,FALSE),"")</f>
        <v>RSD Thermal uses technology: Electricity Heat Pump Air (Imp.) -New</v>
      </c>
      <c r="N86" s="109">
        <f>'Key Inputs_New Techs'!H15</f>
        <v>2025</v>
      </c>
      <c r="O86" s="114" t="s">
        <v>37</v>
      </c>
      <c r="P86" s="120" t="s">
        <v>174</v>
      </c>
      <c r="Q86" s="273">
        <f>'Key Inputs_New Techs'!K15</f>
        <v>2.6656</v>
      </c>
      <c r="R86" s="273">
        <f>'Key Inputs_New Techs'!L15</f>
        <v>2.6656</v>
      </c>
      <c r="S86" s="273">
        <f>'Key Inputs_New Techs'!M15</f>
        <v>2.6656</v>
      </c>
      <c r="T86" s="273">
        <f>'Key Inputs_New Techs'!N15</f>
        <v>2.6656</v>
      </c>
      <c r="U86" s="273">
        <f>'Key Inputs_New Techs'!O15</f>
        <v>2.38</v>
      </c>
      <c r="V86" s="273">
        <f>'Key Inputs_New Techs'!P15</f>
        <v>1.9753999999999998</v>
      </c>
      <c r="W86" s="273">
        <f>'Key Inputs_New Techs'!Q15</f>
        <v>1.9753999999999998</v>
      </c>
      <c r="X86" s="273">
        <f>'Key Inputs_New Techs'!R15</f>
        <v>2.38</v>
      </c>
      <c r="Y86" s="273">
        <f>'Key Inputs_New Techs'!S15</f>
        <v>2.6656</v>
      </c>
      <c r="Z86" s="273">
        <f>'Key Inputs_New Techs'!T15</f>
        <v>2.38</v>
      </c>
      <c r="AA86" s="273">
        <f>'Key Inputs_New Techs'!U15</f>
        <v>2.6656</v>
      </c>
      <c r="AB86" s="273">
        <f>'Key Inputs_New Techs'!V15</f>
        <v>1.9753999999999998</v>
      </c>
      <c r="AC86" s="273">
        <f>'Key Inputs_New Techs'!W15</f>
        <v>2.6656</v>
      </c>
      <c r="AD86" s="273">
        <f>'Key Inputs_New Techs'!X15</f>
        <v>2.6656</v>
      </c>
      <c r="AE86" s="273">
        <f>'Key Inputs_New Techs'!Y15</f>
        <v>2.6656</v>
      </c>
      <c r="AF86" s="273">
        <f>'Key Inputs_New Techs'!Z15</f>
        <v>1.9753999999999998</v>
      </c>
      <c r="AG86" s="273">
        <f>'Key Inputs_New Techs'!AA15</f>
        <v>1.9753999999999998</v>
      </c>
      <c r="AH86" s="273">
        <f>'Key Inputs_New Techs'!AB15</f>
        <v>1.9753999999999998</v>
      </c>
      <c r="AI86" s="273">
        <f>'Key Inputs_New Techs'!AC15</f>
        <v>2.38</v>
      </c>
      <c r="AJ86" s="273">
        <f>'Key Inputs_New Techs'!AD15</f>
        <v>2.38</v>
      </c>
      <c r="AK86" s="273">
        <f>'Key Inputs_New Techs'!AE15</f>
        <v>2.6656</v>
      </c>
      <c r="AL86" s="273">
        <f>'Key Inputs_New Techs'!AF15</f>
        <v>2.6656</v>
      </c>
      <c r="AM86" s="273">
        <f>'Key Inputs_New Techs'!AG15</f>
        <v>2.6656</v>
      </c>
      <c r="AN86" s="273">
        <f>'Key Inputs_New Techs'!AH15</f>
        <v>2.6656</v>
      </c>
      <c r="AO86" s="273">
        <f>'Key Inputs_New Techs'!AI15</f>
        <v>2.6656</v>
      </c>
      <c r="AP86" s="273">
        <f>'Key Inputs_New Techs'!AJ15</f>
        <v>2.6656</v>
      </c>
      <c r="AQ86" s="273">
        <f>'Key Inputs_New Techs'!AK15</f>
        <v>1.9753999999999998</v>
      </c>
      <c r="AR86" s="273">
        <f>'Key Inputs_New Techs'!AL15</f>
        <v>1.9753999999999998</v>
      </c>
    </row>
    <row r="87" spans="1:45" ht="15.75" x14ac:dyDescent="0.25">
      <c r="E87" s="249"/>
      <c r="G87" s="250"/>
      <c r="H87" s="250"/>
      <c r="I87" s="250"/>
      <c r="J87" s="118"/>
      <c r="K87" s="201" t="str">
        <f>IF('Key Inputs_New Techs'!B16="","",'Key Inputs_New Techs'!B16)</f>
        <v/>
      </c>
      <c r="L87" s="109" t="str">
        <f>IFERROR(VLOOKUP(K$86,'Commodities &amp; Processes'!L:M,2,FALSE),"")</f>
        <v>RSD Thermal uses technology: Electricity Heat Pump Air (Imp.) -New</v>
      </c>
      <c r="N87" s="109">
        <f>'Key Inputs_New Techs'!H16</f>
        <v>2030</v>
      </c>
      <c r="O87" s="114" t="s">
        <v>37</v>
      </c>
      <c r="P87" s="120" t="s">
        <v>174</v>
      </c>
      <c r="Q87" s="273">
        <f>'Key Inputs_New Techs'!K16</f>
        <v>3.3094449230769234</v>
      </c>
      <c r="R87" s="273">
        <f>'Key Inputs_New Techs'!L16</f>
        <v>3.3094449230769234</v>
      </c>
      <c r="S87" s="273">
        <f>'Key Inputs_New Techs'!M16</f>
        <v>3.3094449230769234</v>
      </c>
      <c r="T87" s="273">
        <f>'Key Inputs_New Techs'!N16</f>
        <v>3.3094449230769234</v>
      </c>
      <c r="U87" s="273">
        <f>'Key Inputs_New Techs'!O16</f>
        <v>2.9548615384615387</v>
      </c>
      <c r="V87" s="273">
        <f>'Key Inputs_New Techs'!P16</f>
        <v>2.4525350769230769</v>
      </c>
      <c r="W87" s="273">
        <f>'Key Inputs_New Techs'!Q16</f>
        <v>2.4525350769230769</v>
      </c>
      <c r="X87" s="273">
        <f>'Key Inputs_New Techs'!R16</f>
        <v>2.9548615384615387</v>
      </c>
      <c r="Y87" s="273">
        <f>'Key Inputs_New Techs'!S16</f>
        <v>3.3094449230769234</v>
      </c>
      <c r="Z87" s="273">
        <f>'Key Inputs_New Techs'!T16</f>
        <v>2.9548615384615387</v>
      </c>
      <c r="AA87" s="273">
        <f>'Key Inputs_New Techs'!U16</f>
        <v>3.3094449230769234</v>
      </c>
      <c r="AB87" s="273">
        <f>'Key Inputs_New Techs'!V16</f>
        <v>2.4525350769230769</v>
      </c>
      <c r="AC87" s="273">
        <f>'Key Inputs_New Techs'!W16</f>
        <v>3.3094449230769234</v>
      </c>
      <c r="AD87" s="273">
        <f>'Key Inputs_New Techs'!X16</f>
        <v>3.3094449230769234</v>
      </c>
      <c r="AE87" s="273">
        <f>'Key Inputs_New Techs'!Y16</f>
        <v>3.3094449230769234</v>
      </c>
      <c r="AF87" s="273">
        <f>'Key Inputs_New Techs'!Z16</f>
        <v>2.4525350769230769</v>
      </c>
      <c r="AG87" s="273">
        <f>'Key Inputs_New Techs'!AA16</f>
        <v>2.4525350769230769</v>
      </c>
      <c r="AH87" s="273">
        <f>'Key Inputs_New Techs'!AB16</f>
        <v>2.4525350769230769</v>
      </c>
      <c r="AI87" s="273">
        <f>'Key Inputs_New Techs'!AC16</f>
        <v>2.9548615384615387</v>
      </c>
      <c r="AJ87" s="273">
        <f>'Key Inputs_New Techs'!AD16</f>
        <v>2.9548615384615387</v>
      </c>
      <c r="AK87" s="273">
        <f>'Key Inputs_New Techs'!AE16</f>
        <v>3.3094449230769234</v>
      </c>
      <c r="AL87" s="273">
        <f>'Key Inputs_New Techs'!AF16</f>
        <v>3.3094449230769234</v>
      </c>
      <c r="AM87" s="273">
        <f>'Key Inputs_New Techs'!AG16</f>
        <v>3.3094449230769234</v>
      </c>
      <c r="AN87" s="273">
        <f>'Key Inputs_New Techs'!AH16</f>
        <v>3.3094449230769234</v>
      </c>
      <c r="AO87" s="273">
        <f>'Key Inputs_New Techs'!AI16</f>
        <v>3.3094449230769234</v>
      </c>
      <c r="AP87" s="273">
        <f>'Key Inputs_New Techs'!AJ16</f>
        <v>3.3094449230769234</v>
      </c>
      <c r="AQ87" s="273">
        <f>'Key Inputs_New Techs'!AK16</f>
        <v>2.4525350769230769</v>
      </c>
      <c r="AR87" s="273">
        <f>'Key Inputs_New Techs'!AL16</f>
        <v>2.4525350769230769</v>
      </c>
    </row>
    <row r="88" spans="1:45" ht="15.75" x14ac:dyDescent="0.25">
      <c r="E88" s="249"/>
      <c r="G88" s="250"/>
      <c r="H88" s="250"/>
      <c r="I88" s="250"/>
      <c r="J88" s="118"/>
      <c r="K88" s="201" t="str">
        <f>IF('Key Inputs_New Techs'!B17="","",'Key Inputs_New Techs'!B17)</f>
        <v/>
      </c>
      <c r="L88" s="109" t="str">
        <f>IFERROR(VLOOKUP(K$86,'Commodities &amp; Processes'!L:M,2,FALSE),"")</f>
        <v>RSD Thermal uses technology: Electricity Heat Pump Air (Imp.) -New</v>
      </c>
      <c r="N88" s="109">
        <f>'Key Inputs_New Techs'!H17</f>
        <v>2050</v>
      </c>
      <c r="O88" s="114" t="s">
        <v>37</v>
      </c>
      <c r="P88" s="120" t="s">
        <v>174</v>
      </c>
      <c r="Q88" s="273">
        <f>'Key Inputs_New Techs'!K17</f>
        <v>4.2075470769230776</v>
      </c>
      <c r="R88" s="273">
        <f>'Key Inputs_New Techs'!L17</f>
        <v>4.2075470769230776</v>
      </c>
      <c r="S88" s="273">
        <f>'Key Inputs_New Techs'!M17</f>
        <v>4.2075470769230776</v>
      </c>
      <c r="T88" s="273">
        <f>'Key Inputs_New Techs'!N17</f>
        <v>4.2075470769230776</v>
      </c>
      <c r="U88" s="273">
        <f>'Key Inputs_New Techs'!O17</f>
        <v>3.7567384615384616</v>
      </c>
      <c r="V88" s="273">
        <f>'Key Inputs_New Techs'!P17</f>
        <v>3.1180929230769232</v>
      </c>
      <c r="W88" s="273">
        <f>'Key Inputs_New Techs'!Q17</f>
        <v>3.1180929230769232</v>
      </c>
      <c r="X88" s="273">
        <f>'Key Inputs_New Techs'!R17</f>
        <v>3.7567384615384616</v>
      </c>
      <c r="Y88" s="273">
        <f>'Key Inputs_New Techs'!S17</f>
        <v>4.2075470769230776</v>
      </c>
      <c r="Z88" s="273">
        <f>'Key Inputs_New Techs'!T17</f>
        <v>3.7567384615384616</v>
      </c>
      <c r="AA88" s="273">
        <f>'Key Inputs_New Techs'!U17</f>
        <v>4.2075470769230776</v>
      </c>
      <c r="AB88" s="273">
        <f>'Key Inputs_New Techs'!V17</f>
        <v>3.1180929230769232</v>
      </c>
      <c r="AC88" s="273">
        <f>'Key Inputs_New Techs'!W17</f>
        <v>4.2075470769230776</v>
      </c>
      <c r="AD88" s="273">
        <f>'Key Inputs_New Techs'!X17</f>
        <v>4.2075470769230776</v>
      </c>
      <c r="AE88" s="273">
        <f>'Key Inputs_New Techs'!Y17</f>
        <v>4.2075470769230776</v>
      </c>
      <c r="AF88" s="273">
        <f>'Key Inputs_New Techs'!Z17</f>
        <v>3.1180929230769232</v>
      </c>
      <c r="AG88" s="273">
        <f>'Key Inputs_New Techs'!AA17</f>
        <v>3.1180929230769232</v>
      </c>
      <c r="AH88" s="273">
        <f>'Key Inputs_New Techs'!AB17</f>
        <v>3.1180929230769232</v>
      </c>
      <c r="AI88" s="273">
        <f>'Key Inputs_New Techs'!AC17</f>
        <v>3.7567384615384616</v>
      </c>
      <c r="AJ88" s="273">
        <f>'Key Inputs_New Techs'!AD17</f>
        <v>3.7567384615384616</v>
      </c>
      <c r="AK88" s="273">
        <f>'Key Inputs_New Techs'!AE17</f>
        <v>4.2075470769230776</v>
      </c>
      <c r="AL88" s="273">
        <f>'Key Inputs_New Techs'!AF17</f>
        <v>4.2075470769230776</v>
      </c>
      <c r="AM88" s="273">
        <f>'Key Inputs_New Techs'!AG17</f>
        <v>4.2075470769230776</v>
      </c>
      <c r="AN88" s="273">
        <f>'Key Inputs_New Techs'!AH17</f>
        <v>4.2075470769230776</v>
      </c>
      <c r="AO88" s="273">
        <f>'Key Inputs_New Techs'!AI17</f>
        <v>4.2075470769230776</v>
      </c>
      <c r="AP88" s="273">
        <f>'Key Inputs_New Techs'!AJ17</f>
        <v>4.2075470769230776</v>
      </c>
      <c r="AQ88" s="273">
        <f>'Key Inputs_New Techs'!AK17</f>
        <v>3.1180929230769232</v>
      </c>
      <c r="AR88" s="273">
        <f>'Key Inputs_New Techs'!AL17</f>
        <v>3.1180929230769232</v>
      </c>
    </row>
    <row r="89" spans="1:45" ht="15.75" x14ac:dyDescent="0.25">
      <c r="E89" s="249"/>
      <c r="G89" s="250"/>
      <c r="H89" s="250"/>
      <c r="I89" s="250"/>
      <c r="J89" s="118"/>
      <c r="K89" s="201" t="str">
        <f>IF('Key Inputs_New Techs'!B18="","",'Key Inputs_New Techs'!B18)</f>
        <v>R-THL-HPA_ELC03</v>
      </c>
      <c r="L89" s="109" t="str">
        <f>IFERROR(VLOOKUP(K$89,'Commodities &amp; Processes'!L:M,2,FALSE),"")</f>
        <v>RSD Thermal uses technology: Electricity Heat Pump Air (Adv.) -New</v>
      </c>
      <c r="N89" s="109">
        <f>'Key Inputs_New Techs'!H18</f>
        <v>2030</v>
      </c>
      <c r="O89" s="114" t="s">
        <v>37</v>
      </c>
      <c r="P89" s="120" t="s">
        <v>174</v>
      </c>
      <c r="Q89" s="273">
        <f>'Key Inputs_New Techs'!K18</f>
        <v>3.6016356923076933</v>
      </c>
      <c r="R89" s="273">
        <f>'Key Inputs_New Techs'!L18</f>
        <v>3.6016356923076933</v>
      </c>
      <c r="S89" s="273">
        <f>'Key Inputs_New Techs'!M18</f>
        <v>3.6016356923076933</v>
      </c>
      <c r="T89" s="273">
        <f>'Key Inputs_New Techs'!N18</f>
        <v>3.6016356923076933</v>
      </c>
      <c r="U89" s="273">
        <f>'Key Inputs_New Techs'!O18</f>
        <v>3.2157461538461547</v>
      </c>
      <c r="V89" s="273">
        <f>'Key Inputs_New Techs'!P18</f>
        <v>2.6690693076923084</v>
      </c>
      <c r="W89" s="273">
        <f>'Key Inputs_New Techs'!Q18</f>
        <v>2.6690693076923084</v>
      </c>
      <c r="X89" s="273">
        <f>'Key Inputs_New Techs'!R18</f>
        <v>3.2157461538461547</v>
      </c>
      <c r="Y89" s="273">
        <f>'Key Inputs_New Techs'!S18</f>
        <v>3.6016356923076933</v>
      </c>
      <c r="Z89" s="273">
        <f>'Key Inputs_New Techs'!T18</f>
        <v>3.2157461538461547</v>
      </c>
      <c r="AA89" s="273">
        <f>'Key Inputs_New Techs'!U18</f>
        <v>3.6016356923076933</v>
      </c>
      <c r="AB89" s="273">
        <f>'Key Inputs_New Techs'!V18</f>
        <v>2.6690693076923084</v>
      </c>
      <c r="AC89" s="273">
        <f>'Key Inputs_New Techs'!W18</f>
        <v>3.6016356923076933</v>
      </c>
      <c r="AD89" s="273">
        <f>'Key Inputs_New Techs'!X18</f>
        <v>3.6016356923076933</v>
      </c>
      <c r="AE89" s="273">
        <f>'Key Inputs_New Techs'!Y18</f>
        <v>3.6016356923076933</v>
      </c>
      <c r="AF89" s="273">
        <f>'Key Inputs_New Techs'!Z18</f>
        <v>2.6690693076923084</v>
      </c>
      <c r="AG89" s="273">
        <f>'Key Inputs_New Techs'!AA18</f>
        <v>2.6690693076923084</v>
      </c>
      <c r="AH89" s="273">
        <f>'Key Inputs_New Techs'!AB18</f>
        <v>2.6690693076923084</v>
      </c>
      <c r="AI89" s="273">
        <f>'Key Inputs_New Techs'!AC18</f>
        <v>3.2157461538461547</v>
      </c>
      <c r="AJ89" s="273">
        <f>'Key Inputs_New Techs'!AD18</f>
        <v>3.2157461538461547</v>
      </c>
      <c r="AK89" s="273">
        <f>'Key Inputs_New Techs'!AE18</f>
        <v>3.6016356923076933</v>
      </c>
      <c r="AL89" s="273">
        <f>'Key Inputs_New Techs'!AF18</f>
        <v>3.6016356923076933</v>
      </c>
      <c r="AM89" s="273">
        <f>'Key Inputs_New Techs'!AG18</f>
        <v>3.6016356923076933</v>
      </c>
      <c r="AN89" s="273">
        <f>'Key Inputs_New Techs'!AH18</f>
        <v>3.6016356923076933</v>
      </c>
      <c r="AO89" s="273">
        <f>'Key Inputs_New Techs'!AI18</f>
        <v>3.6016356923076933</v>
      </c>
      <c r="AP89" s="273">
        <f>'Key Inputs_New Techs'!AJ18</f>
        <v>3.6016356923076933</v>
      </c>
      <c r="AQ89" s="273">
        <f>'Key Inputs_New Techs'!AK18</f>
        <v>2.6690693076923084</v>
      </c>
      <c r="AR89" s="273">
        <f>'Key Inputs_New Techs'!AL18</f>
        <v>2.6690693076923084</v>
      </c>
    </row>
    <row r="90" spans="1:45" s="113" customFormat="1" ht="15.75" x14ac:dyDescent="0.25">
      <c r="A90" s="245"/>
      <c r="B90" s="245"/>
      <c r="C90" s="245"/>
      <c r="D90" s="245"/>
      <c r="E90" s="249"/>
      <c r="F90" s="245"/>
      <c r="G90" s="250"/>
      <c r="H90" s="250"/>
      <c r="I90" s="250"/>
      <c r="J90" s="118"/>
      <c r="K90" s="201" t="str">
        <f>IF('Key Inputs_New Techs'!B19="","",'Key Inputs_New Techs'!B19)</f>
        <v/>
      </c>
      <c r="L90" s="109" t="str">
        <f>IFERROR(VLOOKUP(K$89,'Commodities &amp; Processes'!L:M,2,FALSE),"")</f>
        <v>RSD Thermal uses technology: Electricity Heat Pump Air (Adv.) -New</v>
      </c>
      <c r="M90" s="109"/>
      <c r="N90" s="109">
        <f>'Key Inputs_New Techs'!H19</f>
        <v>2050</v>
      </c>
      <c r="O90" s="114" t="s">
        <v>37</v>
      </c>
      <c r="P90" s="120" t="s">
        <v>174</v>
      </c>
      <c r="Q90" s="273">
        <f>'Key Inputs_New Techs'!K19</f>
        <v>4.9211076923076931</v>
      </c>
      <c r="R90" s="273">
        <f>'Key Inputs_New Techs'!L19</f>
        <v>4.9211076923076931</v>
      </c>
      <c r="S90" s="273">
        <f>'Key Inputs_New Techs'!M19</f>
        <v>4.9211076923076931</v>
      </c>
      <c r="T90" s="273">
        <f>'Key Inputs_New Techs'!N19</f>
        <v>4.9211076923076931</v>
      </c>
      <c r="U90" s="273">
        <f>'Key Inputs_New Techs'!O19</f>
        <v>4.3938461538461544</v>
      </c>
      <c r="V90" s="273">
        <f>'Key Inputs_New Techs'!P19</f>
        <v>3.6468923076923079</v>
      </c>
      <c r="W90" s="273">
        <f>'Key Inputs_New Techs'!Q19</f>
        <v>3.6468923076923079</v>
      </c>
      <c r="X90" s="273">
        <f>'Key Inputs_New Techs'!R19</f>
        <v>4.3938461538461544</v>
      </c>
      <c r="Y90" s="273">
        <f>'Key Inputs_New Techs'!S19</f>
        <v>4.9211076923076931</v>
      </c>
      <c r="Z90" s="273">
        <f>'Key Inputs_New Techs'!T19</f>
        <v>4.3938461538461544</v>
      </c>
      <c r="AA90" s="273">
        <f>'Key Inputs_New Techs'!U19</f>
        <v>4.9211076923076931</v>
      </c>
      <c r="AB90" s="273">
        <f>'Key Inputs_New Techs'!V19</f>
        <v>3.6468923076923079</v>
      </c>
      <c r="AC90" s="273">
        <f>'Key Inputs_New Techs'!W19</f>
        <v>4.9211076923076931</v>
      </c>
      <c r="AD90" s="273">
        <f>'Key Inputs_New Techs'!X19</f>
        <v>4.9211076923076931</v>
      </c>
      <c r="AE90" s="273">
        <f>'Key Inputs_New Techs'!Y19</f>
        <v>4.9211076923076931</v>
      </c>
      <c r="AF90" s="273">
        <f>'Key Inputs_New Techs'!Z19</f>
        <v>3.6468923076923079</v>
      </c>
      <c r="AG90" s="273">
        <f>'Key Inputs_New Techs'!AA19</f>
        <v>3.6468923076923079</v>
      </c>
      <c r="AH90" s="273">
        <f>'Key Inputs_New Techs'!AB19</f>
        <v>3.6468923076923079</v>
      </c>
      <c r="AI90" s="273">
        <f>'Key Inputs_New Techs'!AC19</f>
        <v>4.3938461538461544</v>
      </c>
      <c r="AJ90" s="273">
        <f>'Key Inputs_New Techs'!AD19</f>
        <v>4.3938461538461544</v>
      </c>
      <c r="AK90" s="273">
        <f>'Key Inputs_New Techs'!AE19</f>
        <v>4.9211076923076931</v>
      </c>
      <c r="AL90" s="273">
        <f>'Key Inputs_New Techs'!AF19</f>
        <v>4.9211076923076931</v>
      </c>
      <c r="AM90" s="273">
        <f>'Key Inputs_New Techs'!AG19</f>
        <v>4.9211076923076931</v>
      </c>
      <c r="AN90" s="273">
        <f>'Key Inputs_New Techs'!AH19</f>
        <v>4.9211076923076931</v>
      </c>
      <c r="AO90" s="273">
        <f>'Key Inputs_New Techs'!AI19</f>
        <v>4.9211076923076931</v>
      </c>
      <c r="AP90" s="273">
        <f>'Key Inputs_New Techs'!AJ19</f>
        <v>4.9211076923076931</v>
      </c>
      <c r="AQ90" s="273">
        <f>'Key Inputs_New Techs'!AK19</f>
        <v>3.6468923076923079</v>
      </c>
      <c r="AR90" s="273">
        <f>'Key Inputs_New Techs'!AL19</f>
        <v>3.6468923076923079</v>
      </c>
      <c r="AS90" s="109"/>
    </row>
    <row r="91" spans="1:45" s="113" customFormat="1" ht="15.75" x14ac:dyDescent="0.25">
      <c r="A91" s="245"/>
      <c r="B91" s="245"/>
      <c r="C91" s="245"/>
      <c r="D91" s="245"/>
      <c r="E91" s="249"/>
      <c r="F91" s="245"/>
      <c r="G91" s="250"/>
      <c r="H91" s="250"/>
      <c r="I91" s="250"/>
      <c r="J91" s="118"/>
      <c r="K91" s="201" t="str">
        <f>IF('Key Inputs_New Techs'!B20="","",'Key Inputs_New Techs'!B20)</f>
        <v>R-THL-HPA_ELC04</v>
      </c>
      <c r="L91" s="109" t="str">
        <f>IFERROR(VLOOKUP(K91,'Commodities &amp; Processes'!L:M,2,FALSE),"")</f>
        <v>RSD Thermal uses technology: Electricity Heat Pump Wat. (Ord.) -New</v>
      </c>
      <c r="M91" s="109"/>
      <c r="N91" s="109">
        <f>'Key Inputs_New Techs'!H20</f>
        <v>2020</v>
      </c>
      <c r="O91" s="114" t="s">
        <v>37</v>
      </c>
      <c r="P91" s="120" t="s">
        <v>174</v>
      </c>
      <c r="Q91" s="273">
        <f>'Key Inputs_New Techs'!K20</f>
        <v>3.6991560050729388</v>
      </c>
      <c r="R91" s="273">
        <f>'Key Inputs_New Techs'!L20</f>
        <v>3.6991560050729388</v>
      </c>
      <c r="S91" s="273">
        <f>'Key Inputs_New Techs'!M20</f>
        <v>3.6991560050729388</v>
      </c>
      <c r="T91" s="273">
        <f>'Key Inputs_New Techs'!N20</f>
        <v>3.6991560050729388</v>
      </c>
      <c r="U91" s="273">
        <f>'Key Inputs_New Techs'!O20</f>
        <v>3.3028178616722665</v>
      </c>
      <c r="V91" s="273">
        <f>'Key Inputs_New Techs'!P20</f>
        <v>2.7413388251879813</v>
      </c>
      <c r="W91" s="273">
        <f>'Key Inputs_New Techs'!Q20</f>
        <v>2.7413388251879813</v>
      </c>
      <c r="X91" s="273">
        <f>'Key Inputs_New Techs'!R20</f>
        <v>3.3028178616722665</v>
      </c>
      <c r="Y91" s="273">
        <f>'Key Inputs_New Techs'!S20</f>
        <v>3.6991560050729388</v>
      </c>
      <c r="Z91" s="273">
        <f>'Key Inputs_New Techs'!T20</f>
        <v>3.3028178616722665</v>
      </c>
      <c r="AA91" s="273">
        <f>'Key Inputs_New Techs'!U20</f>
        <v>3.6991560050729388</v>
      </c>
      <c r="AB91" s="273">
        <f>'Key Inputs_New Techs'!V20</f>
        <v>2.7413388251879813</v>
      </c>
      <c r="AC91" s="273">
        <f>'Key Inputs_New Techs'!W20</f>
        <v>3.6991560050729388</v>
      </c>
      <c r="AD91" s="273">
        <f>'Key Inputs_New Techs'!X20</f>
        <v>3.6991560050729388</v>
      </c>
      <c r="AE91" s="273">
        <f>'Key Inputs_New Techs'!Y20</f>
        <v>3.6991560050729388</v>
      </c>
      <c r="AF91" s="273">
        <f>'Key Inputs_New Techs'!Z20</f>
        <v>2.7413388251879813</v>
      </c>
      <c r="AG91" s="273">
        <f>'Key Inputs_New Techs'!AA20</f>
        <v>2.7413388251879813</v>
      </c>
      <c r="AH91" s="273">
        <f>'Key Inputs_New Techs'!AB20</f>
        <v>2.7413388251879813</v>
      </c>
      <c r="AI91" s="273">
        <f>'Key Inputs_New Techs'!AC20</f>
        <v>3.3028178616722665</v>
      </c>
      <c r="AJ91" s="273">
        <f>'Key Inputs_New Techs'!AD20</f>
        <v>3.3028178616722665</v>
      </c>
      <c r="AK91" s="273">
        <f>'Key Inputs_New Techs'!AE20</f>
        <v>3.6991560050729388</v>
      </c>
      <c r="AL91" s="273">
        <f>'Key Inputs_New Techs'!AF20</f>
        <v>3.6991560050729388</v>
      </c>
      <c r="AM91" s="273">
        <f>'Key Inputs_New Techs'!AG20</f>
        <v>3.6991560050729388</v>
      </c>
      <c r="AN91" s="273">
        <f>'Key Inputs_New Techs'!AH20</f>
        <v>3.6991560050729388</v>
      </c>
      <c r="AO91" s="273">
        <f>'Key Inputs_New Techs'!AI20</f>
        <v>3.6991560050729388</v>
      </c>
      <c r="AP91" s="273">
        <f>'Key Inputs_New Techs'!AJ20</f>
        <v>3.6991560050729388</v>
      </c>
      <c r="AQ91" s="273">
        <f>'Key Inputs_New Techs'!AK20</f>
        <v>2.7413388251879813</v>
      </c>
      <c r="AR91" s="273">
        <f>'Key Inputs_New Techs'!AL20</f>
        <v>2.7413388251879813</v>
      </c>
      <c r="AS91" s="109"/>
    </row>
    <row r="92" spans="1:45" s="113" customFormat="1" ht="15.75" x14ac:dyDescent="0.25">
      <c r="A92" s="245"/>
      <c r="B92" s="245"/>
      <c r="C92" s="245"/>
      <c r="D92" s="245"/>
      <c r="E92" s="249"/>
      <c r="F92" s="245"/>
      <c r="G92" s="250"/>
      <c r="H92" s="250"/>
      <c r="I92" s="250"/>
      <c r="J92" s="118"/>
      <c r="K92" s="201" t="str">
        <f>IF('Key Inputs_New Techs'!B21="","",'Key Inputs_New Techs'!B21)</f>
        <v>R-THL-HPA_ELC05</v>
      </c>
      <c r="L92" s="109" t="str">
        <f>IFERROR(VLOOKUP(K$92,'Commodities &amp; Processes'!L:M,2,FALSE),"")</f>
        <v>RSD Thermal uses technology: Electricity Heat Pump Wat. (Imp.) -New</v>
      </c>
      <c r="M92" s="109"/>
      <c r="N92" s="109">
        <f>'Key Inputs_New Techs'!H21</f>
        <v>2025</v>
      </c>
      <c r="O92" s="114" t="s">
        <v>37</v>
      </c>
      <c r="P92" s="120" t="s">
        <v>174</v>
      </c>
      <c r="Q92" s="273">
        <f>'Key Inputs_New Techs'!K21</f>
        <v>3.6991560050729388</v>
      </c>
      <c r="R92" s="273">
        <f>'Key Inputs_New Techs'!L21</f>
        <v>3.6991560050729388</v>
      </c>
      <c r="S92" s="273">
        <f>'Key Inputs_New Techs'!M21</f>
        <v>3.6991560050729388</v>
      </c>
      <c r="T92" s="273">
        <f>'Key Inputs_New Techs'!N21</f>
        <v>3.6991560050729388</v>
      </c>
      <c r="U92" s="273">
        <f>'Key Inputs_New Techs'!O21</f>
        <v>3.3028178616722665</v>
      </c>
      <c r="V92" s="273">
        <f>'Key Inputs_New Techs'!P21</f>
        <v>2.7413388251879813</v>
      </c>
      <c r="W92" s="273">
        <f>'Key Inputs_New Techs'!Q21</f>
        <v>2.7413388251879813</v>
      </c>
      <c r="X92" s="273">
        <f>'Key Inputs_New Techs'!R21</f>
        <v>3.3028178616722665</v>
      </c>
      <c r="Y92" s="273">
        <f>'Key Inputs_New Techs'!S21</f>
        <v>3.6991560050729388</v>
      </c>
      <c r="Z92" s="273">
        <f>'Key Inputs_New Techs'!T21</f>
        <v>3.3028178616722665</v>
      </c>
      <c r="AA92" s="273">
        <f>'Key Inputs_New Techs'!U21</f>
        <v>3.6991560050729388</v>
      </c>
      <c r="AB92" s="273">
        <f>'Key Inputs_New Techs'!V21</f>
        <v>2.7413388251879813</v>
      </c>
      <c r="AC92" s="273">
        <f>'Key Inputs_New Techs'!W21</f>
        <v>3.6991560050729388</v>
      </c>
      <c r="AD92" s="273">
        <f>'Key Inputs_New Techs'!X21</f>
        <v>3.6991560050729388</v>
      </c>
      <c r="AE92" s="273">
        <f>'Key Inputs_New Techs'!Y21</f>
        <v>3.6991560050729388</v>
      </c>
      <c r="AF92" s="273">
        <f>'Key Inputs_New Techs'!Z21</f>
        <v>2.7413388251879813</v>
      </c>
      <c r="AG92" s="273">
        <f>'Key Inputs_New Techs'!AA21</f>
        <v>2.7413388251879813</v>
      </c>
      <c r="AH92" s="273">
        <f>'Key Inputs_New Techs'!AB21</f>
        <v>2.7413388251879813</v>
      </c>
      <c r="AI92" s="273">
        <f>'Key Inputs_New Techs'!AC21</f>
        <v>3.3028178616722665</v>
      </c>
      <c r="AJ92" s="273">
        <f>'Key Inputs_New Techs'!AD21</f>
        <v>3.3028178616722665</v>
      </c>
      <c r="AK92" s="273">
        <f>'Key Inputs_New Techs'!AE21</f>
        <v>3.6991560050729388</v>
      </c>
      <c r="AL92" s="273">
        <f>'Key Inputs_New Techs'!AF21</f>
        <v>3.6991560050729388</v>
      </c>
      <c r="AM92" s="273">
        <f>'Key Inputs_New Techs'!AG21</f>
        <v>3.6991560050729388</v>
      </c>
      <c r="AN92" s="273">
        <f>'Key Inputs_New Techs'!AH21</f>
        <v>3.6991560050729388</v>
      </c>
      <c r="AO92" s="273">
        <f>'Key Inputs_New Techs'!AI21</f>
        <v>3.6991560050729388</v>
      </c>
      <c r="AP92" s="273">
        <f>'Key Inputs_New Techs'!AJ21</f>
        <v>3.6991560050729388</v>
      </c>
      <c r="AQ92" s="273">
        <f>'Key Inputs_New Techs'!AK21</f>
        <v>2.7413388251879813</v>
      </c>
      <c r="AR92" s="273">
        <f>'Key Inputs_New Techs'!AL21</f>
        <v>2.7413388251879813</v>
      </c>
      <c r="AS92" s="109"/>
    </row>
    <row r="93" spans="1:45" s="113" customFormat="1" ht="15.75" x14ac:dyDescent="0.25">
      <c r="A93" s="245"/>
      <c r="B93" s="245"/>
      <c r="C93" s="245"/>
      <c r="D93" s="245"/>
      <c r="E93" s="249"/>
      <c r="F93" s="245"/>
      <c r="G93" s="250"/>
      <c r="H93" s="250"/>
      <c r="I93" s="250"/>
      <c r="J93" s="118"/>
      <c r="K93" s="201" t="str">
        <f>IF('Key Inputs_New Techs'!B22="","",'Key Inputs_New Techs'!B22)</f>
        <v/>
      </c>
      <c r="L93" s="109" t="str">
        <f>IFERROR(VLOOKUP(K$92,'Commodities &amp; Processes'!L:M,2,FALSE),"")</f>
        <v>RSD Thermal uses technology: Electricity Heat Pump Wat. (Imp.) -New</v>
      </c>
      <c r="M93" s="109"/>
      <c r="N93" s="109">
        <f>'Key Inputs_New Techs'!H22</f>
        <v>2030</v>
      </c>
      <c r="O93" s="114" t="s">
        <v>37</v>
      </c>
      <c r="P93" s="120" t="s">
        <v>174</v>
      </c>
      <c r="Q93" s="273">
        <f>'Key Inputs_New Techs'!K22</f>
        <v>4.5926444555290189</v>
      </c>
      <c r="R93" s="273">
        <f>'Key Inputs_New Techs'!L22</f>
        <v>4.5926444555290189</v>
      </c>
      <c r="S93" s="273">
        <f>'Key Inputs_New Techs'!M22</f>
        <v>4.5926444555290189</v>
      </c>
      <c r="T93" s="273">
        <f>'Key Inputs_New Techs'!N22</f>
        <v>4.5926444555290189</v>
      </c>
      <c r="U93" s="273">
        <f>'Key Inputs_New Techs'!O22</f>
        <v>4.1005754067223377</v>
      </c>
      <c r="V93" s="273">
        <f>'Key Inputs_New Techs'!P22</f>
        <v>3.4034775875795402</v>
      </c>
      <c r="W93" s="273">
        <f>'Key Inputs_New Techs'!Q22</f>
        <v>3.4034775875795402</v>
      </c>
      <c r="X93" s="273">
        <f>'Key Inputs_New Techs'!R22</f>
        <v>4.1005754067223377</v>
      </c>
      <c r="Y93" s="273">
        <f>'Key Inputs_New Techs'!S22</f>
        <v>4.5926444555290189</v>
      </c>
      <c r="Z93" s="273">
        <f>'Key Inputs_New Techs'!T22</f>
        <v>4.1005754067223377</v>
      </c>
      <c r="AA93" s="273">
        <f>'Key Inputs_New Techs'!U22</f>
        <v>4.5926444555290189</v>
      </c>
      <c r="AB93" s="273">
        <f>'Key Inputs_New Techs'!V22</f>
        <v>3.4034775875795402</v>
      </c>
      <c r="AC93" s="273">
        <f>'Key Inputs_New Techs'!W22</f>
        <v>4.5926444555290189</v>
      </c>
      <c r="AD93" s="273">
        <f>'Key Inputs_New Techs'!X22</f>
        <v>4.5926444555290189</v>
      </c>
      <c r="AE93" s="273">
        <f>'Key Inputs_New Techs'!Y22</f>
        <v>4.5926444555290189</v>
      </c>
      <c r="AF93" s="273">
        <f>'Key Inputs_New Techs'!Z22</f>
        <v>3.4034775875795402</v>
      </c>
      <c r="AG93" s="273">
        <f>'Key Inputs_New Techs'!AA22</f>
        <v>3.4034775875795402</v>
      </c>
      <c r="AH93" s="273">
        <f>'Key Inputs_New Techs'!AB22</f>
        <v>3.4034775875795402</v>
      </c>
      <c r="AI93" s="273">
        <f>'Key Inputs_New Techs'!AC22</f>
        <v>4.1005754067223377</v>
      </c>
      <c r="AJ93" s="273">
        <f>'Key Inputs_New Techs'!AD22</f>
        <v>4.1005754067223377</v>
      </c>
      <c r="AK93" s="273">
        <f>'Key Inputs_New Techs'!AE22</f>
        <v>4.5926444555290189</v>
      </c>
      <c r="AL93" s="273">
        <f>'Key Inputs_New Techs'!AF22</f>
        <v>4.5926444555290189</v>
      </c>
      <c r="AM93" s="273">
        <f>'Key Inputs_New Techs'!AG22</f>
        <v>4.5926444555290189</v>
      </c>
      <c r="AN93" s="273">
        <f>'Key Inputs_New Techs'!AH22</f>
        <v>4.5926444555290189</v>
      </c>
      <c r="AO93" s="273">
        <f>'Key Inputs_New Techs'!AI22</f>
        <v>4.5926444555290189</v>
      </c>
      <c r="AP93" s="273">
        <f>'Key Inputs_New Techs'!AJ22</f>
        <v>4.5926444555290189</v>
      </c>
      <c r="AQ93" s="273">
        <f>'Key Inputs_New Techs'!AK22</f>
        <v>3.4034775875795402</v>
      </c>
      <c r="AR93" s="273">
        <f>'Key Inputs_New Techs'!AL22</f>
        <v>3.4034775875795402</v>
      </c>
      <c r="AS93" s="109"/>
    </row>
    <row r="94" spans="1:45" s="113" customFormat="1" ht="15.75" x14ac:dyDescent="0.25">
      <c r="A94" s="245"/>
      <c r="B94" s="245"/>
      <c r="C94" s="245"/>
      <c r="D94" s="245"/>
      <c r="E94" s="249"/>
      <c r="F94" s="245"/>
      <c r="G94" s="250"/>
      <c r="H94" s="250"/>
      <c r="I94" s="250"/>
      <c r="J94" s="118"/>
      <c r="K94" s="201" t="str">
        <f>IF('Key Inputs_New Techs'!B23="","",'Key Inputs_New Techs'!B23)</f>
        <v/>
      </c>
      <c r="L94" s="109" t="str">
        <f>IFERROR(VLOOKUP(K$92,'Commodities &amp; Processes'!L:M,2,FALSE),"")</f>
        <v>RSD Thermal uses technology: Electricity Heat Pump Wat. (Imp.) -New</v>
      </c>
      <c r="M94" s="109"/>
      <c r="N94" s="109">
        <f>'Key Inputs_New Techs'!H23</f>
        <v>2050</v>
      </c>
      <c r="O94" s="114" t="s">
        <v>37</v>
      </c>
      <c r="P94" s="120" t="s">
        <v>174</v>
      </c>
      <c r="Q94" s="273">
        <f>'Key Inputs_New Techs'!K23</f>
        <v>5.5823626985646175</v>
      </c>
      <c r="R94" s="273">
        <f>'Key Inputs_New Techs'!L23</f>
        <v>5.5823626985646175</v>
      </c>
      <c r="S94" s="273">
        <f>'Key Inputs_New Techs'!M23</f>
        <v>5.5823626985646175</v>
      </c>
      <c r="T94" s="273">
        <f>'Key Inputs_New Techs'!N23</f>
        <v>5.5823626985646175</v>
      </c>
      <c r="U94" s="273">
        <f>'Key Inputs_New Techs'!O23</f>
        <v>4.9842524094326945</v>
      </c>
      <c r="V94" s="273">
        <f>'Key Inputs_New Techs'!P23</f>
        <v>4.1369294998291357</v>
      </c>
      <c r="W94" s="273">
        <f>'Key Inputs_New Techs'!Q23</f>
        <v>4.1369294998291357</v>
      </c>
      <c r="X94" s="273">
        <f>'Key Inputs_New Techs'!R23</f>
        <v>4.9842524094326945</v>
      </c>
      <c r="Y94" s="273">
        <f>'Key Inputs_New Techs'!S23</f>
        <v>5.5823626985646175</v>
      </c>
      <c r="Z94" s="273">
        <f>'Key Inputs_New Techs'!T23</f>
        <v>4.9842524094326945</v>
      </c>
      <c r="AA94" s="273">
        <f>'Key Inputs_New Techs'!U23</f>
        <v>5.5823626985646175</v>
      </c>
      <c r="AB94" s="273">
        <f>'Key Inputs_New Techs'!V23</f>
        <v>4.1369294998291357</v>
      </c>
      <c r="AC94" s="273">
        <f>'Key Inputs_New Techs'!W23</f>
        <v>5.5823626985646175</v>
      </c>
      <c r="AD94" s="273">
        <f>'Key Inputs_New Techs'!X23</f>
        <v>5.5823626985646175</v>
      </c>
      <c r="AE94" s="273">
        <f>'Key Inputs_New Techs'!Y23</f>
        <v>5.5823626985646175</v>
      </c>
      <c r="AF94" s="273">
        <f>'Key Inputs_New Techs'!Z23</f>
        <v>4.1369294998291357</v>
      </c>
      <c r="AG94" s="273">
        <f>'Key Inputs_New Techs'!AA23</f>
        <v>4.1369294998291357</v>
      </c>
      <c r="AH94" s="273">
        <f>'Key Inputs_New Techs'!AB23</f>
        <v>4.1369294998291357</v>
      </c>
      <c r="AI94" s="273">
        <f>'Key Inputs_New Techs'!AC23</f>
        <v>4.9842524094326945</v>
      </c>
      <c r="AJ94" s="273">
        <f>'Key Inputs_New Techs'!AD23</f>
        <v>4.9842524094326945</v>
      </c>
      <c r="AK94" s="273">
        <f>'Key Inputs_New Techs'!AE23</f>
        <v>5.5823626985646175</v>
      </c>
      <c r="AL94" s="273">
        <f>'Key Inputs_New Techs'!AF23</f>
        <v>5.5823626985646175</v>
      </c>
      <c r="AM94" s="273">
        <f>'Key Inputs_New Techs'!AG23</f>
        <v>5.5823626985646175</v>
      </c>
      <c r="AN94" s="273">
        <f>'Key Inputs_New Techs'!AH23</f>
        <v>5.5823626985646175</v>
      </c>
      <c r="AO94" s="273">
        <f>'Key Inputs_New Techs'!AI23</f>
        <v>5.5823626985646175</v>
      </c>
      <c r="AP94" s="273">
        <f>'Key Inputs_New Techs'!AJ23</f>
        <v>5.5823626985646175</v>
      </c>
      <c r="AQ94" s="273">
        <f>'Key Inputs_New Techs'!AK23</f>
        <v>4.1369294998291357</v>
      </c>
      <c r="AR94" s="273">
        <f>'Key Inputs_New Techs'!AL23</f>
        <v>4.1369294998291357</v>
      </c>
      <c r="AS94" s="109"/>
    </row>
    <row r="95" spans="1:45" s="113" customFormat="1" ht="15.75" x14ac:dyDescent="0.25">
      <c r="A95" s="245"/>
      <c r="B95" s="245"/>
      <c r="C95" s="245"/>
      <c r="D95" s="245"/>
      <c r="E95" s="249"/>
      <c r="F95" s="245"/>
      <c r="G95" s="250"/>
      <c r="H95" s="250"/>
      <c r="I95" s="250"/>
      <c r="J95" s="118"/>
      <c r="K95" s="201" t="str">
        <f>IF('Key Inputs_New Techs'!B24="","",'Key Inputs_New Techs'!B24)</f>
        <v>R-THL-HPA_ELC06</v>
      </c>
      <c r="L95" s="109" t="str">
        <f>IFERROR(VLOOKUP(K$95,'Commodities &amp; Processes'!L:M,2,FALSE),"")</f>
        <v>RSD Thermal uses technology: Electricity Heat Pump Wat. (Adv.) -New</v>
      </c>
      <c r="M95" s="109"/>
      <c r="N95" s="109">
        <f>'Key Inputs_New Techs'!H24</f>
        <v>2030</v>
      </c>
      <c r="O95" s="114" t="s">
        <v>37</v>
      </c>
      <c r="P95" s="120" t="s">
        <v>174</v>
      </c>
      <c r="Q95" s="273">
        <f>'Key Inputs_New Techs'!K24</f>
        <v>5.066722770584752</v>
      </c>
      <c r="R95" s="273">
        <f>'Key Inputs_New Techs'!L24</f>
        <v>5.066722770584752</v>
      </c>
      <c r="S95" s="273">
        <f>'Key Inputs_New Techs'!M24</f>
        <v>5.066722770584752</v>
      </c>
      <c r="T95" s="273">
        <f>'Key Inputs_New Techs'!N24</f>
        <v>5.066722770584752</v>
      </c>
      <c r="U95" s="273">
        <f>'Key Inputs_New Techs'!O24</f>
        <v>4.5238596165935281</v>
      </c>
      <c r="V95" s="273">
        <f>'Key Inputs_New Techs'!P24</f>
        <v>3.7548034817726283</v>
      </c>
      <c r="W95" s="273">
        <f>'Key Inputs_New Techs'!Q24</f>
        <v>3.7548034817726283</v>
      </c>
      <c r="X95" s="273">
        <f>'Key Inputs_New Techs'!R24</f>
        <v>4.5238596165935281</v>
      </c>
      <c r="Y95" s="273">
        <f>'Key Inputs_New Techs'!S24</f>
        <v>5.066722770584752</v>
      </c>
      <c r="Z95" s="273">
        <f>'Key Inputs_New Techs'!T24</f>
        <v>4.5238596165935281</v>
      </c>
      <c r="AA95" s="273">
        <f>'Key Inputs_New Techs'!U24</f>
        <v>5.066722770584752</v>
      </c>
      <c r="AB95" s="273">
        <f>'Key Inputs_New Techs'!V24</f>
        <v>3.7548034817726283</v>
      </c>
      <c r="AC95" s="273">
        <f>'Key Inputs_New Techs'!W24</f>
        <v>5.066722770584752</v>
      </c>
      <c r="AD95" s="273">
        <f>'Key Inputs_New Techs'!X24</f>
        <v>5.066722770584752</v>
      </c>
      <c r="AE95" s="273">
        <f>'Key Inputs_New Techs'!Y24</f>
        <v>5.066722770584752</v>
      </c>
      <c r="AF95" s="273">
        <f>'Key Inputs_New Techs'!Z24</f>
        <v>3.7548034817726283</v>
      </c>
      <c r="AG95" s="273">
        <f>'Key Inputs_New Techs'!AA24</f>
        <v>3.7548034817726283</v>
      </c>
      <c r="AH95" s="273">
        <f>'Key Inputs_New Techs'!AB24</f>
        <v>3.7548034817726283</v>
      </c>
      <c r="AI95" s="273">
        <f>'Key Inputs_New Techs'!AC24</f>
        <v>4.5238596165935281</v>
      </c>
      <c r="AJ95" s="273">
        <f>'Key Inputs_New Techs'!AD24</f>
        <v>4.5238596165935281</v>
      </c>
      <c r="AK95" s="273">
        <f>'Key Inputs_New Techs'!AE24</f>
        <v>5.066722770584752</v>
      </c>
      <c r="AL95" s="273">
        <f>'Key Inputs_New Techs'!AF24</f>
        <v>5.066722770584752</v>
      </c>
      <c r="AM95" s="273">
        <f>'Key Inputs_New Techs'!AG24</f>
        <v>5.066722770584752</v>
      </c>
      <c r="AN95" s="273">
        <f>'Key Inputs_New Techs'!AH24</f>
        <v>5.066722770584752</v>
      </c>
      <c r="AO95" s="273">
        <f>'Key Inputs_New Techs'!AI24</f>
        <v>5.066722770584752</v>
      </c>
      <c r="AP95" s="273">
        <f>'Key Inputs_New Techs'!AJ24</f>
        <v>5.066722770584752</v>
      </c>
      <c r="AQ95" s="273">
        <f>'Key Inputs_New Techs'!AK24</f>
        <v>3.7548034817726283</v>
      </c>
      <c r="AR95" s="273">
        <f>'Key Inputs_New Techs'!AL24</f>
        <v>3.7548034817726283</v>
      </c>
      <c r="AS95" s="109"/>
    </row>
    <row r="96" spans="1:45" s="113" customFormat="1" ht="15.75" x14ac:dyDescent="0.25">
      <c r="A96" s="245"/>
      <c r="B96" s="245"/>
      <c r="C96" s="245"/>
      <c r="D96" s="245"/>
      <c r="E96" s="249"/>
      <c r="F96" s="245"/>
      <c r="G96" s="250"/>
      <c r="H96" s="250"/>
      <c r="I96" s="250"/>
      <c r="J96" s="118"/>
      <c r="K96" s="201" t="str">
        <f>IF('Key Inputs_New Techs'!B25="","",'Key Inputs_New Techs'!B25)</f>
        <v/>
      </c>
      <c r="L96" s="109" t="str">
        <f>IFERROR(VLOOKUP(K$95,'Commodities &amp; Processes'!L:M,2,FALSE),"")</f>
        <v>RSD Thermal uses technology: Electricity Heat Pump Wat. (Adv.) -New</v>
      </c>
      <c r="M96" s="109"/>
      <c r="N96" s="109">
        <f>'Key Inputs_New Techs'!H25</f>
        <v>2050</v>
      </c>
      <c r="O96" s="114" t="s">
        <v>37</v>
      </c>
      <c r="P96" s="120" t="s">
        <v>174</v>
      </c>
      <c r="Q96" s="273">
        <f>'Key Inputs_New Techs'!K25</f>
        <v>6.4220215387553994</v>
      </c>
      <c r="R96" s="273">
        <f>'Key Inputs_New Techs'!L25</f>
        <v>6.4220215387553994</v>
      </c>
      <c r="S96" s="273">
        <f>'Key Inputs_New Techs'!M25</f>
        <v>6.4220215387553994</v>
      </c>
      <c r="T96" s="273">
        <f>'Key Inputs_New Techs'!N25</f>
        <v>6.4220215387553994</v>
      </c>
      <c r="U96" s="273">
        <f>'Key Inputs_New Techs'!O25</f>
        <v>5.7339478024601771</v>
      </c>
      <c r="V96" s="273">
        <f>'Key Inputs_New Techs'!P25</f>
        <v>4.7591766760419469</v>
      </c>
      <c r="W96" s="273">
        <f>'Key Inputs_New Techs'!Q25</f>
        <v>4.7591766760419469</v>
      </c>
      <c r="X96" s="273">
        <f>'Key Inputs_New Techs'!R25</f>
        <v>5.7339478024601771</v>
      </c>
      <c r="Y96" s="273">
        <f>'Key Inputs_New Techs'!S25</f>
        <v>6.4220215387553994</v>
      </c>
      <c r="Z96" s="273">
        <f>'Key Inputs_New Techs'!T25</f>
        <v>5.7339478024601771</v>
      </c>
      <c r="AA96" s="273">
        <f>'Key Inputs_New Techs'!U25</f>
        <v>6.4220215387553994</v>
      </c>
      <c r="AB96" s="273">
        <f>'Key Inputs_New Techs'!V25</f>
        <v>4.7591766760419469</v>
      </c>
      <c r="AC96" s="273">
        <f>'Key Inputs_New Techs'!W25</f>
        <v>6.4220215387553994</v>
      </c>
      <c r="AD96" s="273">
        <f>'Key Inputs_New Techs'!X25</f>
        <v>6.4220215387553994</v>
      </c>
      <c r="AE96" s="273">
        <f>'Key Inputs_New Techs'!Y25</f>
        <v>6.4220215387553994</v>
      </c>
      <c r="AF96" s="273">
        <f>'Key Inputs_New Techs'!Z25</f>
        <v>4.7591766760419469</v>
      </c>
      <c r="AG96" s="273">
        <f>'Key Inputs_New Techs'!AA25</f>
        <v>4.7591766760419469</v>
      </c>
      <c r="AH96" s="273">
        <f>'Key Inputs_New Techs'!AB25</f>
        <v>4.7591766760419469</v>
      </c>
      <c r="AI96" s="273">
        <f>'Key Inputs_New Techs'!AC25</f>
        <v>5.7339478024601771</v>
      </c>
      <c r="AJ96" s="273">
        <f>'Key Inputs_New Techs'!AD25</f>
        <v>5.7339478024601771</v>
      </c>
      <c r="AK96" s="273">
        <f>'Key Inputs_New Techs'!AE25</f>
        <v>6.4220215387553994</v>
      </c>
      <c r="AL96" s="273">
        <f>'Key Inputs_New Techs'!AF25</f>
        <v>6.4220215387553994</v>
      </c>
      <c r="AM96" s="273">
        <f>'Key Inputs_New Techs'!AG25</f>
        <v>6.4220215387553994</v>
      </c>
      <c r="AN96" s="273">
        <f>'Key Inputs_New Techs'!AH25</f>
        <v>6.4220215387553994</v>
      </c>
      <c r="AO96" s="273">
        <f>'Key Inputs_New Techs'!AI25</f>
        <v>6.4220215387553994</v>
      </c>
      <c r="AP96" s="273">
        <f>'Key Inputs_New Techs'!AJ25</f>
        <v>6.4220215387553994</v>
      </c>
      <c r="AQ96" s="273">
        <f>'Key Inputs_New Techs'!AK25</f>
        <v>4.7591766760419469</v>
      </c>
      <c r="AR96" s="273">
        <f>'Key Inputs_New Techs'!AL25</f>
        <v>4.7591766760419469</v>
      </c>
      <c r="AS96" s="109"/>
    </row>
    <row r="97" spans="1:45" s="113" customFormat="1" ht="15.75" x14ac:dyDescent="0.25">
      <c r="A97" s="245"/>
      <c r="B97" s="245"/>
      <c r="C97" s="245"/>
      <c r="D97" s="245"/>
      <c r="E97" s="249"/>
      <c r="F97" s="245"/>
      <c r="G97" s="250"/>
      <c r="H97" s="250"/>
      <c r="I97" s="250"/>
      <c r="J97" s="118"/>
      <c r="K97" s="201" t="str">
        <f>IF('Key Inputs_New Techs'!B26="","",'Key Inputs_New Techs'!B26)</f>
        <v>R-THL-RST_ELC07</v>
      </c>
      <c r="L97" s="109" t="str">
        <f>IFERROR(VLOOKUP(K97,'Commodities &amp; Processes'!L:M,2,FALSE),"")</f>
        <v>RSD Thermal uses technology: Electricity Electr. Resist. (Ord.) -New</v>
      </c>
      <c r="M97" s="109"/>
      <c r="N97" s="109">
        <f>'Key Inputs_New Techs'!H26</f>
        <v>2020</v>
      </c>
      <c r="O97" s="114" t="s">
        <v>37</v>
      </c>
      <c r="P97" s="120" t="s">
        <v>174</v>
      </c>
      <c r="Q97" s="273">
        <f>'Key Inputs_New Techs'!K26</f>
        <v>0.99</v>
      </c>
      <c r="R97" s="273">
        <f>'Key Inputs_New Techs'!L26</f>
        <v>0.99</v>
      </c>
      <c r="S97" s="273">
        <f>'Key Inputs_New Techs'!M26</f>
        <v>0.99</v>
      </c>
      <c r="T97" s="273">
        <f>'Key Inputs_New Techs'!N26</f>
        <v>0.99</v>
      </c>
      <c r="U97" s="273">
        <f>'Key Inputs_New Techs'!O26</f>
        <v>0.99</v>
      </c>
      <c r="V97" s="273">
        <f>'Key Inputs_New Techs'!P26</f>
        <v>0.99</v>
      </c>
      <c r="W97" s="273">
        <f>'Key Inputs_New Techs'!Q26</f>
        <v>0.99</v>
      </c>
      <c r="X97" s="273">
        <f>'Key Inputs_New Techs'!R26</f>
        <v>0.99</v>
      </c>
      <c r="Y97" s="273">
        <f>'Key Inputs_New Techs'!S26</f>
        <v>0.99</v>
      </c>
      <c r="Z97" s="273">
        <f>'Key Inputs_New Techs'!T26</f>
        <v>0.99</v>
      </c>
      <c r="AA97" s="273">
        <f>'Key Inputs_New Techs'!U26</f>
        <v>0.99</v>
      </c>
      <c r="AB97" s="273">
        <f>'Key Inputs_New Techs'!V26</f>
        <v>0.99</v>
      </c>
      <c r="AC97" s="273">
        <f>'Key Inputs_New Techs'!W26</f>
        <v>0.99</v>
      </c>
      <c r="AD97" s="273">
        <f>'Key Inputs_New Techs'!X26</f>
        <v>0.99</v>
      </c>
      <c r="AE97" s="273">
        <f>'Key Inputs_New Techs'!Y26</f>
        <v>0.99</v>
      </c>
      <c r="AF97" s="273">
        <f>'Key Inputs_New Techs'!Z26</f>
        <v>0.99</v>
      </c>
      <c r="AG97" s="273">
        <f>'Key Inputs_New Techs'!AA26</f>
        <v>0.99</v>
      </c>
      <c r="AH97" s="273">
        <f>'Key Inputs_New Techs'!AB26</f>
        <v>0.99</v>
      </c>
      <c r="AI97" s="273">
        <f>'Key Inputs_New Techs'!AC26</f>
        <v>0.99</v>
      </c>
      <c r="AJ97" s="273">
        <f>'Key Inputs_New Techs'!AD26</f>
        <v>0.99</v>
      </c>
      <c r="AK97" s="273">
        <f>'Key Inputs_New Techs'!AE26</f>
        <v>0.99</v>
      </c>
      <c r="AL97" s="273">
        <f>'Key Inputs_New Techs'!AF26</f>
        <v>0.99</v>
      </c>
      <c r="AM97" s="273">
        <f>'Key Inputs_New Techs'!AG26</f>
        <v>0.99</v>
      </c>
      <c r="AN97" s="273">
        <f>'Key Inputs_New Techs'!AH26</f>
        <v>0.99</v>
      </c>
      <c r="AO97" s="273">
        <f>'Key Inputs_New Techs'!AI26</f>
        <v>0.99</v>
      </c>
      <c r="AP97" s="273">
        <f>'Key Inputs_New Techs'!AJ26</f>
        <v>0.99</v>
      </c>
      <c r="AQ97" s="273">
        <f>'Key Inputs_New Techs'!AK26</f>
        <v>0.99</v>
      </c>
      <c r="AR97" s="273">
        <f>'Key Inputs_New Techs'!AL26</f>
        <v>0.99</v>
      </c>
      <c r="AS97" s="109"/>
    </row>
    <row r="98" spans="1:45" s="113" customFormat="1" ht="15.75" x14ac:dyDescent="0.25">
      <c r="A98" s="245"/>
      <c r="B98" s="245"/>
      <c r="C98" s="245"/>
      <c r="D98" s="245"/>
      <c r="E98" s="249"/>
      <c r="F98" s="245"/>
      <c r="G98" s="250"/>
      <c r="H98" s="250"/>
      <c r="I98" s="250"/>
      <c r="J98" s="118"/>
      <c r="K98" s="201" t="str">
        <f>IF('Key Inputs_New Techs'!B27="","",'Key Inputs_New Techs'!B27)</f>
        <v>R-THL-BLR_GAS01</v>
      </c>
      <c r="L98" s="109" t="str">
        <f>IFERROR(VLOOKUP(K98,'Commodities &amp; Processes'!L:M,2,FALSE),"")</f>
        <v>RSD Thermal uses technology: Natural gas,Biogas Boiler (Ord.) -New</v>
      </c>
      <c r="M98" s="109"/>
      <c r="N98" s="109">
        <f>'Key Inputs_New Techs'!H27</f>
        <v>2020</v>
      </c>
      <c r="O98" s="114" t="s">
        <v>37</v>
      </c>
      <c r="P98" s="120" t="s">
        <v>174</v>
      </c>
      <c r="Q98" s="273">
        <f>'Key Inputs_New Techs'!K27</f>
        <v>0.86580000000000013</v>
      </c>
      <c r="R98" s="273">
        <f>'Key Inputs_New Techs'!L27</f>
        <v>0.86580000000000013</v>
      </c>
      <c r="S98" s="273">
        <f>'Key Inputs_New Techs'!M27</f>
        <v>0.86580000000000013</v>
      </c>
      <c r="T98" s="273">
        <f>'Key Inputs_New Techs'!N27</f>
        <v>0.86580000000000013</v>
      </c>
      <c r="U98" s="273">
        <f>'Key Inputs_New Techs'!O27</f>
        <v>0.86580000000000013</v>
      </c>
      <c r="V98" s="273">
        <f>'Key Inputs_New Techs'!P27</f>
        <v>0.86580000000000013</v>
      </c>
      <c r="W98" s="273">
        <f>'Key Inputs_New Techs'!Q27</f>
        <v>0.86580000000000013</v>
      </c>
      <c r="X98" s="273">
        <f>'Key Inputs_New Techs'!R27</f>
        <v>0.86580000000000013</v>
      </c>
      <c r="Y98" s="273">
        <f>'Key Inputs_New Techs'!S27</f>
        <v>0.86580000000000013</v>
      </c>
      <c r="Z98" s="273">
        <f>'Key Inputs_New Techs'!T27</f>
        <v>0.86580000000000013</v>
      </c>
      <c r="AA98" s="273">
        <f>'Key Inputs_New Techs'!U27</f>
        <v>0.86580000000000013</v>
      </c>
      <c r="AB98" s="273">
        <f>'Key Inputs_New Techs'!V27</f>
        <v>0.86580000000000013</v>
      </c>
      <c r="AC98" s="273">
        <f>'Key Inputs_New Techs'!W27</f>
        <v>0.86580000000000013</v>
      </c>
      <c r="AD98" s="273">
        <f>'Key Inputs_New Techs'!X27</f>
        <v>0.86580000000000013</v>
      </c>
      <c r="AE98" s="273">
        <f>'Key Inputs_New Techs'!Y27</f>
        <v>0.86580000000000013</v>
      </c>
      <c r="AF98" s="273">
        <f>'Key Inputs_New Techs'!Z27</f>
        <v>0.86580000000000013</v>
      </c>
      <c r="AG98" s="273">
        <f>'Key Inputs_New Techs'!AA27</f>
        <v>0.86580000000000013</v>
      </c>
      <c r="AH98" s="273">
        <f>'Key Inputs_New Techs'!AB27</f>
        <v>0.86580000000000013</v>
      </c>
      <c r="AI98" s="273">
        <f>'Key Inputs_New Techs'!AC27</f>
        <v>0.86580000000000013</v>
      </c>
      <c r="AJ98" s="273">
        <f>'Key Inputs_New Techs'!AD27</f>
        <v>0.86580000000000013</v>
      </c>
      <c r="AK98" s="273">
        <f>'Key Inputs_New Techs'!AE27</f>
        <v>0.86580000000000013</v>
      </c>
      <c r="AL98" s="273">
        <f>'Key Inputs_New Techs'!AF27</f>
        <v>0.86580000000000013</v>
      </c>
      <c r="AM98" s="273">
        <f>'Key Inputs_New Techs'!AG27</f>
        <v>0.86580000000000013</v>
      </c>
      <c r="AN98" s="273">
        <f>'Key Inputs_New Techs'!AH27</f>
        <v>0.86580000000000013</v>
      </c>
      <c r="AO98" s="273">
        <f>'Key Inputs_New Techs'!AI27</f>
        <v>0.86580000000000013</v>
      </c>
      <c r="AP98" s="273">
        <f>'Key Inputs_New Techs'!AJ27</f>
        <v>0.86580000000000013</v>
      </c>
      <c r="AQ98" s="273">
        <f>'Key Inputs_New Techs'!AK27</f>
        <v>0.86580000000000013</v>
      </c>
      <c r="AR98" s="273">
        <f>'Key Inputs_New Techs'!AL27</f>
        <v>0.86580000000000013</v>
      </c>
      <c r="AS98" s="109"/>
    </row>
    <row r="99" spans="1:45" s="113" customFormat="1" ht="15.75" x14ac:dyDescent="0.25">
      <c r="A99" s="245"/>
      <c r="B99" s="245"/>
      <c r="C99" s="245"/>
      <c r="D99" s="245"/>
      <c r="E99" s="249"/>
      <c r="F99" s="245"/>
      <c r="G99" s="250"/>
      <c r="H99" s="250"/>
      <c r="I99" s="250"/>
      <c r="J99" s="118"/>
      <c r="K99" s="201" t="str">
        <f>IF('Key Inputs_New Techs'!B28="","",'Key Inputs_New Techs'!B28)</f>
        <v>R-THL-BLR_GAS02</v>
      </c>
      <c r="L99" s="109" t="str">
        <f>IFERROR(VLOOKUP(K99,'Commodities &amp; Processes'!L:M,2,FALSE),"")</f>
        <v>RSD Thermal uses technology: Natural gas,Biogas Boiler cond. (Ord.) -New</v>
      </c>
      <c r="M99" s="109"/>
      <c r="N99" s="109">
        <f>'Key Inputs_New Techs'!H28</f>
        <v>2020</v>
      </c>
      <c r="O99" s="114" t="s">
        <v>37</v>
      </c>
      <c r="P99" s="120" t="s">
        <v>174</v>
      </c>
      <c r="Q99" s="273">
        <f>'Key Inputs_New Techs'!K28</f>
        <v>1.0323</v>
      </c>
      <c r="R99" s="273">
        <f>'Key Inputs_New Techs'!L28</f>
        <v>1.0323</v>
      </c>
      <c r="S99" s="273">
        <f>'Key Inputs_New Techs'!M28</f>
        <v>1.0323</v>
      </c>
      <c r="T99" s="273">
        <f>'Key Inputs_New Techs'!N28</f>
        <v>1.0323</v>
      </c>
      <c r="U99" s="273">
        <f>'Key Inputs_New Techs'!O28</f>
        <v>1.0323</v>
      </c>
      <c r="V99" s="273">
        <f>'Key Inputs_New Techs'!P28</f>
        <v>1.0323</v>
      </c>
      <c r="W99" s="273">
        <f>'Key Inputs_New Techs'!Q28</f>
        <v>1.0323</v>
      </c>
      <c r="X99" s="273">
        <f>'Key Inputs_New Techs'!R28</f>
        <v>1.0323</v>
      </c>
      <c r="Y99" s="273">
        <f>'Key Inputs_New Techs'!S28</f>
        <v>1.0323</v>
      </c>
      <c r="Z99" s="273">
        <f>'Key Inputs_New Techs'!T28</f>
        <v>1.0323</v>
      </c>
      <c r="AA99" s="273">
        <f>'Key Inputs_New Techs'!U28</f>
        <v>1.0323</v>
      </c>
      <c r="AB99" s="273">
        <f>'Key Inputs_New Techs'!V28</f>
        <v>1.0323</v>
      </c>
      <c r="AC99" s="273">
        <f>'Key Inputs_New Techs'!W28</f>
        <v>1.0323</v>
      </c>
      <c r="AD99" s="273">
        <f>'Key Inputs_New Techs'!X28</f>
        <v>1.0323</v>
      </c>
      <c r="AE99" s="273">
        <f>'Key Inputs_New Techs'!Y28</f>
        <v>1.0323</v>
      </c>
      <c r="AF99" s="273">
        <f>'Key Inputs_New Techs'!Z28</f>
        <v>1.0323</v>
      </c>
      <c r="AG99" s="273">
        <f>'Key Inputs_New Techs'!AA28</f>
        <v>1.0323</v>
      </c>
      <c r="AH99" s="273">
        <f>'Key Inputs_New Techs'!AB28</f>
        <v>1.0323</v>
      </c>
      <c r="AI99" s="273">
        <f>'Key Inputs_New Techs'!AC28</f>
        <v>1.0323</v>
      </c>
      <c r="AJ99" s="273">
        <f>'Key Inputs_New Techs'!AD28</f>
        <v>1.0323</v>
      </c>
      <c r="AK99" s="273">
        <f>'Key Inputs_New Techs'!AE28</f>
        <v>1.0323</v>
      </c>
      <c r="AL99" s="273">
        <f>'Key Inputs_New Techs'!AF28</f>
        <v>1.0323</v>
      </c>
      <c r="AM99" s="273">
        <f>'Key Inputs_New Techs'!AG28</f>
        <v>1.0323</v>
      </c>
      <c r="AN99" s="273">
        <f>'Key Inputs_New Techs'!AH28</f>
        <v>1.0323</v>
      </c>
      <c r="AO99" s="273">
        <f>'Key Inputs_New Techs'!AI28</f>
        <v>1.0323</v>
      </c>
      <c r="AP99" s="273">
        <f>'Key Inputs_New Techs'!AJ28</f>
        <v>1.0323</v>
      </c>
      <c r="AQ99" s="273">
        <f>'Key Inputs_New Techs'!AK28</f>
        <v>1.0323</v>
      </c>
      <c r="AR99" s="273">
        <f>'Key Inputs_New Techs'!AL28</f>
        <v>1.0323</v>
      </c>
      <c r="AS99" s="109"/>
    </row>
    <row r="100" spans="1:45" s="113" customFormat="1" ht="15.75" x14ac:dyDescent="0.25">
      <c r="A100" s="245"/>
      <c r="B100" s="245"/>
      <c r="C100" s="245"/>
      <c r="D100" s="245"/>
      <c r="E100" s="249"/>
      <c r="F100" s="245"/>
      <c r="G100" s="250"/>
      <c r="H100" s="250"/>
      <c r="I100" s="250"/>
      <c r="J100" s="118"/>
      <c r="K100" s="201" t="str">
        <f>IF('Key Inputs_New Techs'!B29="","",'Key Inputs_New Techs'!B29)</f>
        <v>R-THL-BLR_GAS03</v>
      </c>
      <c r="L100" s="109" t="str">
        <f>IFERROR(VLOOKUP(K$100,'Commodities &amp; Processes'!L:M,2,FALSE),"")</f>
        <v>RSD Thermal uses technology: Natural gas,Biogas Boiler (Imp.) -New</v>
      </c>
      <c r="M100" s="109"/>
      <c r="N100" s="109">
        <f>'Key Inputs_New Techs'!H29</f>
        <v>2025</v>
      </c>
      <c r="O100" s="114" t="s">
        <v>37</v>
      </c>
      <c r="P100" s="120" t="s">
        <v>174</v>
      </c>
      <c r="Q100" s="273">
        <f>'Key Inputs_New Techs'!K29</f>
        <v>1.0323</v>
      </c>
      <c r="R100" s="273">
        <f>'Key Inputs_New Techs'!L29</f>
        <v>1.0323</v>
      </c>
      <c r="S100" s="273">
        <f>'Key Inputs_New Techs'!M29</f>
        <v>1.0323</v>
      </c>
      <c r="T100" s="273">
        <f>'Key Inputs_New Techs'!N29</f>
        <v>1.0323</v>
      </c>
      <c r="U100" s="273">
        <f>'Key Inputs_New Techs'!O29</f>
        <v>1.0323</v>
      </c>
      <c r="V100" s="273">
        <f>'Key Inputs_New Techs'!P29</f>
        <v>1.0323</v>
      </c>
      <c r="W100" s="273">
        <f>'Key Inputs_New Techs'!Q29</f>
        <v>1.0323</v>
      </c>
      <c r="X100" s="273">
        <f>'Key Inputs_New Techs'!R29</f>
        <v>1.0323</v>
      </c>
      <c r="Y100" s="273">
        <f>'Key Inputs_New Techs'!S29</f>
        <v>1.0323</v>
      </c>
      <c r="Z100" s="273">
        <f>'Key Inputs_New Techs'!T29</f>
        <v>1.0323</v>
      </c>
      <c r="AA100" s="273">
        <f>'Key Inputs_New Techs'!U29</f>
        <v>1.0323</v>
      </c>
      <c r="AB100" s="273">
        <f>'Key Inputs_New Techs'!V29</f>
        <v>1.0323</v>
      </c>
      <c r="AC100" s="273">
        <f>'Key Inputs_New Techs'!W29</f>
        <v>1.0323</v>
      </c>
      <c r="AD100" s="273">
        <f>'Key Inputs_New Techs'!X29</f>
        <v>1.0323</v>
      </c>
      <c r="AE100" s="273">
        <f>'Key Inputs_New Techs'!Y29</f>
        <v>1.0323</v>
      </c>
      <c r="AF100" s="273">
        <f>'Key Inputs_New Techs'!Z29</f>
        <v>1.0323</v>
      </c>
      <c r="AG100" s="273">
        <f>'Key Inputs_New Techs'!AA29</f>
        <v>1.0323</v>
      </c>
      <c r="AH100" s="273">
        <f>'Key Inputs_New Techs'!AB29</f>
        <v>1.0323</v>
      </c>
      <c r="AI100" s="273">
        <f>'Key Inputs_New Techs'!AC29</f>
        <v>1.0323</v>
      </c>
      <c r="AJ100" s="273">
        <f>'Key Inputs_New Techs'!AD29</f>
        <v>1.0323</v>
      </c>
      <c r="AK100" s="273">
        <f>'Key Inputs_New Techs'!AE29</f>
        <v>1.0323</v>
      </c>
      <c r="AL100" s="273">
        <f>'Key Inputs_New Techs'!AF29</f>
        <v>1.0323</v>
      </c>
      <c r="AM100" s="273">
        <f>'Key Inputs_New Techs'!AG29</f>
        <v>1.0323</v>
      </c>
      <c r="AN100" s="273">
        <f>'Key Inputs_New Techs'!AH29</f>
        <v>1.0323</v>
      </c>
      <c r="AO100" s="273">
        <f>'Key Inputs_New Techs'!AI29</f>
        <v>1.0323</v>
      </c>
      <c r="AP100" s="273">
        <f>'Key Inputs_New Techs'!AJ29</f>
        <v>1.0323</v>
      </c>
      <c r="AQ100" s="273">
        <f>'Key Inputs_New Techs'!AK29</f>
        <v>1.0323</v>
      </c>
      <c r="AR100" s="273">
        <f>'Key Inputs_New Techs'!AL29</f>
        <v>1.0323</v>
      </c>
      <c r="AS100" s="109"/>
    </row>
    <row r="101" spans="1:45" s="113" customFormat="1" ht="15.75" x14ac:dyDescent="0.25">
      <c r="A101" s="245"/>
      <c r="B101" s="245"/>
      <c r="C101" s="245"/>
      <c r="D101" s="245"/>
      <c r="E101" s="249"/>
      <c r="F101" s="245"/>
      <c r="G101" s="250"/>
      <c r="H101" s="250"/>
      <c r="I101" s="250"/>
      <c r="J101" s="118"/>
      <c r="K101" s="201" t="str">
        <f>IF('Key Inputs_New Techs'!B30="","",'Key Inputs_New Techs'!B30)</f>
        <v/>
      </c>
      <c r="L101" s="109" t="str">
        <f>IFERROR(VLOOKUP(K$100,'Commodities &amp; Processes'!L:M,2,FALSE),"")</f>
        <v>RSD Thermal uses technology: Natural gas,Biogas Boiler (Imp.) -New</v>
      </c>
      <c r="M101" s="109"/>
      <c r="N101" s="109">
        <f>'Key Inputs_New Techs'!H30</f>
        <v>2030</v>
      </c>
      <c r="O101" s="114" t="s">
        <v>37</v>
      </c>
      <c r="P101" s="120" t="s">
        <v>174</v>
      </c>
      <c r="Q101" s="273">
        <f>'Key Inputs_New Techs'!K30</f>
        <v>0.98790000000000011</v>
      </c>
      <c r="R101" s="273">
        <f>'Key Inputs_New Techs'!L30</f>
        <v>0.98790000000000011</v>
      </c>
      <c r="S101" s="273">
        <f>'Key Inputs_New Techs'!M30</f>
        <v>0.98790000000000011</v>
      </c>
      <c r="T101" s="273">
        <f>'Key Inputs_New Techs'!N30</f>
        <v>0.98790000000000011</v>
      </c>
      <c r="U101" s="273">
        <f>'Key Inputs_New Techs'!O30</f>
        <v>0.98790000000000011</v>
      </c>
      <c r="V101" s="273">
        <f>'Key Inputs_New Techs'!P30</f>
        <v>0.98790000000000011</v>
      </c>
      <c r="W101" s="273">
        <f>'Key Inputs_New Techs'!Q30</f>
        <v>0.98790000000000011</v>
      </c>
      <c r="X101" s="273">
        <f>'Key Inputs_New Techs'!R30</f>
        <v>0.98790000000000011</v>
      </c>
      <c r="Y101" s="273">
        <f>'Key Inputs_New Techs'!S30</f>
        <v>0.98790000000000011</v>
      </c>
      <c r="Z101" s="273">
        <f>'Key Inputs_New Techs'!T30</f>
        <v>0.98790000000000011</v>
      </c>
      <c r="AA101" s="273">
        <f>'Key Inputs_New Techs'!U30</f>
        <v>0.98790000000000011</v>
      </c>
      <c r="AB101" s="273">
        <f>'Key Inputs_New Techs'!V30</f>
        <v>0.98790000000000011</v>
      </c>
      <c r="AC101" s="273">
        <f>'Key Inputs_New Techs'!W30</f>
        <v>0.98790000000000011</v>
      </c>
      <c r="AD101" s="273">
        <f>'Key Inputs_New Techs'!X30</f>
        <v>0.98790000000000011</v>
      </c>
      <c r="AE101" s="273">
        <f>'Key Inputs_New Techs'!Y30</f>
        <v>0.98790000000000011</v>
      </c>
      <c r="AF101" s="273">
        <f>'Key Inputs_New Techs'!Z30</f>
        <v>0.98790000000000011</v>
      </c>
      <c r="AG101" s="273">
        <f>'Key Inputs_New Techs'!AA30</f>
        <v>0.98790000000000011</v>
      </c>
      <c r="AH101" s="273">
        <f>'Key Inputs_New Techs'!AB30</f>
        <v>0.98790000000000011</v>
      </c>
      <c r="AI101" s="273">
        <f>'Key Inputs_New Techs'!AC30</f>
        <v>0.98790000000000011</v>
      </c>
      <c r="AJ101" s="273">
        <f>'Key Inputs_New Techs'!AD30</f>
        <v>0.98790000000000011</v>
      </c>
      <c r="AK101" s="273">
        <f>'Key Inputs_New Techs'!AE30</f>
        <v>0.98790000000000011</v>
      </c>
      <c r="AL101" s="273">
        <f>'Key Inputs_New Techs'!AF30</f>
        <v>0.98790000000000011</v>
      </c>
      <c r="AM101" s="273">
        <f>'Key Inputs_New Techs'!AG30</f>
        <v>0.98790000000000011</v>
      </c>
      <c r="AN101" s="273">
        <f>'Key Inputs_New Techs'!AH30</f>
        <v>0.98790000000000011</v>
      </c>
      <c r="AO101" s="273">
        <f>'Key Inputs_New Techs'!AI30</f>
        <v>0.98790000000000011</v>
      </c>
      <c r="AP101" s="273">
        <f>'Key Inputs_New Techs'!AJ30</f>
        <v>0.98790000000000011</v>
      </c>
      <c r="AQ101" s="273">
        <f>'Key Inputs_New Techs'!AK30</f>
        <v>0.98790000000000011</v>
      </c>
      <c r="AR101" s="273">
        <f>'Key Inputs_New Techs'!AL30</f>
        <v>0.98790000000000011</v>
      </c>
      <c r="AS101" s="109"/>
    </row>
    <row r="102" spans="1:45" s="113" customFormat="1" ht="15.75" x14ac:dyDescent="0.25">
      <c r="A102" s="245"/>
      <c r="B102" s="245"/>
      <c r="C102" s="245"/>
      <c r="D102" s="245"/>
      <c r="E102" s="249"/>
      <c r="F102" s="245"/>
      <c r="G102" s="250"/>
      <c r="H102" s="250"/>
      <c r="I102" s="250"/>
      <c r="J102" s="118"/>
      <c r="K102" s="201" t="str">
        <f>IF('Key Inputs_New Techs'!B31="","",'Key Inputs_New Techs'!B31)</f>
        <v>R-THL-BLR_GAS04</v>
      </c>
      <c r="L102" s="109" t="str">
        <f>IFERROR(VLOOKUP(K$102,'Commodities &amp; Processes'!L:M,2,FALSE),"")</f>
        <v>RSD Thermal uses technology: Natural gas,Biogas Boiler cond. (Imp.) -New</v>
      </c>
      <c r="M102" s="109"/>
      <c r="N102" s="109">
        <f>'Key Inputs_New Techs'!H31</f>
        <v>2025</v>
      </c>
      <c r="O102" s="114" t="s">
        <v>37</v>
      </c>
      <c r="P102" s="120" t="s">
        <v>174</v>
      </c>
      <c r="Q102" s="273">
        <f>'Key Inputs_New Techs'!K31</f>
        <v>0.86580000000000013</v>
      </c>
      <c r="R102" s="273">
        <f>'Key Inputs_New Techs'!L31</f>
        <v>0.86580000000000013</v>
      </c>
      <c r="S102" s="273">
        <f>'Key Inputs_New Techs'!M31</f>
        <v>0.86580000000000013</v>
      </c>
      <c r="T102" s="273">
        <f>'Key Inputs_New Techs'!N31</f>
        <v>0.86580000000000013</v>
      </c>
      <c r="U102" s="273">
        <f>'Key Inputs_New Techs'!O31</f>
        <v>0.86580000000000013</v>
      </c>
      <c r="V102" s="273">
        <f>'Key Inputs_New Techs'!P31</f>
        <v>0.86580000000000013</v>
      </c>
      <c r="W102" s="273">
        <f>'Key Inputs_New Techs'!Q31</f>
        <v>0.86580000000000013</v>
      </c>
      <c r="X102" s="273">
        <f>'Key Inputs_New Techs'!R31</f>
        <v>0.86580000000000013</v>
      </c>
      <c r="Y102" s="273">
        <f>'Key Inputs_New Techs'!S31</f>
        <v>0.86580000000000013</v>
      </c>
      <c r="Z102" s="273">
        <f>'Key Inputs_New Techs'!T31</f>
        <v>0.86580000000000013</v>
      </c>
      <c r="AA102" s="273">
        <f>'Key Inputs_New Techs'!U31</f>
        <v>0.86580000000000013</v>
      </c>
      <c r="AB102" s="273">
        <f>'Key Inputs_New Techs'!V31</f>
        <v>0.86580000000000013</v>
      </c>
      <c r="AC102" s="273">
        <f>'Key Inputs_New Techs'!W31</f>
        <v>0.86580000000000013</v>
      </c>
      <c r="AD102" s="273">
        <f>'Key Inputs_New Techs'!X31</f>
        <v>0.86580000000000013</v>
      </c>
      <c r="AE102" s="273">
        <f>'Key Inputs_New Techs'!Y31</f>
        <v>0.86580000000000013</v>
      </c>
      <c r="AF102" s="273">
        <f>'Key Inputs_New Techs'!Z31</f>
        <v>0.86580000000000013</v>
      </c>
      <c r="AG102" s="273">
        <f>'Key Inputs_New Techs'!AA31</f>
        <v>0.86580000000000013</v>
      </c>
      <c r="AH102" s="273">
        <f>'Key Inputs_New Techs'!AB31</f>
        <v>0.86580000000000013</v>
      </c>
      <c r="AI102" s="273">
        <f>'Key Inputs_New Techs'!AC31</f>
        <v>0.86580000000000013</v>
      </c>
      <c r="AJ102" s="273">
        <f>'Key Inputs_New Techs'!AD31</f>
        <v>0.86580000000000013</v>
      </c>
      <c r="AK102" s="273">
        <f>'Key Inputs_New Techs'!AE31</f>
        <v>0.86580000000000013</v>
      </c>
      <c r="AL102" s="273">
        <f>'Key Inputs_New Techs'!AF31</f>
        <v>0.86580000000000013</v>
      </c>
      <c r="AM102" s="273">
        <f>'Key Inputs_New Techs'!AG31</f>
        <v>0.86580000000000013</v>
      </c>
      <c r="AN102" s="273">
        <f>'Key Inputs_New Techs'!AH31</f>
        <v>0.86580000000000013</v>
      </c>
      <c r="AO102" s="273">
        <f>'Key Inputs_New Techs'!AI31</f>
        <v>0.86580000000000013</v>
      </c>
      <c r="AP102" s="273">
        <f>'Key Inputs_New Techs'!AJ31</f>
        <v>0.86580000000000013</v>
      </c>
      <c r="AQ102" s="273">
        <f>'Key Inputs_New Techs'!AK31</f>
        <v>0.86580000000000013</v>
      </c>
      <c r="AR102" s="273">
        <f>'Key Inputs_New Techs'!AL31</f>
        <v>0.86580000000000013</v>
      </c>
      <c r="AS102" s="109"/>
    </row>
    <row r="103" spans="1:45" s="113" customFormat="1" ht="15.75" x14ac:dyDescent="0.25">
      <c r="A103" s="245"/>
      <c r="B103" s="245"/>
      <c r="C103" s="245"/>
      <c r="D103" s="245"/>
      <c r="E103" s="249"/>
      <c r="F103" s="245"/>
      <c r="G103" s="250"/>
      <c r="H103" s="250"/>
      <c r="I103" s="250"/>
      <c r="J103" s="118"/>
      <c r="K103" s="201" t="str">
        <f>IF('Key Inputs_New Techs'!B32="","",'Key Inputs_New Techs'!B32)</f>
        <v/>
      </c>
      <c r="L103" s="109" t="str">
        <f>IFERROR(VLOOKUP(K$102,'Commodities &amp; Processes'!L:M,2,FALSE),"")</f>
        <v>RSD Thermal uses technology: Natural gas,Biogas Boiler cond. (Imp.) -New</v>
      </c>
      <c r="M103" s="109"/>
      <c r="N103" s="109">
        <f>'Key Inputs_New Techs'!H32</f>
        <v>2030</v>
      </c>
      <c r="O103" s="114" t="s">
        <v>37</v>
      </c>
      <c r="P103" s="120" t="s">
        <v>174</v>
      </c>
      <c r="Q103" s="273">
        <f>'Key Inputs_New Techs'!K32</f>
        <v>1.0767000000000002</v>
      </c>
      <c r="R103" s="273">
        <f>'Key Inputs_New Techs'!L32</f>
        <v>1.0767000000000002</v>
      </c>
      <c r="S103" s="273">
        <f>'Key Inputs_New Techs'!M32</f>
        <v>1.0767000000000002</v>
      </c>
      <c r="T103" s="273">
        <f>'Key Inputs_New Techs'!N32</f>
        <v>1.0767000000000002</v>
      </c>
      <c r="U103" s="273">
        <f>'Key Inputs_New Techs'!O32</f>
        <v>1.0767000000000002</v>
      </c>
      <c r="V103" s="273">
        <f>'Key Inputs_New Techs'!P32</f>
        <v>1.0767000000000002</v>
      </c>
      <c r="W103" s="273">
        <f>'Key Inputs_New Techs'!Q32</f>
        <v>1.0767000000000002</v>
      </c>
      <c r="X103" s="273">
        <f>'Key Inputs_New Techs'!R32</f>
        <v>1.0767000000000002</v>
      </c>
      <c r="Y103" s="273">
        <f>'Key Inputs_New Techs'!S32</f>
        <v>1.0767000000000002</v>
      </c>
      <c r="Z103" s="273">
        <f>'Key Inputs_New Techs'!T32</f>
        <v>1.0767000000000002</v>
      </c>
      <c r="AA103" s="273">
        <f>'Key Inputs_New Techs'!U32</f>
        <v>1.0767000000000002</v>
      </c>
      <c r="AB103" s="273">
        <f>'Key Inputs_New Techs'!V32</f>
        <v>1.0767000000000002</v>
      </c>
      <c r="AC103" s="273">
        <f>'Key Inputs_New Techs'!W32</f>
        <v>1.0767000000000002</v>
      </c>
      <c r="AD103" s="273">
        <f>'Key Inputs_New Techs'!X32</f>
        <v>1.0767000000000002</v>
      </c>
      <c r="AE103" s="273">
        <f>'Key Inputs_New Techs'!Y32</f>
        <v>1.0767000000000002</v>
      </c>
      <c r="AF103" s="273">
        <f>'Key Inputs_New Techs'!Z32</f>
        <v>1.0767000000000002</v>
      </c>
      <c r="AG103" s="273">
        <f>'Key Inputs_New Techs'!AA32</f>
        <v>1.0767000000000002</v>
      </c>
      <c r="AH103" s="273">
        <f>'Key Inputs_New Techs'!AB32</f>
        <v>1.0767000000000002</v>
      </c>
      <c r="AI103" s="273">
        <f>'Key Inputs_New Techs'!AC32</f>
        <v>1.0767000000000002</v>
      </c>
      <c r="AJ103" s="273">
        <f>'Key Inputs_New Techs'!AD32</f>
        <v>1.0767000000000002</v>
      </c>
      <c r="AK103" s="273">
        <f>'Key Inputs_New Techs'!AE32</f>
        <v>1.0767000000000002</v>
      </c>
      <c r="AL103" s="273">
        <f>'Key Inputs_New Techs'!AF32</f>
        <v>1.0767000000000002</v>
      </c>
      <c r="AM103" s="273">
        <f>'Key Inputs_New Techs'!AG32</f>
        <v>1.0767000000000002</v>
      </c>
      <c r="AN103" s="273">
        <f>'Key Inputs_New Techs'!AH32</f>
        <v>1.0767000000000002</v>
      </c>
      <c r="AO103" s="273">
        <f>'Key Inputs_New Techs'!AI32</f>
        <v>1.0767000000000002</v>
      </c>
      <c r="AP103" s="273">
        <f>'Key Inputs_New Techs'!AJ32</f>
        <v>1.0767000000000002</v>
      </c>
      <c r="AQ103" s="273">
        <f>'Key Inputs_New Techs'!AK32</f>
        <v>1.0767000000000002</v>
      </c>
      <c r="AR103" s="273">
        <f>'Key Inputs_New Techs'!AL32</f>
        <v>1.0767000000000002</v>
      </c>
      <c r="AS103" s="109"/>
    </row>
    <row r="104" spans="1:45" s="113" customFormat="1" ht="15.75" x14ac:dyDescent="0.25">
      <c r="A104" s="245"/>
      <c r="B104" s="245"/>
      <c r="C104" s="245"/>
      <c r="D104" s="245"/>
      <c r="E104" s="249"/>
      <c r="F104" s="245"/>
      <c r="G104" s="250"/>
      <c r="H104" s="250"/>
      <c r="I104" s="250"/>
      <c r="J104" s="118"/>
      <c r="K104" s="201" t="str">
        <f>IF('Key Inputs_New Techs'!B33="","",'Key Inputs_New Techs'!B33)</f>
        <v>R-THL-HPA_GAS05</v>
      </c>
      <c r="L104" s="109" t="str">
        <f>IFERROR(VLOOKUP(K104,'Commodities &amp; Processes'!L:M,2,FALSE),"")</f>
        <v>RSD Thermal uses technology: Natural gas,Biogas Heat Pump (Ord.) -New</v>
      </c>
      <c r="M104" s="109"/>
      <c r="N104" s="109">
        <f>'Key Inputs_New Techs'!H33</f>
        <v>2020</v>
      </c>
      <c r="O104" s="114" t="s">
        <v>37</v>
      </c>
      <c r="P104" s="120" t="s">
        <v>174</v>
      </c>
      <c r="Q104" s="273">
        <f>'Key Inputs_New Techs'!K33</f>
        <v>1.3</v>
      </c>
      <c r="R104" s="273">
        <f>'Key Inputs_New Techs'!L33</f>
        <v>1.3</v>
      </c>
      <c r="S104" s="273">
        <f>'Key Inputs_New Techs'!M33</f>
        <v>1.3</v>
      </c>
      <c r="T104" s="273">
        <f>'Key Inputs_New Techs'!N33</f>
        <v>1.3</v>
      </c>
      <c r="U104" s="273">
        <f>'Key Inputs_New Techs'!O33</f>
        <v>1.3</v>
      </c>
      <c r="V104" s="273">
        <f>'Key Inputs_New Techs'!P33</f>
        <v>1.3</v>
      </c>
      <c r="W104" s="273">
        <f>'Key Inputs_New Techs'!Q33</f>
        <v>1.3</v>
      </c>
      <c r="X104" s="273">
        <f>'Key Inputs_New Techs'!R33</f>
        <v>1.3</v>
      </c>
      <c r="Y104" s="273">
        <f>'Key Inputs_New Techs'!S33</f>
        <v>1.3</v>
      </c>
      <c r="Z104" s="273">
        <f>'Key Inputs_New Techs'!T33</f>
        <v>1.3</v>
      </c>
      <c r="AA104" s="273">
        <f>'Key Inputs_New Techs'!U33</f>
        <v>1.3</v>
      </c>
      <c r="AB104" s="273">
        <f>'Key Inputs_New Techs'!V33</f>
        <v>1.3</v>
      </c>
      <c r="AC104" s="273">
        <f>'Key Inputs_New Techs'!W33</f>
        <v>1.3</v>
      </c>
      <c r="AD104" s="273">
        <f>'Key Inputs_New Techs'!X33</f>
        <v>1.3</v>
      </c>
      <c r="AE104" s="273">
        <f>'Key Inputs_New Techs'!Y33</f>
        <v>1.3</v>
      </c>
      <c r="AF104" s="273">
        <f>'Key Inputs_New Techs'!Z33</f>
        <v>1.3</v>
      </c>
      <c r="AG104" s="273">
        <f>'Key Inputs_New Techs'!AA33</f>
        <v>1.3</v>
      </c>
      <c r="AH104" s="273">
        <f>'Key Inputs_New Techs'!AB33</f>
        <v>1.3</v>
      </c>
      <c r="AI104" s="273">
        <f>'Key Inputs_New Techs'!AC33</f>
        <v>1.3</v>
      </c>
      <c r="AJ104" s="273">
        <f>'Key Inputs_New Techs'!AD33</f>
        <v>1.3</v>
      </c>
      <c r="AK104" s="273">
        <f>'Key Inputs_New Techs'!AE33</f>
        <v>1.3</v>
      </c>
      <c r="AL104" s="273">
        <f>'Key Inputs_New Techs'!AF33</f>
        <v>1.3</v>
      </c>
      <c r="AM104" s="273">
        <f>'Key Inputs_New Techs'!AG33</f>
        <v>1.3</v>
      </c>
      <c r="AN104" s="273">
        <f>'Key Inputs_New Techs'!AH33</f>
        <v>1.3</v>
      </c>
      <c r="AO104" s="273">
        <f>'Key Inputs_New Techs'!AI33</f>
        <v>1.3</v>
      </c>
      <c r="AP104" s="273">
        <f>'Key Inputs_New Techs'!AJ33</f>
        <v>1.3</v>
      </c>
      <c r="AQ104" s="273">
        <f>'Key Inputs_New Techs'!AK33</f>
        <v>1.3</v>
      </c>
      <c r="AR104" s="273">
        <f>'Key Inputs_New Techs'!AL33</f>
        <v>1.3</v>
      </c>
      <c r="AS104" s="109"/>
    </row>
    <row r="105" spans="1:45" s="113" customFormat="1" ht="15.75" x14ac:dyDescent="0.25">
      <c r="A105" s="245"/>
      <c r="B105" s="245"/>
      <c r="C105" s="245"/>
      <c r="D105" s="245"/>
      <c r="E105" s="249"/>
      <c r="F105" s="245"/>
      <c r="G105" s="250"/>
      <c r="H105" s="250"/>
      <c r="I105" s="250"/>
      <c r="J105" s="118"/>
      <c r="K105" s="201" t="str">
        <f>IF('Key Inputs_New Techs'!B34="","",'Key Inputs_New Techs'!B34)</f>
        <v>R-THL-HPA_GAS06</v>
      </c>
      <c r="L105" s="109" t="str">
        <f>IFERROR(VLOOKUP(K$105,'Commodities &amp; Processes'!L:M,2,FALSE),"")</f>
        <v>RSD Thermal uses technology: Natural gas,Biogas Heat Pump (Imp.) -New</v>
      </c>
      <c r="M105" s="109"/>
      <c r="N105" s="109">
        <f>'Key Inputs_New Techs'!H34</f>
        <v>2025</v>
      </c>
      <c r="O105" s="114" t="s">
        <v>37</v>
      </c>
      <c r="P105" s="120" t="s">
        <v>174</v>
      </c>
      <c r="Q105" s="273">
        <f>'Key Inputs_New Techs'!K34</f>
        <v>1.3</v>
      </c>
      <c r="R105" s="273">
        <f>'Key Inputs_New Techs'!L34</f>
        <v>1.3</v>
      </c>
      <c r="S105" s="273">
        <f>'Key Inputs_New Techs'!M34</f>
        <v>1.3</v>
      </c>
      <c r="T105" s="273">
        <f>'Key Inputs_New Techs'!N34</f>
        <v>1.3</v>
      </c>
      <c r="U105" s="273">
        <f>'Key Inputs_New Techs'!O34</f>
        <v>1.3</v>
      </c>
      <c r="V105" s="273">
        <f>'Key Inputs_New Techs'!P34</f>
        <v>1.3</v>
      </c>
      <c r="W105" s="273">
        <f>'Key Inputs_New Techs'!Q34</f>
        <v>1.3</v>
      </c>
      <c r="X105" s="273">
        <f>'Key Inputs_New Techs'!R34</f>
        <v>1.3</v>
      </c>
      <c r="Y105" s="273">
        <f>'Key Inputs_New Techs'!S34</f>
        <v>1.3</v>
      </c>
      <c r="Z105" s="273">
        <f>'Key Inputs_New Techs'!T34</f>
        <v>1.3</v>
      </c>
      <c r="AA105" s="273">
        <f>'Key Inputs_New Techs'!U34</f>
        <v>1.3</v>
      </c>
      <c r="AB105" s="273">
        <f>'Key Inputs_New Techs'!V34</f>
        <v>1.3</v>
      </c>
      <c r="AC105" s="273">
        <f>'Key Inputs_New Techs'!W34</f>
        <v>1.3</v>
      </c>
      <c r="AD105" s="273">
        <f>'Key Inputs_New Techs'!X34</f>
        <v>1.3</v>
      </c>
      <c r="AE105" s="273">
        <f>'Key Inputs_New Techs'!Y34</f>
        <v>1.3</v>
      </c>
      <c r="AF105" s="273">
        <f>'Key Inputs_New Techs'!Z34</f>
        <v>1.3</v>
      </c>
      <c r="AG105" s="273">
        <f>'Key Inputs_New Techs'!AA34</f>
        <v>1.3</v>
      </c>
      <c r="AH105" s="273">
        <f>'Key Inputs_New Techs'!AB34</f>
        <v>1.3</v>
      </c>
      <c r="AI105" s="273">
        <f>'Key Inputs_New Techs'!AC34</f>
        <v>1.3</v>
      </c>
      <c r="AJ105" s="273">
        <f>'Key Inputs_New Techs'!AD34</f>
        <v>1.3</v>
      </c>
      <c r="AK105" s="273">
        <f>'Key Inputs_New Techs'!AE34</f>
        <v>1.3</v>
      </c>
      <c r="AL105" s="273">
        <f>'Key Inputs_New Techs'!AF34</f>
        <v>1.3</v>
      </c>
      <c r="AM105" s="273">
        <f>'Key Inputs_New Techs'!AG34</f>
        <v>1.3</v>
      </c>
      <c r="AN105" s="273">
        <f>'Key Inputs_New Techs'!AH34</f>
        <v>1.3</v>
      </c>
      <c r="AO105" s="273">
        <f>'Key Inputs_New Techs'!AI34</f>
        <v>1.3</v>
      </c>
      <c r="AP105" s="273">
        <f>'Key Inputs_New Techs'!AJ34</f>
        <v>1.3</v>
      </c>
      <c r="AQ105" s="273">
        <f>'Key Inputs_New Techs'!AK34</f>
        <v>1.3</v>
      </c>
      <c r="AR105" s="273">
        <f>'Key Inputs_New Techs'!AL34</f>
        <v>1.3</v>
      </c>
      <c r="AS105" s="109"/>
    </row>
    <row r="106" spans="1:45" s="113" customFormat="1" ht="15.75" x14ac:dyDescent="0.25">
      <c r="A106" s="245"/>
      <c r="B106" s="245"/>
      <c r="C106" s="245"/>
      <c r="D106" s="245"/>
      <c r="E106" s="249"/>
      <c r="F106" s="245"/>
      <c r="G106" s="250"/>
      <c r="H106" s="250"/>
      <c r="I106" s="250"/>
      <c r="J106" s="118"/>
      <c r="K106" s="201" t="str">
        <f>IF('Key Inputs_New Techs'!B35="","",'Key Inputs_New Techs'!B35)</f>
        <v/>
      </c>
      <c r="L106" s="109" t="str">
        <f>IFERROR(VLOOKUP(K$105,'Commodities &amp; Processes'!L:M,2,FALSE),"")</f>
        <v>RSD Thermal uses technology: Natural gas,Biogas Heat Pump (Imp.) -New</v>
      </c>
      <c r="M106" s="109"/>
      <c r="N106" s="109">
        <f>'Key Inputs_New Techs'!H35</f>
        <v>2030</v>
      </c>
      <c r="O106" s="114" t="s">
        <v>37</v>
      </c>
      <c r="P106" s="120" t="s">
        <v>174</v>
      </c>
      <c r="Q106" s="273">
        <f>'Key Inputs_New Techs'!K35</f>
        <v>1.6140000000000003</v>
      </c>
      <c r="R106" s="273">
        <f>'Key Inputs_New Techs'!L35</f>
        <v>1.6140000000000003</v>
      </c>
      <c r="S106" s="273">
        <f>'Key Inputs_New Techs'!M35</f>
        <v>1.6140000000000003</v>
      </c>
      <c r="T106" s="273">
        <f>'Key Inputs_New Techs'!N35</f>
        <v>1.6140000000000003</v>
      </c>
      <c r="U106" s="273">
        <f>'Key Inputs_New Techs'!O35</f>
        <v>1.6140000000000003</v>
      </c>
      <c r="V106" s="273">
        <f>'Key Inputs_New Techs'!P35</f>
        <v>1.6140000000000003</v>
      </c>
      <c r="W106" s="273">
        <f>'Key Inputs_New Techs'!Q35</f>
        <v>1.6140000000000003</v>
      </c>
      <c r="X106" s="273">
        <f>'Key Inputs_New Techs'!R35</f>
        <v>1.6140000000000003</v>
      </c>
      <c r="Y106" s="273">
        <f>'Key Inputs_New Techs'!S35</f>
        <v>1.6140000000000003</v>
      </c>
      <c r="Z106" s="273">
        <f>'Key Inputs_New Techs'!T35</f>
        <v>1.6140000000000003</v>
      </c>
      <c r="AA106" s="273">
        <f>'Key Inputs_New Techs'!U35</f>
        <v>1.6140000000000003</v>
      </c>
      <c r="AB106" s="273">
        <f>'Key Inputs_New Techs'!V35</f>
        <v>1.6140000000000003</v>
      </c>
      <c r="AC106" s="273">
        <f>'Key Inputs_New Techs'!W35</f>
        <v>1.6140000000000003</v>
      </c>
      <c r="AD106" s="273">
        <f>'Key Inputs_New Techs'!X35</f>
        <v>1.6140000000000003</v>
      </c>
      <c r="AE106" s="273">
        <f>'Key Inputs_New Techs'!Y35</f>
        <v>1.6140000000000003</v>
      </c>
      <c r="AF106" s="273">
        <f>'Key Inputs_New Techs'!Z35</f>
        <v>1.6140000000000003</v>
      </c>
      <c r="AG106" s="273">
        <f>'Key Inputs_New Techs'!AA35</f>
        <v>1.6140000000000003</v>
      </c>
      <c r="AH106" s="273">
        <f>'Key Inputs_New Techs'!AB35</f>
        <v>1.6140000000000003</v>
      </c>
      <c r="AI106" s="273">
        <f>'Key Inputs_New Techs'!AC35</f>
        <v>1.6140000000000003</v>
      </c>
      <c r="AJ106" s="273">
        <f>'Key Inputs_New Techs'!AD35</f>
        <v>1.6140000000000003</v>
      </c>
      <c r="AK106" s="273">
        <f>'Key Inputs_New Techs'!AE35</f>
        <v>1.6140000000000003</v>
      </c>
      <c r="AL106" s="273">
        <f>'Key Inputs_New Techs'!AF35</f>
        <v>1.6140000000000003</v>
      </c>
      <c r="AM106" s="273">
        <f>'Key Inputs_New Techs'!AG35</f>
        <v>1.6140000000000003</v>
      </c>
      <c r="AN106" s="273">
        <f>'Key Inputs_New Techs'!AH35</f>
        <v>1.6140000000000003</v>
      </c>
      <c r="AO106" s="273">
        <f>'Key Inputs_New Techs'!AI35</f>
        <v>1.6140000000000003</v>
      </c>
      <c r="AP106" s="273">
        <f>'Key Inputs_New Techs'!AJ35</f>
        <v>1.6140000000000003</v>
      </c>
      <c r="AQ106" s="273">
        <f>'Key Inputs_New Techs'!AK35</f>
        <v>1.6140000000000003</v>
      </c>
      <c r="AR106" s="273">
        <f>'Key Inputs_New Techs'!AL35</f>
        <v>1.6140000000000003</v>
      </c>
      <c r="AS106" s="109"/>
    </row>
    <row r="107" spans="1:45" s="113" customFormat="1" ht="15.75" x14ac:dyDescent="0.25">
      <c r="A107" s="245"/>
      <c r="B107" s="245"/>
      <c r="C107" s="245"/>
      <c r="D107" s="245"/>
      <c r="E107" s="249"/>
      <c r="F107" s="245"/>
      <c r="G107" s="250"/>
      <c r="H107" s="250"/>
      <c r="I107" s="250"/>
      <c r="J107" s="118"/>
      <c r="K107" s="201" t="str">
        <f>IF('Key Inputs_New Techs'!B36="","",'Key Inputs_New Techs'!B36)</f>
        <v/>
      </c>
      <c r="L107" s="109" t="str">
        <f>IFERROR(VLOOKUP(K$105,'Commodities &amp; Processes'!L:M,2,FALSE),"")</f>
        <v>RSD Thermal uses technology: Natural gas,Biogas Heat Pump (Imp.) -New</v>
      </c>
      <c r="M107" s="109"/>
      <c r="N107" s="109">
        <f>'Key Inputs_New Techs'!H36</f>
        <v>2050</v>
      </c>
      <c r="O107" s="114" t="s">
        <v>37</v>
      </c>
      <c r="P107" s="120" t="s">
        <v>174</v>
      </c>
      <c r="Q107" s="273">
        <f>'Key Inputs_New Techs'!K36</f>
        <v>1.9618181818181823</v>
      </c>
      <c r="R107" s="273">
        <f>'Key Inputs_New Techs'!L36</f>
        <v>1.9618181818181823</v>
      </c>
      <c r="S107" s="273">
        <f>'Key Inputs_New Techs'!M36</f>
        <v>1.9618181818181823</v>
      </c>
      <c r="T107" s="273">
        <f>'Key Inputs_New Techs'!N36</f>
        <v>1.9618181818181823</v>
      </c>
      <c r="U107" s="273">
        <f>'Key Inputs_New Techs'!O36</f>
        <v>1.9618181818181823</v>
      </c>
      <c r="V107" s="273">
        <f>'Key Inputs_New Techs'!P36</f>
        <v>1.9618181818181823</v>
      </c>
      <c r="W107" s="273">
        <f>'Key Inputs_New Techs'!Q36</f>
        <v>1.9618181818181823</v>
      </c>
      <c r="X107" s="273">
        <f>'Key Inputs_New Techs'!R36</f>
        <v>1.9618181818181823</v>
      </c>
      <c r="Y107" s="273">
        <f>'Key Inputs_New Techs'!S36</f>
        <v>1.9618181818181823</v>
      </c>
      <c r="Z107" s="273">
        <f>'Key Inputs_New Techs'!T36</f>
        <v>1.9618181818181823</v>
      </c>
      <c r="AA107" s="273">
        <f>'Key Inputs_New Techs'!U36</f>
        <v>1.9618181818181823</v>
      </c>
      <c r="AB107" s="273">
        <f>'Key Inputs_New Techs'!V36</f>
        <v>1.9618181818181823</v>
      </c>
      <c r="AC107" s="273">
        <f>'Key Inputs_New Techs'!W36</f>
        <v>1.9618181818181823</v>
      </c>
      <c r="AD107" s="273">
        <f>'Key Inputs_New Techs'!X36</f>
        <v>1.9618181818181823</v>
      </c>
      <c r="AE107" s="273">
        <f>'Key Inputs_New Techs'!Y36</f>
        <v>1.9618181818181823</v>
      </c>
      <c r="AF107" s="273">
        <f>'Key Inputs_New Techs'!Z36</f>
        <v>1.9618181818181823</v>
      </c>
      <c r="AG107" s="273">
        <f>'Key Inputs_New Techs'!AA36</f>
        <v>1.9618181818181823</v>
      </c>
      <c r="AH107" s="273">
        <f>'Key Inputs_New Techs'!AB36</f>
        <v>1.9618181818181823</v>
      </c>
      <c r="AI107" s="273">
        <f>'Key Inputs_New Techs'!AC36</f>
        <v>1.9618181818181823</v>
      </c>
      <c r="AJ107" s="273">
        <f>'Key Inputs_New Techs'!AD36</f>
        <v>1.9618181818181823</v>
      </c>
      <c r="AK107" s="273">
        <f>'Key Inputs_New Techs'!AE36</f>
        <v>1.9618181818181823</v>
      </c>
      <c r="AL107" s="273">
        <f>'Key Inputs_New Techs'!AF36</f>
        <v>1.9618181818181823</v>
      </c>
      <c r="AM107" s="273">
        <f>'Key Inputs_New Techs'!AG36</f>
        <v>1.9618181818181823</v>
      </c>
      <c r="AN107" s="273">
        <f>'Key Inputs_New Techs'!AH36</f>
        <v>1.9618181818181823</v>
      </c>
      <c r="AO107" s="273">
        <f>'Key Inputs_New Techs'!AI36</f>
        <v>1.9618181818181823</v>
      </c>
      <c r="AP107" s="273">
        <f>'Key Inputs_New Techs'!AJ36</f>
        <v>1.9618181818181823</v>
      </c>
      <c r="AQ107" s="273">
        <f>'Key Inputs_New Techs'!AK36</f>
        <v>1.9618181818181823</v>
      </c>
      <c r="AR107" s="273">
        <f>'Key Inputs_New Techs'!AL36</f>
        <v>1.9618181818181823</v>
      </c>
      <c r="AS107" s="109"/>
    </row>
    <row r="108" spans="1:45" s="113" customFormat="1" ht="15.75" x14ac:dyDescent="0.25">
      <c r="A108" s="245"/>
      <c r="B108" s="245"/>
      <c r="C108" s="245"/>
      <c r="D108" s="245"/>
      <c r="E108" s="249"/>
      <c r="F108" s="245"/>
      <c r="G108" s="250"/>
      <c r="H108" s="250"/>
      <c r="I108" s="250"/>
      <c r="J108" s="118"/>
      <c r="K108" s="201" t="str">
        <f>IF('Key Inputs_New Techs'!B37="","",'Key Inputs_New Techs'!B37)</f>
        <v>R-THL-HPA_GAS07</v>
      </c>
      <c r="L108" s="109" t="str">
        <f>IFERROR(VLOOKUP(K$108,'Commodities &amp; Processes'!L:M,2,FALSE),"")</f>
        <v>RSD Thermal uses technology: Natural gas,Biogas Heat Pump (Adv.) -New</v>
      </c>
      <c r="M108" s="109"/>
      <c r="N108" s="109">
        <f>'Key Inputs_New Techs'!H37</f>
        <v>2030</v>
      </c>
      <c r="O108" s="114" t="s">
        <v>37</v>
      </c>
      <c r="P108" s="120" t="s">
        <v>174</v>
      </c>
      <c r="Q108" s="273">
        <f>'Key Inputs_New Techs'!K37</f>
        <v>1.7806060606060605</v>
      </c>
      <c r="R108" s="273">
        <f>'Key Inputs_New Techs'!L37</f>
        <v>1.7806060606060605</v>
      </c>
      <c r="S108" s="273">
        <f>'Key Inputs_New Techs'!M37</f>
        <v>1.7806060606060605</v>
      </c>
      <c r="T108" s="273">
        <f>'Key Inputs_New Techs'!N37</f>
        <v>1.7806060606060605</v>
      </c>
      <c r="U108" s="273">
        <f>'Key Inputs_New Techs'!O37</f>
        <v>1.7806060606060605</v>
      </c>
      <c r="V108" s="273">
        <f>'Key Inputs_New Techs'!P37</f>
        <v>1.7806060606060605</v>
      </c>
      <c r="W108" s="273">
        <f>'Key Inputs_New Techs'!Q37</f>
        <v>1.7806060606060605</v>
      </c>
      <c r="X108" s="273">
        <f>'Key Inputs_New Techs'!R37</f>
        <v>1.7806060606060605</v>
      </c>
      <c r="Y108" s="273">
        <f>'Key Inputs_New Techs'!S37</f>
        <v>1.7806060606060605</v>
      </c>
      <c r="Z108" s="273">
        <f>'Key Inputs_New Techs'!T37</f>
        <v>1.7806060606060605</v>
      </c>
      <c r="AA108" s="273">
        <f>'Key Inputs_New Techs'!U37</f>
        <v>1.7806060606060605</v>
      </c>
      <c r="AB108" s="273">
        <f>'Key Inputs_New Techs'!V37</f>
        <v>1.7806060606060605</v>
      </c>
      <c r="AC108" s="273">
        <f>'Key Inputs_New Techs'!W37</f>
        <v>1.7806060606060605</v>
      </c>
      <c r="AD108" s="273">
        <f>'Key Inputs_New Techs'!X37</f>
        <v>1.7806060606060605</v>
      </c>
      <c r="AE108" s="273">
        <f>'Key Inputs_New Techs'!Y37</f>
        <v>1.7806060606060605</v>
      </c>
      <c r="AF108" s="273">
        <f>'Key Inputs_New Techs'!Z37</f>
        <v>1.7806060606060605</v>
      </c>
      <c r="AG108" s="273">
        <f>'Key Inputs_New Techs'!AA37</f>
        <v>1.7806060606060605</v>
      </c>
      <c r="AH108" s="273">
        <f>'Key Inputs_New Techs'!AB37</f>
        <v>1.7806060606060605</v>
      </c>
      <c r="AI108" s="273">
        <f>'Key Inputs_New Techs'!AC37</f>
        <v>1.7806060606060605</v>
      </c>
      <c r="AJ108" s="273">
        <f>'Key Inputs_New Techs'!AD37</f>
        <v>1.7806060606060605</v>
      </c>
      <c r="AK108" s="273">
        <f>'Key Inputs_New Techs'!AE37</f>
        <v>1.7806060606060605</v>
      </c>
      <c r="AL108" s="273">
        <f>'Key Inputs_New Techs'!AF37</f>
        <v>1.7806060606060605</v>
      </c>
      <c r="AM108" s="273">
        <f>'Key Inputs_New Techs'!AG37</f>
        <v>1.7806060606060605</v>
      </c>
      <c r="AN108" s="273">
        <f>'Key Inputs_New Techs'!AH37</f>
        <v>1.7806060606060605</v>
      </c>
      <c r="AO108" s="273">
        <f>'Key Inputs_New Techs'!AI37</f>
        <v>1.7806060606060605</v>
      </c>
      <c r="AP108" s="273">
        <f>'Key Inputs_New Techs'!AJ37</f>
        <v>1.7806060606060605</v>
      </c>
      <c r="AQ108" s="273">
        <f>'Key Inputs_New Techs'!AK37</f>
        <v>1.7806060606060605</v>
      </c>
      <c r="AR108" s="273">
        <f>'Key Inputs_New Techs'!AL37</f>
        <v>1.7806060606060605</v>
      </c>
      <c r="AS108" s="109"/>
    </row>
    <row r="109" spans="1:45" s="113" customFormat="1" ht="15.75" x14ac:dyDescent="0.25">
      <c r="A109" s="245"/>
      <c r="B109" s="245"/>
      <c r="C109" s="245"/>
      <c r="D109" s="245"/>
      <c r="E109" s="249"/>
      <c r="F109" s="245"/>
      <c r="G109" s="250"/>
      <c r="H109" s="250"/>
      <c r="I109" s="250"/>
      <c r="J109" s="118"/>
      <c r="K109" s="201" t="str">
        <f>IF('Key Inputs_New Techs'!B38="","",'Key Inputs_New Techs'!B38)</f>
        <v/>
      </c>
      <c r="L109" s="109" t="str">
        <f>IFERROR(VLOOKUP(K$108,'Commodities &amp; Processes'!L:M,2,FALSE),"")</f>
        <v>RSD Thermal uses technology: Natural gas,Biogas Heat Pump (Adv.) -New</v>
      </c>
      <c r="M109" s="109"/>
      <c r="N109" s="109">
        <f>'Key Inputs_New Techs'!H38</f>
        <v>2050</v>
      </c>
      <c r="O109" s="114" t="s">
        <v>37</v>
      </c>
      <c r="P109" s="120" t="s">
        <v>174</v>
      </c>
      <c r="Q109" s="273">
        <f>'Key Inputs_New Techs'!K38</f>
        <v>2.1440557223015881</v>
      </c>
      <c r="R109" s="273">
        <f>'Key Inputs_New Techs'!L38</f>
        <v>2.1440557223015881</v>
      </c>
      <c r="S109" s="273">
        <f>'Key Inputs_New Techs'!M38</f>
        <v>2.1440557223015881</v>
      </c>
      <c r="T109" s="273">
        <f>'Key Inputs_New Techs'!N38</f>
        <v>2.1440557223015881</v>
      </c>
      <c r="U109" s="273">
        <f>'Key Inputs_New Techs'!O38</f>
        <v>2.1440557223015881</v>
      </c>
      <c r="V109" s="273">
        <f>'Key Inputs_New Techs'!P38</f>
        <v>2.1440557223015881</v>
      </c>
      <c r="W109" s="273">
        <f>'Key Inputs_New Techs'!Q38</f>
        <v>2.1440557223015881</v>
      </c>
      <c r="X109" s="273">
        <f>'Key Inputs_New Techs'!R38</f>
        <v>2.1440557223015881</v>
      </c>
      <c r="Y109" s="273">
        <f>'Key Inputs_New Techs'!S38</f>
        <v>2.1440557223015881</v>
      </c>
      <c r="Z109" s="273">
        <f>'Key Inputs_New Techs'!T38</f>
        <v>2.1440557223015881</v>
      </c>
      <c r="AA109" s="273">
        <f>'Key Inputs_New Techs'!U38</f>
        <v>2.1440557223015881</v>
      </c>
      <c r="AB109" s="273">
        <f>'Key Inputs_New Techs'!V38</f>
        <v>2.1440557223015881</v>
      </c>
      <c r="AC109" s="273">
        <f>'Key Inputs_New Techs'!W38</f>
        <v>2.1440557223015881</v>
      </c>
      <c r="AD109" s="273">
        <f>'Key Inputs_New Techs'!X38</f>
        <v>2.1440557223015881</v>
      </c>
      <c r="AE109" s="273">
        <f>'Key Inputs_New Techs'!Y38</f>
        <v>2.1440557223015881</v>
      </c>
      <c r="AF109" s="273">
        <f>'Key Inputs_New Techs'!Z38</f>
        <v>2.1440557223015881</v>
      </c>
      <c r="AG109" s="273">
        <f>'Key Inputs_New Techs'!AA38</f>
        <v>2.1440557223015881</v>
      </c>
      <c r="AH109" s="273">
        <f>'Key Inputs_New Techs'!AB38</f>
        <v>2.1440557223015881</v>
      </c>
      <c r="AI109" s="273">
        <f>'Key Inputs_New Techs'!AC38</f>
        <v>2.1440557223015881</v>
      </c>
      <c r="AJ109" s="273">
        <f>'Key Inputs_New Techs'!AD38</f>
        <v>2.1440557223015881</v>
      </c>
      <c r="AK109" s="273">
        <f>'Key Inputs_New Techs'!AE38</f>
        <v>2.1440557223015881</v>
      </c>
      <c r="AL109" s="273">
        <f>'Key Inputs_New Techs'!AF38</f>
        <v>2.1440557223015881</v>
      </c>
      <c r="AM109" s="273">
        <f>'Key Inputs_New Techs'!AG38</f>
        <v>2.1440557223015881</v>
      </c>
      <c r="AN109" s="273">
        <f>'Key Inputs_New Techs'!AH38</f>
        <v>2.1440557223015881</v>
      </c>
      <c r="AO109" s="273">
        <f>'Key Inputs_New Techs'!AI38</f>
        <v>2.1440557223015881</v>
      </c>
      <c r="AP109" s="273">
        <f>'Key Inputs_New Techs'!AJ38</f>
        <v>2.1440557223015881</v>
      </c>
      <c r="AQ109" s="273">
        <f>'Key Inputs_New Techs'!AK38</f>
        <v>2.1440557223015881</v>
      </c>
      <c r="AR109" s="273">
        <f>'Key Inputs_New Techs'!AL38</f>
        <v>2.1440557223015881</v>
      </c>
      <c r="AS109" s="109"/>
    </row>
    <row r="110" spans="1:45" s="113" customFormat="1" ht="15.75" x14ac:dyDescent="0.25">
      <c r="A110" s="245"/>
      <c r="B110" s="245"/>
      <c r="C110" s="245"/>
      <c r="D110" s="245"/>
      <c r="E110" s="249"/>
      <c r="F110" s="245"/>
      <c r="G110" s="250"/>
      <c r="H110" s="250"/>
      <c r="I110" s="250"/>
      <c r="J110" s="118"/>
      <c r="K110" s="201" t="str">
        <f>IF('Key Inputs_New Techs'!B39="","",'Key Inputs_New Techs'!B39)</f>
        <v>R-THL-HPG_ELC01</v>
      </c>
      <c r="L110" s="109" t="str">
        <f>IFERROR(VLOOKUP(K110,'Commodities &amp; Processes'!L:M,2,FALSE),"")</f>
        <v>RSD Thermal uses technology: Electricity Ground Heat Pump (Ord.) -New</v>
      </c>
      <c r="M110" s="109"/>
      <c r="N110" s="109">
        <f>'Key Inputs_New Techs'!H39</f>
        <v>2020</v>
      </c>
      <c r="O110" s="114" t="s">
        <v>37</v>
      </c>
      <c r="P110" s="120" t="s">
        <v>174</v>
      </c>
      <c r="Q110" s="273">
        <f>'Key Inputs_New Techs'!K39</f>
        <v>1.0948635097454591</v>
      </c>
      <c r="R110" s="273">
        <f>'Key Inputs_New Techs'!L39</f>
        <v>1.0948635097454591</v>
      </c>
      <c r="S110" s="273">
        <f>'Key Inputs_New Techs'!M39</f>
        <v>1.0948635097454591</v>
      </c>
      <c r="T110" s="273">
        <f>'Key Inputs_New Techs'!N39</f>
        <v>1.0948635097454591</v>
      </c>
      <c r="U110" s="273">
        <f>'Key Inputs_New Techs'!O39</f>
        <v>1.0948635097454591</v>
      </c>
      <c r="V110" s="273">
        <f>'Key Inputs_New Techs'!P39</f>
        <v>1.0948635097454591</v>
      </c>
      <c r="W110" s="273">
        <f>'Key Inputs_New Techs'!Q39</f>
        <v>1.0948635097454591</v>
      </c>
      <c r="X110" s="273">
        <f>'Key Inputs_New Techs'!R39</f>
        <v>1.0948635097454591</v>
      </c>
      <c r="Y110" s="273">
        <f>'Key Inputs_New Techs'!S39</f>
        <v>1.0948635097454591</v>
      </c>
      <c r="Z110" s="273">
        <f>'Key Inputs_New Techs'!T39</f>
        <v>1.0948635097454591</v>
      </c>
      <c r="AA110" s="273">
        <f>'Key Inputs_New Techs'!U39</f>
        <v>1.0948635097454591</v>
      </c>
      <c r="AB110" s="273">
        <f>'Key Inputs_New Techs'!V39</f>
        <v>1.0948635097454591</v>
      </c>
      <c r="AC110" s="273">
        <f>'Key Inputs_New Techs'!W39</f>
        <v>1.0948635097454591</v>
      </c>
      <c r="AD110" s="273">
        <f>'Key Inputs_New Techs'!X39</f>
        <v>1.0948635097454591</v>
      </c>
      <c r="AE110" s="273">
        <f>'Key Inputs_New Techs'!Y39</f>
        <v>1.0948635097454591</v>
      </c>
      <c r="AF110" s="273">
        <f>'Key Inputs_New Techs'!Z39</f>
        <v>1.0948635097454591</v>
      </c>
      <c r="AG110" s="273">
        <f>'Key Inputs_New Techs'!AA39</f>
        <v>1.0948635097454591</v>
      </c>
      <c r="AH110" s="273">
        <f>'Key Inputs_New Techs'!AB39</f>
        <v>1.0948635097454591</v>
      </c>
      <c r="AI110" s="273">
        <f>'Key Inputs_New Techs'!AC39</f>
        <v>1.0948635097454591</v>
      </c>
      <c r="AJ110" s="273">
        <f>'Key Inputs_New Techs'!AD39</f>
        <v>1.0948635097454591</v>
      </c>
      <c r="AK110" s="273">
        <f>'Key Inputs_New Techs'!AE39</f>
        <v>1.0948635097454591</v>
      </c>
      <c r="AL110" s="273">
        <f>'Key Inputs_New Techs'!AF39</f>
        <v>1.0948635097454591</v>
      </c>
      <c r="AM110" s="273">
        <f>'Key Inputs_New Techs'!AG39</f>
        <v>1.0948635097454591</v>
      </c>
      <c r="AN110" s="273">
        <f>'Key Inputs_New Techs'!AH39</f>
        <v>1.0948635097454591</v>
      </c>
      <c r="AO110" s="273">
        <f>'Key Inputs_New Techs'!AI39</f>
        <v>1.0948635097454591</v>
      </c>
      <c r="AP110" s="273">
        <f>'Key Inputs_New Techs'!AJ39</f>
        <v>1.0948635097454591</v>
      </c>
      <c r="AQ110" s="273">
        <f>'Key Inputs_New Techs'!AK39</f>
        <v>1.0948635097454591</v>
      </c>
      <c r="AR110" s="273">
        <f>'Key Inputs_New Techs'!AL39</f>
        <v>1.0948635097454591</v>
      </c>
      <c r="AS110" s="109"/>
    </row>
    <row r="111" spans="1:45" s="113" customFormat="1" ht="15.75" x14ac:dyDescent="0.25">
      <c r="A111" s="245"/>
      <c r="B111" s="245"/>
      <c r="C111" s="245"/>
      <c r="D111" s="245"/>
      <c r="E111" s="249"/>
      <c r="F111" s="245"/>
      <c r="G111" s="250"/>
      <c r="H111" s="250"/>
      <c r="I111" s="250"/>
      <c r="J111" s="118"/>
      <c r="K111" s="201" t="str">
        <f>IF('Key Inputs_New Techs'!B40="","",'Key Inputs_New Techs'!B40)</f>
        <v>R-THL-HPG_ELC02</v>
      </c>
      <c r="L111" s="109" t="str">
        <f>IFERROR(VLOOKUP(K$111,'Commodities &amp; Processes'!L:M,2,FALSE),"")</f>
        <v>RSD Thermal uses technology: Electricity Ground Heat Pump (Imp.) -New</v>
      </c>
      <c r="M111" s="109"/>
      <c r="N111" s="109">
        <f>'Key Inputs_New Techs'!H40</f>
        <v>2025</v>
      </c>
      <c r="O111" s="114" t="s">
        <v>37</v>
      </c>
      <c r="P111" s="120" t="s">
        <v>174</v>
      </c>
      <c r="Q111" s="273">
        <f>'Key Inputs_New Techs'!K40</f>
        <v>1.0948635097454591</v>
      </c>
      <c r="R111" s="273">
        <f>'Key Inputs_New Techs'!L40</f>
        <v>1.0948635097454591</v>
      </c>
      <c r="S111" s="273">
        <f>'Key Inputs_New Techs'!M40</f>
        <v>1.0948635097454591</v>
      </c>
      <c r="T111" s="273">
        <f>'Key Inputs_New Techs'!N40</f>
        <v>1.0948635097454591</v>
      </c>
      <c r="U111" s="273">
        <f>'Key Inputs_New Techs'!O40</f>
        <v>1.0948635097454591</v>
      </c>
      <c r="V111" s="273">
        <f>'Key Inputs_New Techs'!P40</f>
        <v>1.0948635097454591</v>
      </c>
      <c r="W111" s="273">
        <f>'Key Inputs_New Techs'!Q40</f>
        <v>1.0948635097454591</v>
      </c>
      <c r="X111" s="273">
        <f>'Key Inputs_New Techs'!R40</f>
        <v>1.0948635097454591</v>
      </c>
      <c r="Y111" s="273">
        <f>'Key Inputs_New Techs'!S40</f>
        <v>1.0948635097454591</v>
      </c>
      <c r="Z111" s="273">
        <f>'Key Inputs_New Techs'!T40</f>
        <v>1.0948635097454591</v>
      </c>
      <c r="AA111" s="273">
        <f>'Key Inputs_New Techs'!U40</f>
        <v>1.0948635097454591</v>
      </c>
      <c r="AB111" s="273">
        <f>'Key Inputs_New Techs'!V40</f>
        <v>1.0948635097454591</v>
      </c>
      <c r="AC111" s="273">
        <f>'Key Inputs_New Techs'!W40</f>
        <v>1.0948635097454591</v>
      </c>
      <c r="AD111" s="273">
        <f>'Key Inputs_New Techs'!X40</f>
        <v>1.0948635097454591</v>
      </c>
      <c r="AE111" s="273">
        <f>'Key Inputs_New Techs'!Y40</f>
        <v>1.0948635097454591</v>
      </c>
      <c r="AF111" s="273">
        <f>'Key Inputs_New Techs'!Z40</f>
        <v>1.0948635097454591</v>
      </c>
      <c r="AG111" s="273">
        <f>'Key Inputs_New Techs'!AA40</f>
        <v>1.0948635097454591</v>
      </c>
      <c r="AH111" s="273">
        <f>'Key Inputs_New Techs'!AB40</f>
        <v>1.0948635097454591</v>
      </c>
      <c r="AI111" s="273">
        <f>'Key Inputs_New Techs'!AC40</f>
        <v>1.0948635097454591</v>
      </c>
      <c r="AJ111" s="273">
        <f>'Key Inputs_New Techs'!AD40</f>
        <v>1.0948635097454591</v>
      </c>
      <c r="AK111" s="273">
        <f>'Key Inputs_New Techs'!AE40</f>
        <v>1.0948635097454591</v>
      </c>
      <c r="AL111" s="273">
        <f>'Key Inputs_New Techs'!AF40</f>
        <v>1.0948635097454591</v>
      </c>
      <c r="AM111" s="273">
        <f>'Key Inputs_New Techs'!AG40</f>
        <v>1.0948635097454591</v>
      </c>
      <c r="AN111" s="273">
        <f>'Key Inputs_New Techs'!AH40</f>
        <v>1.0948635097454591</v>
      </c>
      <c r="AO111" s="273">
        <f>'Key Inputs_New Techs'!AI40</f>
        <v>1.0948635097454591</v>
      </c>
      <c r="AP111" s="273">
        <f>'Key Inputs_New Techs'!AJ40</f>
        <v>1.0948635097454591</v>
      </c>
      <c r="AQ111" s="273">
        <f>'Key Inputs_New Techs'!AK40</f>
        <v>1.0948635097454591</v>
      </c>
      <c r="AR111" s="273">
        <f>'Key Inputs_New Techs'!AL40</f>
        <v>1.0948635097454591</v>
      </c>
      <c r="AS111" s="109"/>
    </row>
    <row r="112" spans="1:45" s="113" customFormat="1" ht="15.75" x14ac:dyDescent="0.25">
      <c r="A112" s="245"/>
      <c r="B112" s="245"/>
      <c r="C112" s="245"/>
      <c r="D112" s="245"/>
      <c r="E112" s="249"/>
      <c r="F112" s="245"/>
      <c r="G112" s="250"/>
      <c r="H112" s="250"/>
      <c r="I112" s="250"/>
      <c r="J112" s="118"/>
      <c r="K112" s="201" t="str">
        <f>IF('Key Inputs_New Techs'!B41="","",'Key Inputs_New Techs'!B41)</f>
        <v/>
      </c>
      <c r="L112" s="109" t="str">
        <f>IFERROR(VLOOKUP(K$111,'Commodities &amp; Processes'!L:M,2,FALSE),"")</f>
        <v>RSD Thermal uses technology: Electricity Ground Heat Pump (Imp.) -New</v>
      </c>
      <c r="M112" s="109"/>
      <c r="N112" s="109">
        <f>'Key Inputs_New Techs'!H41</f>
        <v>2030</v>
      </c>
      <c r="O112" s="114" t="s">
        <v>37</v>
      </c>
      <c r="P112" s="120" t="s">
        <v>174</v>
      </c>
      <c r="Q112" s="273">
        <f>'Key Inputs_New Techs'!K41</f>
        <v>1.1790837797258791</v>
      </c>
      <c r="R112" s="273">
        <f>'Key Inputs_New Techs'!L41</f>
        <v>1.1790837797258791</v>
      </c>
      <c r="S112" s="273">
        <f>'Key Inputs_New Techs'!M41</f>
        <v>1.1790837797258791</v>
      </c>
      <c r="T112" s="273">
        <f>'Key Inputs_New Techs'!N41</f>
        <v>1.1790837797258791</v>
      </c>
      <c r="U112" s="273">
        <f>'Key Inputs_New Techs'!O41</f>
        <v>1.1790837797258791</v>
      </c>
      <c r="V112" s="273">
        <f>'Key Inputs_New Techs'!P41</f>
        <v>1.1790837797258791</v>
      </c>
      <c r="W112" s="273">
        <f>'Key Inputs_New Techs'!Q41</f>
        <v>1.1790837797258791</v>
      </c>
      <c r="X112" s="273">
        <f>'Key Inputs_New Techs'!R41</f>
        <v>1.1790837797258791</v>
      </c>
      <c r="Y112" s="273">
        <f>'Key Inputs_New Techs'!S41</f>
        <v>1.1790837797258791</v>
      </c>
      <c r="Z112" s="273">
        <f>'Key Inputs_New Techs'!T41</f>
        <v>1.1790837797258791</v>
      </c>
      <c r="AA112" s="273">
        <f>'Key Inputs_New Techs'!U41</f>
        <v>1.1790837797258791</v>
      </c>
      <c r="AB112" s="273">
        <f>'Key Inputs_New Techs'!V41</f>
        <v>1.1790837797258791</v>
      </c>
      <c r="AC112" s="273">
        <f>'Key Inputs_New Techs'!W41</f>
        <v>1.1790837797258791</v>
      </c>
      <c r="AD112" s="273">
        <f>'Key Inputs_New Techs'!X41</f>
        <v>1.1790837797258791</v>
      </c>
      <c r="AE112" s="273">
        <f>'Key Inputs_New Techs'!Y41</f>
        <v>1.1790837797258791</v>
      </c>
      <c r="AF112" s="273">
        <f>'Key Inputs_New Techs'!Z41</f>
        <v>1.1790837797258791</v>
      </c>
      <c r="AG112" s="273">
        <f>'Key Inputs_New Techs'!AA41</f>
        <v>1.1790837797258791</v>
      </c>
      <c r="AH112" s="273">
        <f>'Key Inputs_New Techs'!AB41</f>
        <v>1.1790837797258791</v>
      </c>
      <c r="AI112" s="273">
        <f>'Key Inputs_New Techs'!AC41</f>
        <v>1.1790837797258791</v>
      </c>
      <c r="AJ112" s="273">
        <f>'Key Inputs_New Techs'!AD41</f>
        <v>1.1790837797258791</v>
      </c>
      <c r="AK112" s="273">
        <f>'Key Inputs_New Techs'!AE41</f>
        <v>1.1790837797258791</v>
      </c>
      <c r="AL112" s="273">
        <f>'Key Inputs_New Techs'!AF41</f>
        <v>1.1790837797258791</v>
      </c>
      <c r="AM112" s="273">
        <f>'Key Inputs_New Techs'!AG41</f>
        <v>1.1790837797258791</v>
      </c>
      <c r="AN112" s="273">
        <f>'Key Inputs_New Techs'!AH41</f>
        <v>1.1790837797258791</v>
      </c>
      <c r="AO112" s="273">
        <f>'Key Inputs_New Techs'!AI41</f>
        <v>1.1790837797258791</v>
      </c>
      <c r="AP112" s="273">
        <f>'Key Inputs_New Techs'!AJ41</f>
        <v>1.1790837797258791</v>
      </c>
      <c r="AQ112" s="273">
        <f>'Key Inputs_New Techs'!AK41</f>
        <v>1.1790837797258791</v>
      </c>
      <c r="AR112" s="273">
        <f>'Key Inputs_New Techs'!AL41</f>
        <v>1.1790837797258791</v>
      </c>
    </row>
    <row r="113" spans="1:44" s="113" customFormat="1" ht="15.75" x14ac:dyDescent="0.25">
      <c r="A113" s="245"/>
      <c r="B113" s="245"/>
      <c r="C113" s="245"/>
      <c r="D113" s="245"/>
      <c r="E113" s="249"/>
      <c r="F113" s="245"/>
      <c r="G113" s="250"/>
      <c r="H113" s="250"/>
      <c r="I113" s="250"/>
      <c r="J113" s="118"/>
      <c r="K113" s="201" t="str">
        <f>IF('Key Inputs_New Techs'!B42="","",'Key Inputs_New Techs'!B42)</f>
        <v/>
      </c>
      <c r="L113" s="109" t="str">
        <f>IFERROR(VLOOKUP(K$111,'Commodities &amp; Processes'!L:M,2,FALSE),"")</f>
        <v>RSD Thermal uses technology: Electricity Ground Heat Pump (Imp.) -New</v>
      </c>
      <c r="M113" s="109"/>
      <c r="N113" s="109">
        <f>'Key Inputs_New Techs'!H42</f>
        <v>2050</v>
      </c>
      <c r="O113" s="114" t="s">
        <v>37</v>
      </c>
      <c r="P113" s="120" t="s">
        <v>174</v>
      </c>
      <c r="Q113" s="273">
        <f>'Key Inputs_New Techs'!K42</f>
        <v>1.4996312315301439</v>
      </c>
      <c r="R113" s="273">
        <f>'Key Inputs_New Techs'!L42</f>
        <v>1.4996312315301439</v>
      </c>
      <c r="S113" s="273">
        <f>'Key Inputs_New Techs'!M42</f>
        <v>1.4996312315301439</v>
      </c>
      <c r="T113" s="273">
        <f>'Key Inputs_New Techs'!N42</f>
        <v>1.4996312315301439</v>
      </c>
      <c r="U113" s="273">
        <f>'Key Inputs_New Techs'!O42</f>
        <v>1.4996312315301439</v>
      </c>
      <c r="V113" s="273">
        <f>'Key Inputs_New Techs'!P42</f>
        <v>1.4996312315301439</v>
      </c>
      <c r="W113" s="273">
        <f>'Key Inputs_New Techs'!Q42</f>
        <v>1.4996312315301439</v>
      </c>
      <c r="X113" s="273">
        <f>'Key Inputs_New Techs'!R42</f>
        <v>1.4996312315301439</v>
      </c>
      <c r="Y113" s="273">
        <f>'Key Inputs_New Techs'!S42</f>
        <v>1.4996312315301439</v>
      </c>
      <c r="Z113" s="273">
        <f>'Key Inputs_New Techs'!T42</f>
        <v>1.4996312315301439</v>
      </c>
      <c r="AA113" s="273">
        <f>'Key Inputs_New Techs'!U42</f>
        <v>1.4996312315301439</v>
      </c>
      <c r="AB113" s="273">
        <f>'Key Inputs_New Techs'!V42</f>
        <v>1.4996312315301439</v>
      </c>
      <c r="AC113" s="273">
        <f>'Key Inputs_New Techs'!W42</f>
        <v>1.4996312315301439</v>
      </c>
      <c r="AD113" s="273">
        <f>'Key Inputs_New Techs'!X42</f>
        <v>1.4996312315301439</v>
      </c>
      <c r="AE113" s="273">
        <f>'Key Inputs_New Techs'!Y42</f>
        <v>1.4996312315301439</v>
      </c>
      <c r="AF113" s="273">
        <f>'Key Inputs_New Techs'!Z42</f>
        <v>1.4996312315301439</v>
      </c>
      <c r="AG113" s="273">
        <f>'Key Inputs_New Techs'!AA42</f>
        <v>1.4996312315301439</v>
      </c>
      <c r="AH113" s="273">
        <f>'Key Inputs_New Techs'!AB42</f>
        <v>1.4996312315301439</v>
      </c>
      <c r="AI113" s="273">
        <f>'Key Inputs_New Techs'!AC42</f>
        <v>1.4996312315301439</v>
      </c>
      <c r="AJ113" s="273">
        <f>'Key Inputs_New Techs'!AD42</f>
        <v>1.4996312315301439</v>
      </c>
      <c r="AK113" s="273">
        <f>'Key Inputs_New Techs'!AE42</f>
        <v>1.4996312315301439</v>
      </c>
      <c r="AL113" s="273">
        <f>'Key Inputs_New Techs'!AF42</f>
        <v>1.4996312315301439</v>
      </c>
      <c r="AM113" s="273">
        <f>'Key Inputs_New Techs'!AG42</f>
        <v>1.4996312315301439</v>
      </c>
      <c r="AN113" s="273">
        <f>'Key Inputs_New Techs'!AH42</f>
        <v>1.4996312315301439</v>
      </c>
      <c r="AO113" s="273">
        <f>'Key Inputs_New Techs'!AI42</f>
        <v>1.4996312315301439</v>
      </c>
      <c r="AP113" s="273">
        <f>'Key Inputs_New Techs'!AJ42</f>
        <v>1.4996312315301439</v>
      </c>
      <c r="AQ113" s="273">
        <f>'Key Inputs_New Techs'!AK42</f>
        <v>1.4996312315301439</v>
      </c>
      <c r="AR113" s="273">
        <f>'Key Inputs_New Techs'!AL42</f>
        <v>1.4996312315301439</v>
      </c>
    </row>
    <row r="114" spans="1:44" s="113" customFormat="1" ht="15.75" x14ac:dyDescent="0.25">
      <c r="A114" s="245"/>
      <c r="B114" s="245"/>
      <c r="C114" s="245"/>
      <c r="D114" s="245"/>
      <c r="E114" s="249"/>
      <c r="F114" s="245"/>
      <c r="G114" s="250"/>
      <c r="H114" s="250"/>
      <c r="I114" s="250"/>
      <c r="J114" s="118"/>
      <c r="K114" s="201" t="str">
        <f>IF('Key Inputs_New Techs'!B43="","",'Key Inputs_New Techs'!B43)</f>
        <v>R-THL-HPG_ELC03</v>
      </c>
      <c r="L114" s="109" t="str">
        <f>IFERROR(VLOOKUP(K$114,'Commodities &amp; Processes'!L:M,2,FALSE),"")</f>
        <v>RSD Thermal uses technology: Electricity Ground Heat Pump (Adv.) -New</v>
      </c>
      <c r="M114" s="109"/>
      <c r="N114" s="109">
        <f>'Key Inputs_New Techs'!H43</f>
        <v>2030</v>
      </c>
      <c r="O114" s="114" t="s">
        <v>37</v>
      </c>
      <c r="P114" s="120" t="s">
        <v>174</v>
      </c>
      <c r="Q114" s="273">
        <f>'Key Inputs_New Techs'!K43</f>
        <v>1.187505806723921</v>
      </c>
      <c r="R114" s="273">
        <f>'Key Inputs_New Techs'!L43</f>
        <v>1.187505806723921</v>
      </c>
      <c r="S114" s="273">
        <f>'Key Inputs_New Techs'!M43</f>
        <v>1.187505806723921</v>
      </c>
      <c r="T114" s="273">
        <f>'Key Inputs_New Techs'!N43</f>
        <v>1.187505806723921</v>
      </c>
      <c r="U114" s="273">
        <f>'Key Inputs_New Techs'!O43</f>
        <v>1.187505806723921</v>
      </c>
      <c r="V114" s="273">
        <f>'Key Inputs_New Techs'!P43</f>
        <v>1.187505806723921</v>
      </c>
      <c r="W114" s="273">
        <f>'Key Inputs_New Techs'!Q43</f>
        <v>1.187505806723921</v>
      </c>
      <c r="X114" s="273">
        <f>'Key Inputs_New Techs'!R43</f>
        <v>1.187505806723921</v>
      </c>
      <c r="Y114" s="273">
        <f>'Key Inputs_New Techs'!S43</f>
        <v>1.187505806723921</v>
      </c>
      <c r="Z114" s="273">
        <f>'Key Inputs_New Techs'!T43</f>
        <v>1.187505806723921</v>
      </c>
      <c r="AA114" s="273">
        <f>'Key Inputs_New Techs'!U43</f>
        <v>1.187505806723921</v>
      </c>
      <c r="AB114" s="273">
        <f>'Key Inputs_New Techs'!V43</f>
        <v>1.187505806723921</v>
      </c>
      <c r="AC114" s="273">
        <f>'Key Inputs_New Techs'!W43</f>
        <v>1.187505806723921</v>
      </c>
      <c r="AD114" s="273">
        <f>'Key Inputs_New Techs'!X43</f>
        <v>1.187505806723921</v>
      </c>
      <c r="AE114" s="273">
        <f>'Key Inputs_New Techs'!Y43</f>
        <v>1.187505806723921</v>
      </c>
      <c r="AF114" s="273">
        <f>'Key Inputs_New Techs'!Z43</f>
        <v>1.187505806723921</v>
      </c>
      <c r="AG114" s="273">
        <f>'Key Inputs_New Techs'!AA43</f>
        <v>1.187505806723921</v>
      </c>
      <c r="AH114" s="273">
        <f>'Key Inputs_New Techs'!AB43</f>
        <v>1.187505806723921</v>
      </c>
      <c r="AI114" s="273">
        <f>'Key Inputs_New Techs'!AC43</f>
        <v>1.187505806723921</v>
      </c>
      <c r="AJ114" s="273">
        <f>'Key Inputs_New Techs'!AD43</f>
        <v>1.187505806723921</v>
      </c>
      <c r="AK114" s="273">
        <f>'Key Inputs_New Techs'!AE43</f>
        <v>1.187505806723921</v>
      </c>
      <c r="AL114" s="273">
        <f>'Key Inputs_New Techs'!AF43</f>
        <v>1.187505806723921</v>
      </c>
      <c r="AM114" s="273">
        <f>'Key Inputs_New Techs'!AG43</f>
        <v>1.187505806723921</v>
      </c>
      <c r="AN114" s="273">
        <f>'Key Inputs_New Techs'!AH43</f>
        <v>1.187505806723921</v>
      </c>
      <c r="AO114" s="273">
        <f>'Key Inputs_New Techs'!AI43</f>
        <v>1.187505806723921</v>
      </c>
      <c r="AP114" s="273">
        <f>'Key Inputs_New Techs'!AJ43</f>
        <v>1.187505806723921</v>
      </c>
      <c r="AQ114" s="273">
        <f>'Key Inputs_New Techs'!AK43</f>
        <v>1.187505806723921</v>
      </c>
      <c r="AR114" s="273">
        <f>'Key Inputs_New Techs'!AL43</f>
        <v>1.187505806723921</v>
      </c>
    </row>
    <row r="115" spans="1:44" s="113" customFormat="1" ht="15.75" x14ac:dyDescent="0.25">
      <c r="A115" s="245"/>
      <c r="B115" s="245"/>
      <c r="C115" s="245"/>
      <c r="D115" s="245"/>
      <c r="E115" s="249"/>
      <c r="F115" s="245"/>
      <c r="G115" s="250"/>
      <c r="H115" s="250"/>
      <c r="I115" s="250"/>
      <c r="J115" s="118"/>
      <c r="K115" s="201" t="str">
        <f>IF('Key Inputs_New Techs'!B44="","",'Key Inputs_New Techs'!B44)</f>
        <v/>
      </c>
      <c r="L115" s="109" t="str">
        <f>IFERROR(VLOOKUP(K$114,'Commodities &amp; Processes'!L:M,2,FALSE),"")</f>
        <v>RSD Thermal uses technology: Electricity Ground Heat Pump (Adv.) -New</v>
      </c>
      <c r="M115" s="109"/>
      <c r="N115" s="109">
        <f>'Key Inputs_New Techs'!H44</f>
        <v>2050</v>
      </c>
      <c r="O115" s="114" t="s">
        <v>37</v>
      </c>
      <c r="P115" s="120" t="s">
        <v>174</v>
      </c>
      <c r="Q115" s="273">
        <f>'Key Inputs_New Techs'!K44</f>
        <v>1.8057295178530399</v>
      </c>
      <c r="R115" s="273">
        <f>'Key Inputs_New Techs'!L44</f>
        <v>1.8057295178530399</v>
      </c>
      <c r="S115" s="273">
        <f>'Key Inputs_New Techs'!M44</f>
        <v>1.8057295178530399</v>
      </c>
      <c r="T115" s="273">
        <f>'Key Inputs_New Techs'!N44</f>
        <v>1.8057295178530399</v>
      </c>
      <c r="U115" s="273">
        <f>'Key Inputs_New Techs'!O44</f>
        <v>1.8057295178530399</v>
      </c>
      <c r="V115" s="273">
        <f>'Key Inputs_New Techs'!P44</f>
        <v>1.8057295178530399</v>
      </c>
      <c r="W115" s="273">
        <f>'Key Inputs_New Techs'!Q44</f>
        <v>1.8057295178530399</v>
      </c>
      <c r="X115" s="273">
        <f>'Key Inputs_New Techs'!R44</f>
        <v>1.8057295178530399</v>
      </c>
      <c r="Y115" s="273">
        <f>'Key Inputs_New Techs'!S44</f>
        <v>1.8057295178530399</v>
      </c>
      <c r="Z115" s="273">
        <f>'Key Inputs_New Techs'!T44</f>
        <v>1.8057295178530399</v>
      </c>
      <c r="AA115" s="273">
        <f>'Key Inputs_New Techs'!U44</f>
        <v>1.8057295178530399</v>
      </c>
      <c r="AB115" s="273">
        <f>'Key Inputs_New Techs'!V44</f>
        <v>1.8057295178530399</v>
      </c>
      <c r="AC115" s="273">
        <f>'Key Inputs_New Techs'!W44</f>
        <v>1.8057295178530399</v>
      </c>
      <c r="AD115" s="273">
        <f>'Key Inputs_New Techs'!X44</f>
        <v>1.8057295178530399</v>
      </c>
      <c r="AE115" s="273">
        <f>'Key Inputs_New Techs'!Y44</f>
        <v>1.8057295178530399</v>
      </c>
      <c r="AF115" s="273">
        <f>'Key Inputs_New Techs'!Z44</f>
        <v>1.8057295178530399</v>
      </c>
      <c r="AG115" s="273">
        <f>'Key Inputs_New Techs'!AA44</f>
        <v>1.8057295178530399</v>
      </c>
      <c r="AH115" s="273">
        <f>'Key Inputs_New Techs'!AB44</f>
        <v>1.8057295178530399</v>
      </c>
      <c r="AI115" s="273">
        <f>'Key Inputs_New Techs'!AC44</f>
        <v>1.8057295178530399</v>
      </c>
      <c r="AJ115" s="273">
        <f>'Key Inputs_New Techs'!AD44</f>
        <v>1.8057295178530399</v>
      </c>
      <c r="AK115" s="273">
        <f>'Key Inputs_New Techs'!AE44</f>
        <v>1.8057295178530399</v>
      </c>
      <c r="AL115" s="273">
        <f>'Key Inputs_New Techs'!AF44</f>
        <v>1.8057295178530399</v>
      </c>
      <c r="AM115" s="273">
        <f>'Key Inputs_New Techs'!AG44</f>
        <v>1.8057295178530399</v>
      </c>
      <c r="AN115" s="273">
        <f>'Key Inputs_New Techs'!AH44</f>
        <v>1.8057295178530399</v>
      </c>
      <c r="AO115" s="273">
        <f>'Key Inputs_New Techs'!AI44</f>
        <v>1.8057295178530399</v>
      </c>
      <c r="AP115" s="273">
        <f>'Key Inputs_New Techs'!AJ44</f>
        <v>1.8057295178530399</v>
      </c>
      <c r="AQ115" s="273">
        <f>'Key Inputs_New Techs'!AK44</f>
        <v>1.8057295178530399</v>
      </c>
      <c r="AR115" s="273">
        <f>'Key Inputs_New Techs'!AL44</f>
        <v>1.8057295178530399</v>
      </c>
    </row>
    <row r="116" spans="1:44" s="113" customFormat="1" ht="15.75" x14ac:dyDescent="0.25">
      <c r="A116" s="245"/>
      <c r="B116" s="245"/>
      <c r="C116" s="245"/>
      <c r="D116" s="245"/>
      <c r="E116" s="249"/>
      <c r="F116" s="245"/>
      <c r="G116" s="250"/>
      <c r="H116" s="250"/>
      <c r="I116" s="250"/>
      <c r="J116" s="118"/>
      <c r="K116" s="201" t="str">
        <f>IF('Key Inputs_New Techs'!B45="","",'Key Inputs_New Techs'!B45)</f>
        <v>R-THL-BLR_OIL01</v>
      </c>
      <c r="L116" s="109" t="str">
        <f>IFERROR(VLOOKUP(K116,'Commodities &amp; Processes'!L:M,2,FALSE),"")</f>
        <v>RSD Thermal uses technology: Oil, Liquid biofuels Boiler (Ord.) -New</v>
      </c>
      <c r="M116" s="109"/>
      <c r="N116" s="109">
        <f>'Key Inputs_New Techs'!H45</f>
        <v>2020</v>
      </c>
      <c r="O116" s="114" t="s">
        <v>37</v>
      </c>
      <c r="P116" s="120" t="s">
        <v>174</v>
      </c>
      <c r="Q116" s="273">
        <f>'Key Inputs_New Techs'!K45</f>
        <v>0.94340000000000002</v>
      </c>
      <c r="R116" s="273">
        <f>'Key Inputs_New Techs'!L45</f>
        <v>0.94340000000000002</v>
      </c>
      <c r="S116" s="273">
        <f>'Key Inputs_New Techs'!M45</f>
        <v>0.94340000000000002</v>
      </c>
      <c r="T116" s="273">
        <f>'Key Inputs_New Techs'!N45</f>
        <v>0.94340000000000002</v>
      </c>
      <c r="U116" s="273">
        <f>'Key Inputs_New Techs'!O45</f>
        <v>0.94340000000000002</v>
      </c>
      <c r="V116" s="273">
        <f>'Key Inputs_New Techs'!P45</f>
        <v>0.94340000000000002</v>
      </c>
      <c r="W116" s="273">
        <f>'Key Inputs_New Techs'!Q45</f>
        <v>0.94340000000000002</v>
      </c>
      <c r="X116" s="273">
        <f>'Key Inputs_New Techs'!R45</f>
        <v>0.94340000000000002</v>
      </c>
      <c r="Y116" s="273">
        <f>'Key Inputs_New Techs'!S45</f>
        <v>0.94340000000000002</v>
      </c>
      <c r="Z116" s="273">
        <f>'Key Inputs_New Techs'!T45</f>
        <v>0.94340000000000002</v>
      </c>
      <c r="AA116" s="273">
        <f>'Key Inputs_New Techs'!U45</f>
        <v>0.94340000000000002</v>
      </c>
      <c r="AB116" s="273">
        <f>'Key Inputs_New Techs'!V45</f>
        <v>0.94340000000000002</v>
      </c>
      <c r="AC116" s="273">
        <f>'Key Inputs_New Techs'!W45</f>
        <v>0.94340000000000002</v>
      </c>
      <c r="AD116" s="273">
        <f>'Key Inputs_New Techs'!X45</f>
        <v>0.94340000000000002</v>
      </c>
      <c r="AE116" s="273">
        <f>'Key Inputs_New Techs'!Y45</f>
        <v>0.94340000000000002</v>
      </c>
      <c r="AF116" s="273">
        <f>'Key Inputs_New Techs'!Z45</f>
        <v>0.94340000000000002</v>
      </c>
      <c r="AG116" s="273">
        <f>'Key Inputs_New Techs'!AA45</f>
        <v>0.94340000000000002</v>
      </c>
      <c r="AH116" s="273">
        <f>'Key Inputs_New Techs'!AB45</f>
        <v>0.94340000000000002</v>
      </c>
      <c r="AI116" s="273">
        <f>'Key Inputs_New Techs'!AC45</f>
        <v>0.94340000000000002</v>
      </c>
      <c r="AJ116" s="273">
        <f>'Key Inputs_New Techs'!AD45</f>
        <v>0.94340000000000002</v>
      </c>
      <c r="AK116" s="273">
        <f>'Key Inputs_New Techs'!AE45</f>
        <v>0.94340000000000002</v>
      </c>
      <c r="AL116" s="273">
        <f>'Key Inputs_New Techs'!AF45</f>
        <v>0.94340000000000002</v>
      </c>
      <c r="AM116" s="273">
        <f>'Key Inputs_New Techs'!AG45</f>
        <v>0.94340000000000002</v>
      </c>
      <c r="AN116" s="273">
        <f>'Key Inputs_New Techs'!AH45</f>
        <v>0.94340000000000002</v>
      </c>
      <c r="AO116" s="273">
        <f>'Key Inputs_New Techs'!AI45</f>
        <v>0.94340000000000002</v>
      </c>
      <c r="AP116" s="273">
        <f>'Key Inputs_New Techs'!AJ45</f>
        <v>0.94340000000000002</v>
      </c>
      <c r="AQ116" s="273">
        <f>'Key Inputs_New Techs'!AK45</f>
        <v>0.94340000000000002</v>
      </c>
      <c r="AR116" s="273">
        <f>'Key Inputs_New Techs'!AL45</f>
        <v>0.94340000000000002</v>
      </c>
    </row>
    <row r="117" spans="1:44" s="113" customFormat="1" ht="15.75" x14ac:dyDescent="0.25">
      <c r="A117" s="245"/>
      <c r="B117" s="245"/>
      <c r="C117" s="245"/>
      <c r="D117" s="245"/>
      <c r="E117" s="249"/>
      <c r="F117" s="245"/>
      <c r="G117" s="250"/>
      <c r="H117" s="250"/>
      <c r="I117" s="250"/>
      <c r="J117" s="118"/>
      <c r="K117" s="201" t="str">
        <f>IF('Key Inputs_New Techs'!B46="","",'Key Inputs_New Techs'!B46)</f>
        <v>R-THL-BLR_OIL02</v>
      </c>
      <c r="L117" s="109" t="str">
        <f>IFERROR(VLOOKUP(K117,'Commodities &amp; Processes'!L:M,2,FALSE),"")</f>
        <v>RSD Thermal uses technology: Oil, Liquid biofuels Boiler cond. (Ord.) -New</v>
      </c>
      <c r="M117" s="109"/>
      <c r="N117" s="109">
        <f>'Key Inputs_New Techs'!H46</f>
        <v>2020</v>
      </c>
      <c r="O117" s="114" t="s">
        <v>37</v>
      </c>
      <c r="P117" s="120" t="s">
        <v>174</v>
      </c>
      <c r="Q117" s="273">
        <f>'Key Inputs_New Techs'!K46</f>
        <v>0.9857999999999999</v>
      </c>
      <c r="R117" s="273">
        <f>'Key Inputs_New Techs'!L46</f>
        <v>0.9857999999999999</v>
      </c>
      <c r="S117" s="273">
        <f>'Key Inputs_New Techs'!M46</f>
        <v>0.9857999999999999</v>
      </c>
      <c r="T117" s="273">
        <f>'Key Inputs_New Techs'!N46</f>
        <v>0.9857999999999999</v>
      </c>
      <c r="U117" s="273">
        <f>'Key Inputs_New Techs'!O46</f>
        <v>0.9857999999999999</v>
      </c>
      <c r="V117" s="273">
        <f>'Key Inputs_New Techs'!P46</f>
        <v>0.9857999999999999</v>
      </c>
      <c r="W117" s="273">
        <f>'Key Inputs_New Techs'!Q46</f>
        <v>0.9857999999999999</v>
      </c>
      <c r="X117" s="273">
        <f>'Key Inputs_New Techs'!R46</f>
        <v>0.9857999999999999</v>
      </c>
      <c r="Y117" s="273">
        <f>'Key Inputs_New Techs'!S46</f>
        <v>0.9857999999999999</v>
      </c>
      <c r="Z117" s="273">
        <f>'Key Inputs_New Techs'!T46</f>
        <v>0.9857999999999999</v>
      </c>
      <c r="AA117" s="273">
        <f>'Key Inputs_New Techs'!U46</f>
        <v>0.9857999999999999</v>
      </c>
      <c r="AB117" s="273">
        <f>'Key Inputs_New Techs'!V46</f>
        <v>0.9857999999999999</v>
      </c>
      <c r="AC117" s="273">
        <f>'Key Inputs_New Techs'!W46</f>
        <v>0.9857999999999999</v>
      </c>
      <c r="AD117" s="273">
        <f>'Key Inputs_New Techs'!X46</f>
        <v>0.9857999999999999</v>
      </c>
      <c r="AE117" s="273">
        <f>'Key Inputs_New Techs'!Y46</f>
        <v>0.9857999999999999</v>
      </c>
      <c r="AF117" s="273">
        <f>'Key Inputs_New Techs'!Z46</f>
        <v>0.9857999999999999</v>
      </c>
      <c r="AG117" s="273">
        <f>'Key Inputs_New Techs'!AA46</f>
        <v>0.9857999999999999</v>
      </c>
      <c r="AH117" s="273">
        <f>'Key Inputs_New Techs'!AB46</f>
        <v>0.9857999999999999</v>
      </c>
      <c r="AI117" s="273">
        <f>'Key Inputs_New Techs'!AC46</f>
        <v>0.9857999999999999</v>
      </c>
      <c r="AJ117" s="273">
        <f>'Key Inputs_New Techs'!AD46</f>
        <v>0.9857999999999999</v>
      </c>
      <c r="AK117" s="273">
        <f>'Key Inputs_New Techs'!AE46</f>
        <v>0.9857999999999999</v>
      </c>
      <c r="AL117" s="273">
        <f>'Key Inputs_New Techs'!AF46</f>
        <v>0.9857999999999999</v>
      </c>
      <c r="AM117" s="273">
        <f>'Key Inputs_New Techs'!AG46</f>
        <v>0.9857999999999999</v>
      </c>
      <c r="AN117" s="273">
        <f>'Key Inputs_New Techs'!AH46</f>
        <v>0.9857999999999999</v>
      </c>
      <c r="AO117" s="273">
        <f>'Key Inputs_New Techs'!AI46</f>
        <v>0.9857999999999999</v>
      </c>
      <c r="AP117" s="273">
        <f>'Key Inputs_New Techs'!AJ46</f>
        <v>0.9857999999999999</v>
      </c>
      <c r="AQ117" s="273">
        <f>'Key Inputs_New Techs'!AK46</f>
        <v>0.9857999999999999</v>
      </c>
      <c r="AR117" s="273">
        <f>'Key Inputs_New Techs'!AL46</f>
        <v>0.9857999999999999</v>
      </c>
    </row>
    <row r="118" spans="1:44" s="113" customFormat="1" ht="15.75" x14ac:dyDescent="0.25">
      <c r="A118" s="245"/>
      <c r="B118" s="245"/>
      <c r="C118" s="245"/>
      <c r="D118" s="245"/>
      <c r="E118" s="245"/>
      <c r="F118" s="245"/>
      <c r="G118" s="245"/>
      <c r="H118" s="245"/>
      <c r="I118" s="245"/>
      <c r="J118" s="118"/>
      <c r="K118" s="201" t="str">
        <f>IF('Key Inputs_New Techs'!B47="","",'Key Inputs_New Techs'!B47)</f>
        <v>R-THL-BLR_OIL03</v>
      </c>
      <c r="L118" s="109" t="str">
        <f>IFERROR(VLOOKUP(K$118,'Commodities &amp; Processes'!L:M,2,FALSE),"")</f>
        <v>RSD Thermal uses technology: Oil, Liquid biofuels Boiler cond. (Imp.) -New</v>
      </c>
      <c r="M118" s="109"/>
      <c r="N118" s="109">
        <f>'Key Inputs_New Techs'!H47</f>
        <v>2025</v>
      </c>
      <c r="O118" s="114" t="s">
        <v>37</v>
      </c>
      <c r="P118" s="120" t="s">
        <v>174</v>
      </c>
      <c r="Q118" s="273">
        <f>'Key Inputs_New Techs'!K47</f>
        <v>0.9857999999999999</v>
      </c>
      <c r="R118" s="273">
        <f>'Key Inputs_New Techs'!L47</f>
        <v>0.9857999999999999</v>
      </c>
      <c r="S118" s="273">
        <f>'Key Inputs_New Techs'!M47</f>
        <v>0.9857999999999999</v>
      </c>
      <c r="T118" s="273">
        <f>'Key Inputs_New Techs'!N47</f>
        <v>0.9857999999999999</v>
      </c>
      <c r="U118" s="273">
        <f>'Key Inputs_New Techs'!O47</f>
        <v>0.9857999999999999</v>
      </c>
      <c r="V118" s="273">
        <f>'Key Inputs_New Techs'!P47</f>
        <v>0.9857999999999999</v>
      </c>
      <c r="W118" s="273">
        <f>'Key Inputs_New Techs'!Q47</f>
        <v>0.9857999999999999</v>
      </c>
      <c r="X118" s="273">
        <f>'Key Inputs_New Techs'!R47</f>
        <v>0.9857999999999999</v>
      </c>
      <c r="Y118" s="273">
        <f>'Key Inputs_New Techs'!S47</f>
        <v>0.9857999999999999</v>
      </c>
      <c r="Z118" s="273">
        <f>'Key Inputs_New Techs'!T47</f>
        <v>0.9857999999999999</v>
      </c>
      <c r="AA118" s="273">
        <f>'Key Inputs_New Techs'!U47</f>
        <v>0.9857999999999999</v>
      </c>
      <c r="AB118" s="273">
        <f>'Key Inputs_New Techs'!V47</f>
        <v>0.9857999999999999</v>
      </c>
      <c r="AC118" s="273">
        <f>'Key Inputs_New Techs'!W47</f>
        <v>0.9857999999999999</v>
      </c>
      <c r="AD118" s="273">
        <f>'Key Inputs_New Techs'!X47</f>
        <v>0.9857999999999999</v>
      </c>
      <c r="AE118" s="273">
        <f>'Key Inputs_New Techs'!Y47</f>
        <v>0.9857999999999999</v>
      </c>
      <c r="AF118" s="273">
        <f>'Key Inputs_New Techs'!Z47</f>
        <v>0.9857999999999999</v>
      </c>
      <c r="AG118" s="273">
        <f>'Key Inputs_New Techs'!AA47</f>
        <v>0.9857999999999999</v>
      </c>
      <c r="AH118" s="273">
        <f>'Key Inputs_New Techs'!AB47</f>
        <v>0.9857999999999999</v>
      </c>
      <c r="AI118" s="273">
        <f>'Key Inputs_New Techs'!AC47</f>
        <v>0.9857999999999999</v>
      </c>
      <c r="AJ118" s="273">
        <f>'Key Inputs_New Techs'!AD47</f>
        <v>0.9857999999999999</v>
      </c>
      <c r="AK118" s="273">
        <f>'Key Inputs_New Techs'!AE47</f>
        <v>0.9857999999999999</v>
      </c>
      <c r="AL118" s="273">
        <f>'Key Inputs_New Techs'!AF47</f>
        <v>0.9857999999999999</v>
      </c>
      <c r="AM118" s="273">
        <f>'Key Inputs_New Techs'!AG47</f>
        <v>0.9857999999999999</v>
      </c>
      <c r="AN118" s="273">
        <f>'Key Inputs_New Techs'!AH47</f>
        <v>0.9857999999999999</v>
      </c>
      <c r="AO118" s="273">
        <f>'Key Inputs_New Techs'!AI47</f>
        <v>0.9857999999999999</v>
      </c>
      <c r="AP118" s="273">
        <f>'Key Inputs_New Techs'!AJ47</f>
        <v>0.9857999999999999</v>
      </c>
      <c r="AQ118" s="273">
        <f>'Key Inputs_New Techs'!AK47</f>
        <v>0.9857999999999999</v>
      </c>
      <c r="AR118" s="273">
        <f>'Key Inputs_New Techs'!AL47</f>
        <v>0.9857999999999999</v>
      </c>
    </row>
    <row r="119" spans="1:44" s="113" customFormat="1" ht="15.75" x14ac:dyDescent="0.25">
      <c r="A119" s="245"/>
      <c r="B119" s="245"/>
      <c r="C119" s="245"/>
      <c r="D119" s="245"/>
      <c r="E119" s="245"/>
      <c r="F119" s="245"/>
      <c r="G119" s="245"/>
      <c r="H119" s="245"/>
      <c r="I119" s="245"/>
      <c r="J119" s="118"/>
      <c r="K119" s="201" t="str">
        <f>IF('Key Inputs_New Techs'!B48="","",'Key Inputs_New Techs'!B48)</f>
        <v/>
      </c>
      <c r="L119" s="109" t="str">
        <f>IFERROR(VLOOKUP(K$118,'Commodities &amp; Processes'!L:M,2,FALSE),"")</f>
        <v>RSD Thermal uses technology: Oil, Liquid biofuels Boiler cond. (Imp.) -New</v>
      </c>
      <c r="M119" s="109"/>
      <c r="N119" s="109">
        <f>'Key Inputs_New Techs'!H48</f>
        <v>2030</v>
      </c>
      <c r="O119" s="114" t="s">
        <v>37</v>
      </c>
      <c r="P119" s="120" t="s">
        <v>174</v>
      </c>
      <c r="Q119" s="273">
        <f>'Key Inputs_New Techs'!K48</f>
        <v>1.0176000000000001</v>
      </c>
      <c r="R119" s="273">
        <f>'Key Inputs_New Techs'!L48</f>
        <v>1.0176000000000001</v>
      </c>
      <c r="S119" s="273">
        <f>'Key Inputs_New Techs'!M48</f>
        <v>1.0176000000000001</v>
      </c>
      <c r="T119" s="273">
        <f>'Key Inputs_New Techs'!N48</f>
        <v>1.0176000000000001</v>
      </c>
      <c r="U119" s="273">
        <f>'Key Inputs_New Techs'!O48</f>
        <v>1.0176000000000001</v>
      </c>
      <c r="V119" s="273">
        <f>'Key Inputs_New Techs'!P48</f>
        <v>1.0176000000000001</v>
      </c>
      <c r="W119" s="273">
        <f>'Key Inputs_New Techs'!Q48</f>
        <v>1.0176000000000001</v>
      </c>
      <c r="X119" s="273">
        <f>'Key Inputs_New Techs'!R48</f>
        <v>1.0176000000000001</v>
      </c>
      <c r="Y119" s="273">
        <f>'Key Inputs_New Techs'!S48</f>
        <v>1.0176000000000001</v>
      </c>
      <c r="Z119" s="273">
        <f>'Key Inputs_New Techs'!T48</f>
        <v>1.0176000000000001</v>
      </c>
      <c r="AA119" s="273">
        <f>'Key Inputs_New Techs'!U48</f>
        <v>1.0176000000000001</v>
      </c>
      <c r="AB119" s="273">
        <f>'Key Inputs_New Techs'!V48</f>
        <v>1.0176000000000001</v>
      </c>
      <c r="AC119" s="273">
        <f>'Key Inputs_New Techs'!W48</f>
        <v>1.0176000000000001</v>
      </c>
      <c r="AD119" s="273">
        <f>'Key Inputs_New Techs'!X48</f>
        <v>1.0176000000000001</v>
      </c>
      <c r="AE119" s="273">
        <f>'Key Inputs_New Techs'!Y48</f>
        <v>1.0176000000000001</v>
      </c>
      <c r="AF119" s="273">
        <f>'Key Inputs_New Techs'!Z48</f>
        <v>1.0176000000000001</v>
      </c>
      <c r="AG119" s="273">
        <f>'Key Inputs_New Techs'!AA48</f>
        <v>1.0176000000000001</v>
      </c>
      <c r="AH119" s="273">
        <f>'Key Inputs_New Techs'!AB48</f>
        <v>1.0176000000000001</v>
      </c>
      <c r="AI119" s="273">
        <f>'Key Inputs_New Techs'!AC48</f>
        <v>1.0176000000000001</v>
      </c>
      <c r="AJ119" s="273">
        <f>'Key Inputs_New Techs'!AD48</f>
        <v>1.0176000000000001</v>
      </c>
      <c r="AK119" s="273">
        <f>'Key Inputs_New Techs'!AE48</f>
        <v>1.0176000000000001</v>
      </c>
      <c r="AL119" s="273">
        <f>'Key Inputs_New Techs'!AF48</f>
        <v>1.0176000000000001</v>
      </c>
      <c r="AM119" s="273">
        <f>'Key Inputs_New Techs'!AG48</f>
        <v>1.0176000000000001</v>
      </c>
      <c r="AN119" s="273">
        <f>'Key Inputs_New Techs'!AH48</f>
        <v>1.0176000000000001</v>
      </c>
      <c r="AO119" s="273">
        <f>'Key Inputs_New Techs'!AI48</f>
        <v>1.0176000000000001</v>
      </c>
      <c r="AP119" s="273">
        <f>'Key Inputs_New Techs'!AJ48</f>
        <v>1.0176000000000001</v>
      </c>
      <c r="AQ119" s="273">
        <f>'Key Inputs_New Techs'!AK48</f>
        <v>1.0176000000000001</v>
      </c>
      <c r="AR119" s="273">
        <f>'Key Inputs_New Techs'!AL48</f>
        <v>1.0176000000000001</v>
      </c>
    </row>
    <row r="120" spans="1:44" s="113" customFormat="1" ht="15.75" x14ac:dyDescent="0.25">
      <c r="A120" s="245"/>
      <c r="B120" s="245"/>
      <c r="C120" s="245"/>
      <c r="D120" s="245"/>
      <c r="E120" s="245"/>
      <c r="F120" s="245"/>
      <c r="G120" s="245"/>
      <c r="H120" s="245"/>
      <c r="I120" s="245"/>
      <c r="J120" s="118"/>
      <c r="K120" s="201" t="str">
        <f>IF('Key Inputs_New Techs'!B49="","",'Key Inputs_New Techs'!B49)</f>
        <v>R-THL-BLR_LPG01</v>
      </c>
      <c r="L120" s="109" t="str">
        <f>IFERROR(VLOOKUP(K$118,'Commodities &amp; Processes'!L:M,2,FALSE),"")</f>
        <v>RSD Thermal uses technology: Oil, Liquid biofuels Boiler cond. (Imp.) -New</v>
      </c>
      <c r="M120" s="109"/>
      <c r="N120" s="109">
        <f>'Key Inputs_New Techs'!H49</f>
        <v>2020</v>
      </c>
      <c r="O120" s="114" t="s">
        <v>37</v>
      </c>
      <c r="P120" s="120" t="s">
        <v>174</v>
      </c>
      <c r="Q120" s="273">
        <f>'Key Inputs_New Techs'!K49</f>
        <v>0.94340000000000002</v>
      </c>
      <c r="R120" s="273">
        <f>'Key Inputs_New Techs'!L49</f>
        <v>0.94340000000000002</v>
      </c>
      <c r="S120" s="273">
        <f>'Key Inputs_New Techs'!M49</f>
        <v>0.94340000000000002</v>
      </c>
      <c r="T120" s="273">
        <f>'Key Inputs_New Techs'!N49</f>
        <v>0.94340000000000002</v>
      </c>
      <c r="U120" s="273">
        <f>'Key Inputs_New Techs'!O49</f>
        <v>0.94340000000000002</v>
      </c>
      <c r="V120" s="273">
        <f>'Key Inputs_New Techs'!P49</f>
        <v>0.94340000000000002</v>
      </c>
      <c r="W120" s="273">
        <f>'Key Inputs_New Techs'!Q49</f>
        <v>0.94340000000000002</v>
      </c>
      <c r="X120" s="273">
        <f>'Key Inputs_New Techs'!R49</f>
        <v>0.94340000000000002</v>
      </c>
      <c r="Y120" s="273">
        <f>'Key Inputs_New Techs'!S49</f>
        <v>0.94340000000000002</v>
      </c>
      <c r="Z120" s="273">
        <f>'Key Inputs_New Techs'!T49</f>
        <v>0.94340000000000002</v>
      </c>
      <c r="AA120" s="273">
        <f>'Key Inputs_New Techs'!U49</f>
        <v>0.94340000000000002</v>
      </c>
      <c r="AB120" s="273">
        <f>'Key Inputs_New Techs'!V49</f>
        <v>0.94340000000000002</v>
      </c>
      <c r="AC120" s="273">
        <f>'Key Inputs_New Techs'!W49</f>
        <v>0.94340000000000002</v>
      </c>
      <c r="AD120" s="273">
        <f>'Key Inputs_New Techs'!X49</f>
        <v>0.94340000000000002</v>
      </c>
      <c r="AE120" s="273">
        <f>'Key Inputs_New Techs'!Y49</f>
        <v>0.94340000000000002</v>
      </c>
      <c r="AF120" s="273">
        <f>'Key Inputs_New Techs'!Z49</f>
        <v>0.94340000000000002</v>
      </c>
      <c r="AG120" s="273">
        <f>'Key Inputs_New Techs'!AA49</f>
        <v>0.94340000000000002</v>
      </c>
      <c r="AH120" s="273">
        <f>'Key Inputs_New Techs'!AB49</f>
        <v>0.94340000000000002</v>
      </c>
      <c r="AI120" s="273">
        <f>'Key Inputs_New Techs'!AC49</f>
        <v>0.94340000000000002</v>
      </c>
      <c r="AJ120" s="273">
        <f>'Key Inputs_New Techs'!AD49</f>
        <v>0.94340000000000002</v>
      </c>
      <c r="AK120" s="273">
        <f>'Key Inputs_New Techs'!AE49</f>
        <v>0.94340000000000002</v>
      </c>
      <c r="AL120" s="273">
        <f>'Key Inputs_New Techs'!AF49</f>
        <v>0.94340000000000002</v>
      </c>
      <c r="AM120" s="273">
        <f>'Key Inputs_New Techs'!AG49</f>
        <v>0.94340000000000002</v>
      </c>
      <c r="AN120" s="273">
        <f>'Key Inputs_New Techs'!AH49</f>
        <v>0.94340000000000002</v>
      </c>
      <c r="AO120" s="273">
        <f>'Key Inputs_New Techs'!AI49</f>
        <v>0.94340000000000002</v>
      </c>
      <c r="AP120" s="273">
        <f>'Key Inputs_New Techs'!AJ49</f>
        <v>0.94340000000000002</v>
      </c>
      <c r="AQ120" s="273">
        <f>'Key Inputs_New Techs'!AK49</f>
        <v>0.94340000000000002</v>
      </c>
      <c r="AR120" s="273">
        <f>'Key Inputs_New Techs'!AL49</f>
        <v>0.94340000000000002</v>
      </c>
    </row>
    <row r="121" spans="1:44" s="113" customFormat="1" ht="15.75" x14ac:dyDescent="0.25">
      <c r="A121" s="245"/>
      <c r="B121" s="245"/>
      <c r="C121" s="245"/>
      <c r="D121" s="245"/>
      <c r="E121" s="245"/>
      <c r="F121" s="245"/>
      <c r="G121" s="245"/>
      <c r="H121" s="245"/>
      <c r="I121" s="245"/>
      <c r="J121" s="118"/>
      <c r="K121" s="201" t="str">
        <f>IF('Key Inputs_New Techs'!B50="","",'Key Inputs_New Techs'!B50)</f>
        <v>R-THL-HEX_SOL01</v>
      </c>
      <c r="L121" s="109" t="str">
        <f>IFERROR(VLOOKUP(K121,'Commodities &amp; Processes'!L:M,2,FALSE),"")</f>
        <v>RSD Thermal uses technology: Solar Thermal (Ord.) -New</v>
      </c>
      <c r="M121" s="109"/>
      <c r="N121" s="109">
        <f>'Key Inputs_New Techs'!H50</f>
        <v>2020</v>
      </c>
      <c r="O121" s="114" t="s">
        <v>37</v>
      </c>
      <c r="P121" s="120" t="s">
        <v>174</v>
      </c>
      <c r="Q121" s="273">
        <f>'Key Inputs_New Techs'!K50</f>
        <v>1</v>
      </c>
      <c r="R121" s="273">
        <f>'Key Inputs_New Techs'!L50</f>
        <v>1</v>
      </c>
      <c r="S121" s="273">
        <f>'Key Inputs_New Techs'!M50</f>
        <v>1</v>
      </c>
      <c r="T121" s="273">
        <f>'Key Inputs_New Techs'!N50</f>
        <v>1</v>
      </c>
      <c r="U121" s="273">
        <f>'Key Inputs_New Techs'!O50</f>
        <v>1</v>
      </c>
      <c r="V121" s="273">
        <f>'Key Inputs_New Techs'!P50</f>
        <v>1</v>
      </c>
      <c r="W121" s="273">
        <f>'Key Inputs_New Techs'!Q50</f>
        <v>1</v>
      </c>
      <c r="X121" s="273">
        <f>'Key Inputs_New Techs'!R50</f>
        <v>1</v>
      </c>
      <c r="Y121" s="273">
        <f>'Key Inputs_New Techs'!S50</f>
        <v>1</v>
      </c>
      <c r="Z121" s="273">
        <f>'Key Inputs_New Techs'!T50</f>
        <v>1</v>
      </c>
      <c r="AA121" s="273">
        <f>'Key Inputs_New Techs'!U50</f>
        <v>1</v>
      </c>
      <c r="AB121" s="273">
        <f>'Key Inputs_New Techs'!V50</f>
        <v>1</v>
      </c>
      <c r="AC121" s="273">
        <f>'Key Inputs_New Techs'!W50</f>
        <v>1</v>
      </c>
      <c r="AD121" s="273">
        <f>'Key Inputs_New Techs'!X50</f>
        <v>1</v>
      </c>
      <c r="AE121" s="273">
        <f>'Key Inputs_New Techs'!Y50</f>
        <v>1</v>
      </c>
      <c r="AF121" s="273">
        <f>'Key Inputs_New Techs'!Z50</f>
        <v>1</v>
      </c>
      <c r="AG121" s="273">
        <f>'Key Inputs_New Techs'!AA50</f>
        <v>1</v>
      </c>
      <c r="AH121" s="273">
        <f>'Key Inputs_New Techs'!AB50</f>
        <v>1</v>
      </c>
      <c r="AI121" s="273">
        <f>'Key Inputs_New Techs'!AC50</f>
        <v>1</v>
      </c>
      <c r="AJ121" s="273">
        <f>'Key Inputs_New Techs'!AD50</f>
        <v>1</v>
      </c>
      <c r="AK121" s="273">
        <f>'Key Inputs_New Techs'!AE50</f>
        <v>1</v>
      </c>
      <c r="AL121" s="273">
        <f>'Key Inputs_New Techs'!AF50</f>
        <v>1</v>
      </c>
      <c r="AM121" s="273">
        <f>'Key Inputs_New Techs'!AG50</f>
        <v>1</v>
      </c>
      <c r="AN121" s="273">
        <f>'Key Inputs_New Techs'!AH50</f>
        <v>1</v>
      </c>
      <c r="AO121" s="273">
        <f>'Key Inputs_New Techs'!AI50</f>
        <v>1</v>
      </c>
      <c r="AP121" s="273">
        <f>'Key Inputs_New Techs'!AJ50</f>
        <v>1</v>
      </c>
      <c r="AQ121" s="273">
        <f>'Key Inputs_New Techs'!AK50</f>
        <v>1</v>
      </c>
      <c r="AR121" s="273">
        <f>'Key Inputs_New Techs'!AL50</f>
        <v>1</v>
      </c>
    </row>
    <row r="122" spans="1:44" s="113" customFormat="1" ht="15.75" x14ac:dyDescent="0.25">
      <c r="A122" s="245"/>
      <c r="B122" s="245"/>
      <c r="C122" s="245"/>
      <c r="D122" s="245"/>
      <c r="E122" s="245"/>
      <c r="F122" s="245"/>
      <c r="G122" s="245"/>
      <c r="H122" s="245"/>
      <c r="I122" s="245"/>
      <c r="J122" s="118"/>
      <c r="K122" s="201" t="str">
        <f>IF('Key Inputs_New Techs'!B51="","",'Key Inputs_New Techs'!B51)</f>
        <v>R-THH-STV_BIO01</v>
      </c>
      <c r="L122" s="109" t="str">
        <f>IFERROR(VLOOKUP(K122,'Commodities &amp; Processes'!L:M,2,FALSE),"")</f>
        <v>RSD Thermal uses technology: Biomass Wood Stove (Ord.) -New</v>
      </c>
      <c r="M122" s="109"/>
      <c r="N122" s="109">
        <f>'Key Inputs_New Techs'!H51</f>
        <v>2020</v>
      </c>
      <c r="O122" s="114" t="s">
        <v>37</v>
      </c>
      <c r="P122" s="120" t="s">
        <v>174</v>
      </c>
      <c r="Q122" s="273">
        <f>'Key Inputs_New Techs'!K51</f>
        <v>0.72</v>
      </c>
      <c r="R122" s="273">
        <f>'Key Inputs_New Techs'!L51</f>
        <v>0.72</v>
      </c>
      <c r="S122" s="273">
        <f>'Key Inputs_New Techs'!M51</f>
        <v>0.72</v>
      </c>
      <c r="T122" s="273">
        <f>'Key Inputs_New Techs'!N51</f>
        <v>0.72</v>
      </c>
      <c r="U122" s="273">
        <f>'Key Inputs_New Techs'!O51</f>
        <v>0.72</v>
      </c>
      <c r="V122" s="273">
        <f>'Key Inputs_New Techs'!P51</f>
        <v>0.72</v>
      </c>
      <c r="W122" s="273">
        <f>'Key Inputs_New Techs'!Q51</f>
        <v>0.72</v>
      </c>
      <c r="X122" s="273">
        <f>'Key Inputs_New Techs'!R51</f>
        <v>0.72</v>
      </c>
      <c r="Y122" s="273">
        <f>'Key Inputs_New Techs'!S51</f>
        <v>0.72</v>
      </c>
      <c r="Z122" s="273">
        <f>'Key Inputs_New Techs'!T51</f>
        <v>0.72</v>
      </c>
      <c r="AA122" s="273">
        <f>'Key Inputs_New Techs'!U51</f>
        <v>0.72</v>
      </c>
      <c r="AB122" s="273">
        <f>'Key Inputs_New Techs'!V51</f>
        <v>0.72</v>
      </c>
      <c r="AC122" s="273">
        <f>'Key Inputs_New Techs'!W51</f>
        <v>0.72</v>
      </c>
      <c r="AD122" s="273">
        <f>'Key Inputs_New Techs'!X51</f>
        <v>0.72</v>
      </c>
      <c r="AE122" s="273">
        <f>'Key Inputs_New Techs'!Y51</f>
        <v>0.72</v>
      </c>
      <c r="AF122" s="273">
        <f>'Key Inputs_New Techs'!Z51</f>
        <v>0.72</v>
      </c>
      <c r="AG122" s="273">
        <f>'Key Inputs_New Techs'!AA51</f>
        <v>0.72</v>
      </c>
      <c r="AH122" s="273">
        <f>'Key Inputs_New Techs'!AB51</f>
        <v>0.72</v>
      </c>
      <c r="AI122" s="273">
        <f>'Key Inputs_New Techs'!AC51</f>
        <v>0.72</v>
      </c>
      <c r="AJ122" s="273">
        <f>'Key Inputs_New Techs'!AD51</f>
        <v>0.72</v>
      </c>
      <c r="AK122" s="273">
        <f>'Key Inputs_New Techs'!AE51</f>
        <v>0.72</v>
      </c>
      <c r="AL122" s="273">
        <f>'Key Inputs_New Techs'!AF51</f>
        <v>0.72</v>
      </c>
      <c r="AM122" s="273">
        <f>'Key Inputs_New Techs'!AG51</f>
        <v>0.72</v>
      </c>
      <c r="AN122" s="273">
        <f>'Key Inputs_New Techs'!AH51</f>
        <v>0.72</v>
      </c>
      <c r="AO122" s="273">
        <f>'Key Inputs_New Techs'!AI51</f>
        <v>0.72</v>
      </c>
      <c r="AP122" s="273">
        <f>'Key Inputs_New Techs'!AJ51</f>
        <v>0.72</v>
      </c>
      <c r="AQ122" s="273">
        <f>'Key Inputs_New Techs'!AK51</f>
        <v>0.72</v>
      </c>
      <c r="AR122" s="273">
        <f>'Key Inputs_New Techs'!AL51</f>
        <v>0.72</v>
      </c>
    </row>
    <row r="123" spans="1:44" s="113" customFormat="1" ht="15.75" x14ac:dyDescent="0.25">
      <c r="A123" s="245"/>
      <c r="B123" s="245"/>
      <c r="C123" s="245"/>
      <c r="D123" s="245"/>
      <c r="E123" s="245"/>
      <c r="F123" s="245"/>
      <c r="G123" s="245"/>
      <c r="H123" s="245"/>
      <c r="I123" s="245"/>
      <c r="J123" s="118"/>
      <c r="K123" s="201" t="str">
        <f>IF('Key Inputs_New Techs'!B52="","",'Key Inputs_New Techs'!B52)</f>
        <v>R-THH-STV_BIO02</v>
      </c>
      <c r="L123" s="109" t="str">
        <f>IFERROR(VLOOKUP(K$123,'Commodities &amp; Processes'!L:M,2,FALSE),"")</f>
        <v>RSD Thermal uses technology: Biomass Wood Stove (Imp.) -New</v>
      </c>
      <c r="M123" s="109"/>
      <c r="N123" s="109">
        <f>'Key Inputs_New Techs'!H52</f>
        <v>2025</v>
      </c>
      <c r="O123" s="114" t="s">
        <v>37</v>
      </c>
      <c r="P123" s="120" t="s">
        <v>174</v>
      </c>
      <c r="Q123" s="273">
        <f>'Key Inputs_New Techs'!K52</f>
        <v>0.72</v>
      </c>
      <c r="R123" s="273">
        <f>'Key Inputs_New Techs'!L52</f>
        <v>0.72</v>
      </c>
      <c r="S123" s="273">
        <f>'Key Inputs_New Techs'!M52</f>
        <v>0.72</v>
      </c>
      <c r="T123" s="273">
        <f>'Key Inputs_New Techs'!N52</f>
        <v>0.72</v>
      </c>
      <c r="U123" s="273">
        <f>'Key Inputs_New Techs'!O52</f>
        <v>0.72</v>
      </c>
      <c r="V123" s="273">
        <f>'Key Inputs_New Techs'!P52</f>
        <v>0.72</v>
      </c>
      <c r="W123" s="273">
        <f>'Key Inputs_New Techs'!Q52</f>
        <v>0.72</v>
      </c>
      <c r="X123" s="273">
        <f>'Key Inputs_New Techs'!R52</f>
        <v>0.72</v>
      </c>
      <c r="Y123" s="273">
        <f>'Key Inputs_New Techs'!S52</f>
        <v>0.72</v>
      </c>
      <c r="Z123" s="273">
        <f>'Key Inputs_New Techs'!T52</f>
        <v>0.72</v>
      </c>
      <c r="AA123" s="273">
        <f>'Key Inputs_New Techs'!U52</f>
        <v>0.72</v>
      </c>
      <c r="AB123" s="273">
        <f>'Key Inputs_New Techs'!V52</f>
        <v>0.72</v>
      </c>
      <c r="AC123" s="273">
        <f>'Key Inputs_New Techs'!W52</f>
        <v>0.72</v>
      </c>
      <c r="AD123" s="273">
        <f>'Key Inputs_New Techs'!X52</f>
        <v>0.72</v>
      </c>
      <c r="AE123" s="273">
        <f>'Key Inputs_New Techs'!Y52</f>
        <v>0.72</v>
      </c>
      <c r="AF123" s="273">
        <f>'Key Inputs_New Techs'!Z52</f>
        <v>0.72</v>
      </c>
      <c r="AG123" s="273">
        <f>'Key Inputs_New Techs'!AA52</f>
        <v>0.72</v>
      </c>
      <c r="AH123" s="273">
        <f>'Key Inputs_New Techs'!AB52</f>
        <v>0.72</v>
      </c>
      <c r="AI123" s="273">
        <f>'Key Inputs_New Techs'!AC52</f>
        <v>0.72</v>
      </c>
      <c r="AJ123" s="273">
        <f>'Key Inputs_New Techs'!AD52</f>
        <v>0.72</v>
      </c>
      <c r="AK123" s="273">
        <f>'Key Inputs_New Techs'!AE52</f>
        <v>0.72</v>
      </c>
      <c r="AL123" s="273">
        <f>'Key Inputs_New Techs'!AF52</f>
        <v>0.72</v>
      </c>
      <c r="AM123" s="273">
        <f>'Key Inputs_New Techs'!AG52</f>
        <v>0.72</v>
      </c>
      <c r="AN123" s="273">
        <f>'Key Inputs_New Techs'!AH52</f>
        <v>0.72</v>
      </c>
      <c r="AO123" s="273">
        <f>'Key Inputs_New Techs'!AI52</f>
        <v>0.72</v>
      </c>
      <c r="AP123" s="273">
        <f>'Key Inputs_New Techs'!AJ52</f>
        <v>0.72</v>
      </c>
      <c r="AQ123" s="273">
        <f>'Key Inputs_New Techs'!AK52</f>
        <v>0.72</v>
      </c>
      <c r="AR123" s="273">
        <f>'Key Inputs_New Techs'!AL52</f>
        <v>0.72</v>
      </c>
    </row>
    <row r="124" spans="1:44" s="113" customFormat="1" ht="15.75" x14ac:dyDescent="0.25">
      <c r="A124" s="245"/>
      <c r="B124" s="245"/>
      <c r="C124" s="245"/>
      <c r="D124" s="245"/>
      <c r="E124" s="245"/>
      <c r="F124" s="245"/>
      <c r="G124" s="245"/>
      <c r="H124" s="245"/>
      <c r="I124" s="245"/>
      <c r="J124" s="118"/>
      <c r="K124" s="201" t="str">
        <f>IF('Key Inputs_New Techs'!B53="","",'Key Inputs_New Techs'!B53)</f>
        <v/>
      </c>
      <c r="L124" s="109" t="str">
        <f>IFERROR(VLOOKUP(K$123,'Commodities &amp; Processes'!L:M,2,FALSE),"")</f>
        <v>RSD Thermal uses technology: Biomass Wood Stove (Imp.) -New</v>
      </c>
      <c r="M124" s="109"/>
      <c r="N124" s="109">
        <f>'Key Inputs_New Techs'!H53</f>
        <v>2030</v>
      </c>
      <c r="O124" s="114" t="s">
        <v>37</v>
      </c>
      <c r="P124" s="120" t="s">
        <v>174</v>
      </c>
      <c r="Q124" s="273">
        <f>'Key Inputs_New Techs'!K53</f>
        <v>0.77208496722682796</v>
      </c>
      <c r="R124" s="273">
        <f>'Key Inputs_New Techs'!L53</f>
        <v>0.77208496722682796</v>
      </c>
      <c r="S124" s="273">
        <f>'Key Inputs_New Techs'!M53</f>
        <v>0.77208496722682796</v>
      </c>
      <c r="T124" s="273">
        <f>'Key Inputs_New Techs'!N53</f>
        <v>0.77208496722682796</v>
      </c>
      <c r="U124" s="273">
        <f>'Key Inputs_New Techs'!O53</f>
        <v>0.77208496722682796</v>
      </c>
      <c r="V124" s="273">
        <f>'Key Inputs_New Techs'!P53</f>
        <v>0.77208496722682796</v>
      </c>
      <c r="W124" s="273">
        <f>'Key Inputs_New Techs'!Q53</f>
        <v>0.77208496722682796</v>
      </c>
      <c r="X124" s="273">
        <f>'Key Inputs_New Techs'!R53</f>
        <v>0.77208496722682796</v>
      </c>
      <c r="Y124" s="273">
        <f>'Key Inputs_New Techs'!S53</f>
        <v>0.77208496722682796</v>
      </c>
      <c r="Z124" s="273">
        <f>'Key Inputs_New Techs'!T53</f>
        <v>0.77208496722682796</v>
      </c>
      <c r="AA124" s="273">
        <f>'Key Inputs_New Techs'!U53</f>
        <v>0.77208496722682796</v>
      </c>
      <c r="AB124" s="273">
        <f>'Key Inputs_New Techs'!V53</f>
        <v>0.77208496722682796</v>
      </c>
      <c r="AC124" s="273">
        <f>'Key Inputs_New Techs'!W53</f>
        <v>0.77208496722682796</v>
      </c>
      <c r="AD124" s="273">
        <f>'Key Inputs_New Techs'!X53</f>
        <v>0.77208496722682796</v>
      </c>
      <c r="AE124" s="273">
        <f>'Key Inputs_New Techs'!Y53</f>
        <v>0.77208496722682796</v>
      </c>
      <c r="AF124" s="273">
        <f>'Key Inputs_New Techs'!Z53</f>
        <v>0.77208496722682796</v>
      </c>
      <c r="AG124" s="273">
        <f>'Key Inputs_New Techs'!AA53</f>
        <v>0.77208496722682796</v>
      </c>
      <c r="AH124" s="273">
        <f>'Key Inputs_New Techs'!AB53</f>
        <v>0.77208496722682796</v>
      </c>
      <c r="AI124" s="273">
        <f>'Key Inputs_New Techs'!AC53</f>
        <v>0.77208496722682796</v>
      </c>
      <c r="AJ124" s="273">
        <f>'Key Inputs_New Techs'!AD53</f>
        <v>0.77208496722682796</v>
      </c>
      <c r="AK124" s="273">
        <f>'Key Inputs_New Techs'!AE53</f>
        <v>0.77208496722682796</v>
      </c>
      <c r="AL124" s="273">
        <f>'Key Inputs_New Techs'!AF53</f>
        <v>0.77208496722682796</v>
      </c>
      <c r="AM124" s="273">
        <f>'Key Inputs_New Techs'!AG53</f>
        <v>0.77208496722682796</v>
      </c>
      <c r="AN124" s="273">
        <f>'Key Inputs_New Techs'!AH53</f>
        <v>0.77208496722682796</v>
      </c>
      <c r="AO124" s="273">
        <f>'Key Inputs_New Techs'!AI53</f>
        <v>0.77208496722682796</v>
      </c>
      <c r="AP124" s="273">
        <f>'Key Inputs_New Techs'!AJ53</f>
        <v>0.77208496722682796</v>
      </c>
      <c r="AQ124" s="273">
        <f>'Key Inputs_New Techs'!AK53</f>
        <v>0.77208496722682796</v>
      </c>
      <c r="AR124" s="273">
        <f>'Key Inputs_New Techs'!AL53</f>
        <v>0.77208496722682796</v>
      </c>
    </row>
    <row r="125" spans="1:44" s="113" customFormat="1" ht="15.75" x14ac:dyDescent="0.25">
      <c r="A125" s="245"/>
      <c r="B125" s="245"/>
      <c r="C125" s="245"/>
      <c r="D125" s="245"/>
      <c r="E125" s="245"/>
      <c r="F125" s="245"/>
      <c r="G125" s="245"/>
      <c r="H125" s="245"/>
      <c r="I125" s="245"/>
      <c r="J125" s="118"/>
      <c r="K125" s="201" t="str">
        <f>IF('Key Inputs_New Techs'!B54="","",'Key Inputs_New Techs'!B54)</f>
        <v>R-THH-STV_BIO03</v>
      </c>
      <c r="L125" s="109" t="str">
        <f>IFERROR(VLOOKUP(K$125,'Commodities &amp; Processes'!L:M,2,FALSE),"")</f>
        <v>RSD Thermal uses technology: Biomass Wood Stove (Adv.)) -New</v>
      </c>
      <c r="M125" s="109"/>
      <c r="N125" s="109">
        <f>'Key Inputs_New Techs'!H54</f>
        <v>2030</v>
      </c>
      <c r="O125" s="114" t="s">
        <v>37</v>
      </c>
      <c r="P125" s="120" t="s">
        <v>174</v>
      </c>
      <c r="Q125" s="273">
        <f>'Key Inputs_New Techs'!K54</f>
        <v>0.79301947715886789</v>
      </c>
      <c r="R125" s="273">
        <f>'Key Inputs_New Techs'!L54</f>
        <v>0.79301947715886789</v>
      </c>
      <c r="S125" s="273">
        <f>'Key Inputs_New Techs'!M54</f>
        <v>0.79301947715886789</v>
      </c>
      <c r="T125" s="273">
        <f>'Key Inputs_New Techs'!N54</f>
        <v>0.79301947715886789</v>
      </c>
      <c r="U125" s="273">
        <f>'Key Inputs_New Techs'!O54</f>
        <v>0.79301947715886789</v>
      </c>
      <c r="V125" s="273">
        <f>'Key Inputs_New Techs'!P54</f>
        <v>0.79301947715886789</v>
      </c>
      <c r="W125" s="273">
        <f>'Key Inputs_New Techs'!Q54</f>
        <v>0.79301947715886789</v>
      </c>
      <c r="X125" s="273">
        <f>'Key Inputs_New Techs'!R54</f>
        <v>0.79301947715886789</v>
      </c>
      <c r="Y125" s="273">
        <f>'Key Inputs_New Techs'!S54</f>
        <v>0.79301947715886789</v>
      </c>
      <c r="Z125" s="273">
        <f>'Key Inputs_New Techs'!T54</f>
        <v>0.79301947715886789</v>
      </c>
      <c r="AA125" s="273">
        <f>'Key Inputs_New Techs'!U54</f>
        <v>0.79301947715886789</v>
      </c>
      <c r="AB125" s="273">
        <f>'Key Inputs_New Techs'!V54</f>
        <v>0.79301947715886789</v>
      </c>
      <c r="AC125" s="273">
        <f>'Key Inputs_New Techs'!W54</f>
        <v>0.79301947715886789</v>
      </c>
      <c r="AD125" s="273">
        <f>'Key Inputs_New Techs'!X54</f>
        <v>0.79301947715886789</v>
      </c>
      <c r="AE125" s="273">
        <f>'Key Inputs_New Techs'!Y54</f>
        <v>0.79301947715886789</v>
      </c>
      <c r="AF125" s="273">
        <f>'Key Inputs_New Techs'!Z54</f>
        <v>0.79301947715886789</v>
      </c>
      <c r="AG125" s="273">
        <f>'Key Inputs_New Techs'!AA54</f>
        <v>0.79301947715886789</v>
      </c>
      <c r="AH125" s="273">
        <f>'Key Inputs_New Techs'!AB54</f>
        <v>0.79301947715886789</v>
      </c>
      <c r="AI125" s="273">
        <f>'Key Inputs_New Techs'!AC54</f>
        <v>0.79301947715886789</v>
      </c>
      <c r="AJ125" s="273">
        <f>'Key Inputs_New Techs'!AD54</f>
        <v>0.79301947715886789</v>
      </c>
      <c r="AK125" s="273">
        <f>'Key Inputs_New Techs'!AE54</f>
        <v>0.79301947715886789</v>
      </c>
      <c r="AL125" s="273">
        <f>'Key Inputs_New Techs'!AF54</f>
        <v>0.79301947715886789</v>
      </c>
      <c r="AM125" s="273">
        <f>'Key Inputs_New Techs'!AG54</f>
        <v>0.79301947715886789</v>
      </c>
      <c r="AN125" s="273">
        <f>'Key Inputs_New Techs'!AH54</f>
        <v>0.79301947715886789</v>
      </c>
      <c r="AO125" s="273">
        <f>'Key Inputs_New Techs'!AI54</f>
        <v>0.79301947715886789</v>
      </c>
      <c r="AP125" s="273">
        <f>'Key Inputs_New Techs'!AJ54</f>
        <v>0.79301947715886789</v>
      </c>
      <c r="AQ125" s="273">
        <f>'Key Inputs_New Techs'!AK54</f>
        <v>0.79301947715886789</v>
      </c>
      <c r="AR125" s="273">
        <f>'Key Inputs_New Techs'!AL54</f>
        <v>0.79301947715886789</v>
      </c>
    </row>
    <row r="126" spans="1:44" s="113" customFormat="1" ht="15.75" x14ac:dyDescent="0.25">
      <c r="A126" s="245"/>
      <c r="B126" s="245"/>
      <c r="C126" s="245"/>
      <c r="D126" s="245"/>
      <c r="E126" s="245"/>
      <c r="F126" s="245"/>
      <c r="G126" s="245"/>
      <c r="H126" s="245"/>
      <c r="I126" s="245"/>
      <c r="J126" s="118"/>
      <c r="K126" s="201" t="str">
        <f>IF('Key Inputs_New Techs'!B55="","",'Key Inputs_New Techs'!B55)</f>
        <v/>
      </c>
      <c r="L126" s="109" t="str">
        <f>IFERROR(VLOOKUP(K$125,'Commodities &amp; Processes'!L:M,2,FALSE),"")</f>
        <v>RSD Thermal uses technology: Biomass Wood Stove (Adv.)) -New</v>
      </c>
      <c r="M126" s="109"/>
      <c r="N126" s="109">
        <f>'Key Inputs_New Techs'!H55</f>
        <v>2050</v>
      </c>
      <c r="O126" s="114" t="s">
        <v>37</v>
      </c>
      <c r="P126" s="120" t="s">
        <v>174</v>
      </c>
      <c r="Q126" s="273">
        <f>'Key Inputs_New Techs'!K55</f>
        <v>0.81000000000000016</v>
      </c>
      <c r="R126" s="273">
        <f>'Key Inputs_New Techs'!L55</f>
        <v>0.81000000000000016</v>
      </c>
      <c r="S126" s="273">
        <f>'Key Inputs_New Techs'!M55</f>
        <v>0.81000000000000016</v>
      </c>
      <c r="T126" s="273">
        <f>'Key Inputs_New Techs'!N55</f>
        <v>0.81000000000000016</v>
      </c>
      <c r="U126" s="273">
        <f>'Key Inputs_New Techs'!O55</f>
        <v>0.81000000000000016</v>
      </c>
      <c r="V126" s="273">
        <f>'Key Inputs_New Techs'!P55</f>
        <v>0.81000000000000016</v>
      </c>
      <c r="W126" s="273">
        <f>'Key Inputs_New Techs'!Q55</f>
        <v>0.81000000000000016</v>
      </c>
      <c r="X126" s="273">
        <f>'Key Inputs_New Techs'!R55</f>
        <v>0.81000000000000016</v>
      </c>
      <c r="Y126" s="273">
        <f>'Key Inputs_New Techs'!S55</f>
        <v>0.81000000000000016</v>
      </c>
      <c r="Z126" s="273">
        <f>'Key Inputs_New Techs'!T55</f>
        <v>0.81000000000000016</v>
      </c>
      <c r="AA126" s="273">
        <f>'Key Inputs_New Techs'!U55</f>
        <v>0.81000000000000016</v>
      </c>
      <c r="AB126" s="273">
        <f>'Key Inputs_New Techs'!V55</f>
        <v>0.81000000000000016</v>
      </c>
      <c r="AC126" s="273">
        <f>'Key Inputs_New Techs'!W55</f>
        <v>0.81000000000000016</v>
      </c>
      <c r="AD126" s="273">
        <f>'Key Inputs_New Techs'!X55</f>
        <v>0.81000000000000016</v>
      </c>
      <c r="AE126" s="273">
        <f>'Key Inputs_New Techs'!Y55</f>
        <v>0.81000000000000016</v>
      </c>
      <c r="AF126" s="273">
        <f>'Key Inputs_New Techs'!Z55</f>
        <v>0.81000000000000016</v>
      </c>
      <c r="AG126" s="273">
        <f>'Key Inputs_New Techs'!AA55</f>
        <v>0.81000000000000016</v>
      </c>
      <c r="AH126" s="273">
        <f>'Key Inputs_New Techs'!AB55</f>
        <v>0.81000000000000016</v>
      </c>
      <c r="AI126" s="273">
        <f>'Key Inputs_New Techs'!AC55</f>
        <v>0.81000000000000016</v>
      </c>
      <c r="AJ126" s="273">
        <f>'Key Inputs_New Techs'!AD55</f>
        <v>0.81000000000000016</v>
      </c>
      <c r="AK126" s="273">
        <f>'Key Inputs_New Techs'!AE55</f>
        <v>0.81000000000000016</v>
      </c>
      <c r="AL126" s="273">
        <f>'Key Inputs_New Techs'!AF55</f>
        <v>0.81000000000000016</v>
      </c>
      <c r="AM126" s="273">
        <f>'Key Inputs_New Techs'!AG55</f>
        <v>0.81000000000000016</v>
      </c>
      <c r="AN126" s="273">
        <f>'Key Inputs_New Techs'!AH55</f>
        <v>0.81000000000000016</v>
      </c>
      <c r="AO126" s="273">
        <f>'Key Inputs_New Techs'!AI55</f>
        <v>0.81000000000000016</v>
      </c>
      <c r="AP126" s="273">
        <f>'Key Inputs_New Techs'!AJ55</f>
        <v>0.81000000000000016</v>
      </c>
      <c r="AQ126" s="273">
        <f>'Key Inputs_New Techs'!AK55</f>
        <v>0.81000000000000016</v>
      </c>
      <c r="AR126" s="273">
        <f>'Key Inputs_New Techs'!AL55</f>
        <v>0.81000000000000016</v>
      </c>
    </row>
    <row r="127" spans="1:44" s="113" customFormat="1" ht="15.75" x14ac:dyDescent="0.25">
      <c r="A127" s="245"/>
      <c r="B127" s="245"/>
      <c r="C127" s="245"/>
      <c r="D127" s="245"/>
      <c r="E127" s="245"/>
      <c r="F127" s="245"/>
      <c r="G127" s="245"/>
      <c r="H127" s="245"/>
      <c r="I127" s="245"/>
      <c r="J127" s="118"/>
      <c r="K127" s="201" t="str">
        <f>IF('Key Inputs_New Techs'!B56="","",'Key Inputs_New Techs'!B56)</f>
        <v>R-THH-HPA_ELC01</v>
      </c>
      <c r="L127" s="109" t="str">
        <f>IFERROR(VLOOKUP(K127,'Commodities &amp; Processes'!L:M,2,FALSE),"")</f>
        <v>RSD Thermal uses technology: Electricity Heat Pump Air (Ord.) -New</v>
      </c>
      <c r="M127" s="109"/>
      <c r="N127" s="109">
        <f>'Key Inputs_New Techs'!H56</f>
        <v>2020</v>
      </c>
      <c r="O127" s="114" t="s">
        <v>37</v>
      </c>
      <c r="P127" s="120" t="s">
        <v>174</v>
      </c>
      <c r="Q127" s="273">
        <f>'Key Inputs_New Techs'!K56</f>
        <v>2.6656</v>
      </c>
      <c r="R127" s="273">
        <f>'Key Inputs_New Techs'!L56</f>
        <v>2.6656</v>
      </c>
      <c r="S127" s="273">
        <f>'Key Inputs_New Techs'!M56</f>
        <v>2.6656</v>
      </c>
      <c r="T127" s="273">
        <f>'Key Inputs_New Techs'!N56</f>
        <v>2.6656</v>
      </c>
      <c r="U127" s="273">
        <f>'Key Inputs_New Techs'!O56</f>
        <v>2.38</v>
      </c>
      <c r="V127" s="273">
        <f>'Key Inputs_New Techs'!P56</f>
        <v>1.9753999999999998</v>
      </c>
      <c r="W127" s="273">
        <f>'Key Inputs_New Techs'!Q56</f>
        <v>1.9753999999999998</v>
      </c>
      <c r="X127" s="273">
        <f>'Key Inputs_New Techs'!R56</f>
        <v>2.38</v>
      </c>
      <c r="Y127" s="273">
        <f>'Key Inputs_New Techs'!S56</f>
        <v>2.6656</v>
      </c>
      <c r="Z127" s="273">
        <f>'Key Inputs_New Techs'!T56</f>
        <v>2.38</v>
      </c>
      <c r="AA127" s="273">
        <f>'Key Inputs_New Techs'!U56</f>
        <v>2.6656</v>
      </c>
      <c r="AB127" s="273">
        <f>'Key Inputs_New Techs'!V56</f>
        <v>1.9753999999999998</v>
      </c>
      <c r="AC127" s="273">
        <f>'Key Inputs_New Techs'!W56</f>
        <v>2.6656</v>
      </c>
      <c r="AD127" s="273">
        <f>'Key Inputs_New Techs'!X56</f>
        <v>2.6656</v>
      </c>
      <c r="AE127" s="273">
        <f>'Key Inputs_New Techs'!Y56</f>
        <v>2.6656</v>
      </c>
      <c r="AF127" s="273">
        <f>'Key Inputs_New Techs'!Z56</f>
        <v>1.9753999999999998</v>
      </c>
      <c r="AG127" s="273">
        <f>'Key Inputs_New Techs'!AA56</f>
        <v>1.9753999999999998</v>
      </c>
      <c r="AH127" s="273">
        <f>'Key Inputs_New Techs'!AB56</f>
        <v>1.9753999999999998</v>
      </c>
      <c r="AI127" s="273">
        <f>'Key Inputs_New Techs'!AC56</f>
        <v>2.38</v>
      </c>
      <c r="AJ127" s="273">
        <f>'Key Inputs_New Techs'!AD56</f>
        <v>2.38</v>
      </c>
      <c r="AK127" s="273">
        <f>'Key Inputs_New Techs'!AE56</f>
        <v>2.6656</v>
      </c>
      <c r="AL127" s="273">
        <f>'Key Inputs_New Techs'!AF56</f>
        <v>2.6656</v>
      </c>
      <c r="AM127" s="273">
        <f>'Key Inputs_New Techs'!AG56</f>
        <v>2.6656</v>
      </c>
      <c r="AN127" s="273">
        <f>'Key Inputs_New Techs'!AH56</f>
        <v>2.6656</v>
      </c>
      <c r="AO127" s="273">
        <f>'Key Inputs_New Techs'!AI56</f>
        <v>2.6656</v>
      </c>
      <c r="AP127" s="273">
        <f>'Key Inputs_New Techs'!AJ56</f>
        <v>2.6656</v>
      </c>
      <c r="AQ127" s="273">
        <f>'Key Inputs_New Techs'!AK56</f>
        <v>1.9753999999999998</v>
      </c>
      <c r="AR127" s="273">
        <f>'Key Inputs_New Techs'!AL56</f>
        <v>1.9753999999999998</v>
      </c>
    </row>
    <row r="128" spans="1:44" s="113" customFormat="1" ht="15.75" x14ac:dyDescent="0.25">
      <c r="A128" s="245"/>
      <c r="B128" s="245"/>
      <c r="C128" s="245"/>
      <c r="D128" s="245"/>
      <c r="E128" s="245"/>
      <c r="F128" s="245"/>
      <c r="G128" s="245"/>
      <c r="H128" s="245"/>
      <c r="I128" s="245"/>
      <c r="J128" s="118"/>
      <c r="K128" s="201" t="str">
        <f>IF('Key Inputs_New Techs'!B57="","",'Key Inputs_New Techs'!B57)</f>
        <v>R-THH-HPA_ELC02</v>
      </c>
      <c r="L128" s="109" t="str">
        <f>IFERROR(VLOOKUP(K$128,'Commodities &amp; Processes'!L:M,2,FALSE),"")</f>
        <v>RSD Thermal uses technology: Electricity Heat Pump Air (Imp.) -New</v>
      </c>
      <c r="M128" s="109"/>
      <c r="N128" s="109">
        <f>'Key Inputs_New Techs'!H57</f>
        <v>2025</v>
      </c>
      <c r="O128" s="114" t="s">
        <v>37</v>
      </c>
      <c r="P128" s="120" t="s">
        <v>174</v>
      </c>
      <c r="Q128" s="273">
        <f>'Key Inputs_New Techs'!K57</f>
        <v>2.6656</v>
      </c>
      <c r="R128" s="273">
        <f>'Key Inputs_New Techs'!L57</f>
        <v>2.6656</v>
      </c>
      <c r="S128" s="273">
        <f>'Key Inputs_New Techs'!M57</f>
        <v>2.6656</v>
      </c>
      <c r="T128" s="273">
        <f>'Key Inputs_New Techs'!N57</f>
        <v>2.6656</v>
      </c>
      <c r="U128" s="273">
        <f>'Key Inputs_New Techs'!O57</f>
        <v>2.38</v>
      </c>
      <c r="V128" s="273">
        <f>'Key Inputs_New Techs'!P57</f>
        <v>1.9753999999999998</v>
      </c>
      <c r="W128" s="273">
        <f>'Key Inputs_New Techs'!Q57</f>
        <v>1.9753999999999998</v>
      </c>
      <c r="X128" s="273">
        <f>'Key Inputs_New Techs'!R57</f>
        <v>2.38</v>
      </c>
      <c r="Y128" s="273">
        <f>'Key Inputs_New Techs'!S57</f>
        <v>2.6656</v>
      </c>
      <c r="Z128" s="273">
        <f>'Key Inputs_New Techs'!T57</f>
        <v>2.38</v>
      </c>
      <c r="AA128" s="273">
        <f>'Key Inputs_New Techs'!U57</f>
        <v>2.6656</v>
      </c>
      <c r="AB128" s="273">
        <f>'Key Inputs_New Techs'!V57</f>
        <v>1.9753999999999998</v>
      </c>
      <c r="AC128" s="273">
        <f>'Key Inputs_New Techs'!W57</f>
        <v>2.6656</v>
      </c>
      <c r="AD128" s="273">
        <f>'Key Inputs_New Techs'!X57</f>
        <v>2.6656</v>
      </c>
      <c r="AE128" s="273">
        <f>'Key Inputs_New Techs'!Y57</f>
        <v>2.6656</v>
      </c>
      <c r="AF128" s="273">
        <f>'Key Inputs_New Techs'!Z57</f>
        <v>1.9753999999999998</v>
      </c>
      <c r="AG128" s="273">
        <f>'Key Inputs_New Techs'!AA57</f>
        <v>1.9753999999999998</v>
      </c>
      <c r="AH128" s="273">
        <f>'Key Inputs_New Techs'!AB57</f>
        <v>1.9753999999999998</v>
      </c>
      <c r="AI128" s="273">
        <f>'Key Inputs_New Techs'!AC57</f>
        <v>2.38</v>
      </c>
      <c r="AJ128" s="273">
        <f>'Key Inputs_New Techs'!AD57</f>
        <v>2.38</v>
      </c>
      <c r="AK128" s="273">
        <f>'Key Inputs_New Techs'!AE57</f>
        <v>2.6656</v>
      </c>
      <c r="AL128" s="273">
        <f>'Key Inputs_New Techs'!AF57</f>
        <v>2.6656</v>
      </c>
      <c r="AM128" s="273">
        <f>'Key Inputs_New Techs'!AG57</f>
        <v>2.6656</v>
      </c>
      <c r="AN128" s="273">
        <f>'Key Inputs_New Techs'!AH57</f>
        <v>2.6656</v>
      </c>
      <c r="AO128" s="273">
        <f>'Key Inputs_New Techs'!AI57</f>
        <v>2.6656</v>
      </c>
      <c r="AP128" s="273">
        <f>'Key Inputs_New Techs'!AJ57</f>
        <v>2.6656</v>
      </c>
      <c r="AQ128" s="273">
        <f>'Key Inputs_New Techs'!AK57</f>
        <v>1.9753999999999998</v>
      </c>
      <c r="AR128" s="273">
        <f>'Key Inputs_New Techs'!AL57</f>
        <v>1.9753999999999998</v>
      </c>
    </row>
    <row r="129" spans="1:44" s="113" customFormat="1" ht="15.75" x14ac:dyDescent="0.25">
      <c r="A129" s="245"/>
      <c r="B129" s="245"/>
      <c r="C129" s="245"/>
      <c r="D129" s="245"/>
      <c r="E129" s="245"/>
      <c r="F129" s="245"/>
      <c r="G129" s="245"/>
      <c r="H129" s="245"/>
      <c r="I129" s="245"/>
      <c r="J129" s="118"/>
      <c r="K129" s="201" t="str">
        <f>IF('Key Inputs_New Techs'!B58="","",'Key Inputs_New Techs'!B58)</f>
        <v/>
      </c>
      <c r="L129" s="109" t="str">
        <f>IFERROR(VLOOKUP(K$128,'Commodities &amp; Processes'!L:M,2,FALSE),"")</f>
        <v>RSD Thermal uses technology: Electricity Heat Pump Air (Imp.) -New</v>
      </c>
      <c r="M129" s="109"/>
      <c r="N129" s="109">
        <f>'Key Inputs_New Techs'!H58</f>
        <v>2030</v>
      </c>
      <c r="O129" s="114" t="s">
        <v>37</v>
      </c>
      <c r="P129" s="120" t="s">
        <v>174</v>
      </c>
      <c r="Q129" s="273">
        <f>'Key Inputs_New Techs'!K58</f>
        <v>3.3094449230769234</v>
      </c>
      <c r="R129" s="273">
        <f>'Key Inputs_New Techs'!L58</f>
        <v>3.3094449230769234</v>
      </c>
      <c r="S129" s="273">
        <f>'Key Inputs_New Techs'!M58</f>
        <v>3.3094449230769234</v>
      </c>
      <c r="T129" s="273">
        <f>'Key Inputs_New Techs'!N58</f>
        <v>3.3094449230769234</v>
      </c>
      <c r="U129" s="273">
        <f>'Key Inputs_New Techs'!O58</f>
        <v>2.9548615384615387</v>
      </c>
      <c r="V129" s="273">
        <f>'Key Inputs_New Techs'!P58</f>
        <v>2.4525350769230769</v>
      </c>
      <c r="W129" s="273">
        <f>'Key Inputs_New Techs'!Q58</f>
        <v>2.4525350769230769</v>
      </c>
      <c r="X129" s="273">
        <f>'Key Inputs_New Techs'!R58</f>
        <v>2.9548615384615387</v>
      </c>
      <c r="Y129" s="273">
        <f>'Key Inputs_New Techs'!S58</f>
        <v>3.3094449230769234</v>
      </c>
      <c r="Z129" s="273">
        <f>'Key Inputs_New Techs'!T58</f>
        <v>2.9548615384615387</v>
      </c>
      <c r="AA129" s="273">
        <f>'Key Inputs_New Techs'!U58</f>
        <v>3.3094449230769234</v>
      </c>
      <c r="AB129" s="273">
        <f>'Key Inputs_New Techs'!V58</f>
        <v>2.4525350769230769</v>
      </c>
      <c r="AC129" s="273">
        <f>'Key Inputs_New Techs'!W58</f>
        <v>3.3094449230769234</v>
      </c>
      <c r="AD129" s="273">
        <f>'Key Inputs_New Techs'!X58</f>
        <v>3.3094449230769234</v>
      </c>
      <c r="AE129" s="273">
        <f>'Key Inputs_New Techs'!Y58</f>
        <v>3.3094449230769234</v>
      </c>
      <c r="AF129" s="273">
        <f>'Key Inputs_New Techs'!Z58</f>
        <v>2.4525350769230769</v>
      </c>
      <c r="AG129" s="273">
        <f>'Key Inputs_New Techs'!AA58</f>
        <v>2.4525350769230769</v>
      </c>
      <c r="AH129" s="273">
        <f>'Key Inputs_New Techs'!AB58</f>
        <v>2.4525350769230769</v>
      </c>
      <c r="AI129" s="273">
        <f>'Key Inputs_New Techs'!AC58</f>
        <v>2.9548615384615387</v>
      </c>
      <c r="AJ129" s="273">
        <f>'Key Inputs_New Techs'!AD58</f>
        <v>2.9548615384615387</v>
      </c>
      <c r="AK129" s="273">
        <f>'Key Inputs_New Techs'!AE58</f>
        <v>3.3094449230769234</v>
      </c>
      <c r="AL129" s="273">
        <f>'Key Inputs_New Techs'!AF58</f>
        <v>3.3094449230769234</v>
      </c>
      <c r="AM129" s="273">
        <f>'Key Inputs_New Techs'!AG58</f>
        <v>3.3094449230769234</v>
      </c>
      <c r="AN129" s="273">
        <f>'Key Inputs_New Techs'!AH58</f>
        <v>3.3094449230769234</v>
      </c>
      <c r="AO129" s="273">
        <f>'Key Inputs_New Techs'!AI58</f>
        <v>3.3094449230769234</v>
      </c>
      <c r="AP129" s="273">
        <f>'Key Inputs_New Techs'!AJ58</f>
        <v>3.3094449230769234</v>
      </c>
      <c r="AQ129" s="273">
        <f>'Key Inputs_New Techs'!AK58</f>
        <v>2.4525350769230769</v>
      </c>
      <c r="AR129" s="273">
        <f>'Key Inputs_New Techs'!AL58</f>
        <v>2.4525350769230769</v>
      </c>
    </row>
    <row r="130" spans="1:44" s="113" customFormat="1" ht="15.75" x14ac:dyDescent="0.25">
      <c r="A130" s="245"/>
      <c r="B130" s="245"/>
      <c r="C130" s="245"/>
      <c r="D130" s="245"/>
      <c r="E130" s="245"/>
      <c r="F130" s="245"/>
      <c r="G130" s="245"/>
      <c r="H130" s="245"/>
      <c r="I130" s="245"/>
      <c r="J130" s="118"/>
      <c r="K130" s="201" t="str">
        <f>IF('Key Inputs_New Techs'!B59="","",'Key Inputs_New Techs'!B59)</f>
        <v/>
      </c>
      <c r="L130" s="109" t="str">
        <f>IFERROR(VLOOKUP(K$128,'Commodities &amp; Processes'!L:M,2,FALSE),"")</f>
        <v>RSD Thermal uses technology: Electricity Heat Pump Air (Imp.) -New</v>
      </c>
      <c r="M130" s="109"/>
      <c r="N130" s="109">
        <f>'Key Inputs_New Techs'!H59</f>
        <v>2050</v>
      </c>
      <c r="O130" s="114" t="s">
        <v>37</v>
      </c>
      <c r="P130" s="120" t="s">
        <v>174</v>
      </c>
      <c r="Q130" s="273">
        <f>'Key Inputs_New Techs'!K59</f>
        <v>4.2075470769230776</v>
      </c>
      <c r="R130" s="273">
        <f>'Key Inputs_New Techs'!L59</f>
        <v>4.2075470769230776</v>
      </c>
      <c r="S130" s="273">
        <f>'Key Inputs_New Techs'!M59</f>
        <v>4.2075470769230776</v>
      </c>
      <c r="T130" s="273">
        <f>'Key Inputs_New Techs'!N59</f>
        <v>4.2075470769230776</v>
      </c>
      <c r="U130" s="273">
        <f>'Key Inputs_New Techs'!O59</f>
        <v>3.7567384615384616</v>
      </c>
      <c r="V130" s="273">
        <f>'Key Inputs_New Techs'!P59</f>
        <v>3.1180929230769232</v>
      </c>
      <c r="W130" s="273">
        <f>'Key Inputs_New Techs'!Q59</f>
        <v>3.1180929230769232</v>
      </c>
      <c r="X130" s="273">
        <f>'Key Inputs_New Techs'!R59</f>
        <v>3.7567384615384616</v>
      </c>
      <c r="Y130" s="273">
        <f>'Key Inputs_New Techs'!S59</f>
        <v>4.2075470769230776</v>
      </c>
      <c r="Z130" s="273">
        <f>'Key Inputs_New Techs'!T59</f>
        <v>3.7567384615384616</v>
      </c>
      <c r="AA130" s="273">
        <f>'Key Inputs_New Techs'!U59</f>
        <v>4.2075470769230776</v>
      </c>
      <c r="AB130" s="273">
        <f>'Key Inputs_New Techs'!V59</f>
        <v>3.1180929230769232</v>
      </c>
      <c r="AC130" s="273">
        <f>'Key Inputs_New Techs'!W59</f>
        <v>4.2075470769230776</v>
      </c>
      <c r="AD130" s="273">
        <f>'Key Inputs_New Techs'!X59</f>
        <v>4.2075470769230776</v>
      </c>
      <c r="AE130" s="273">
        <f>'Key Inputs_New Techs'!Y59</f>
        <v>4.2075470769230776</v>
      </c>
      <c r="AF130" s="273">
        <f>'Key Inputs_New Techs'!Z59</f>
        <v>3.1180929230769232</v>
      </c>
      <c r="AG130" s="273">
        <f>'Key Inputs_New Techs'!AA59</f>
        <v>3.1180929230769232</v>
      </c>
      <c r="AH130" s="273">
        <f>'Key Inputs_New Techs'!AB59</f>
        <v>3.1180929230769232</v>
      </c>
      <c r="AI130" s="273">
        <f>'Key Inputs_New Techs'!AC59</f>
        <v>3.7567384615384616</v>
      </c>
      <c r="AJ130" s="273">
        <f>'Key Inputs_New Techs'!AD59</f>
        <v>3.7567384615384616</v>
      </c>
      <c r="AK130" s="273">
        <f>'Key Inputs_New Techs'!AE59</f>
        <v>4.2075470769230776</v>
      </c>
      <c r="AL130" s="273">
        <f>'Key Inputs_New Techs'!AF59</f>
        <v>4.2075470769230776</v>
      </c>
      <c r="AM130" s="273">
        <f>'Key Inputs_New Techs'!AG59</f>
        <v>4.2075470769230776</v>
      </c>
      <c r="AN130" s="273">
        <f>'Key Inputs_New Techs'!AH59</f>
        <v>4.2075470769230776</v>
      </c>
      <c r="AO130" s="273">
        <f>'Key Inputs_New Techs'!AI59</f>
        <v>4.2075470769230776</v>
      </c>
      <c r="AP130" s="273">
        <f>'Key Inputs_New Techs'!AJ59</f>
        <v>4.2075470769230776</v>
      </c>
      <c r="AQ130" s="273">
        <f>'Key Inputs_New Techs'!AK59</f>
        <v>3.1180929230769232</v>
      </c>
      <c r="AR130" s="273">
        <f>'Key Inputs_New Techs'!AL59</f>
        <v>3.1180929230769232</v>
      </c>
    </row>
    <row r="131" spans="1:44" s="113" customFormat="1" ht="15.75" x14ac:dyDescent="0.25">
      <c r="A131" s="245"/>
      <c r="B131" s="245"/>
      <c r="C131" s="245"/>
      <c r="D131" s="245"/>
      <c r="E131" s="245"/>
      <c r="F131" s="245"/>
      <c r="G131" s="245"/>
      <c r="H131" s="245"/>
      <c r="I131" s="245"/>
      <c r="J131" s="118"/>
      <c r="K131" s="201" t="str">
        <f>IF('Key Inputs_New Techs'!B60="","",'Key Inputs_New Techs'!B60)</f>
        <v>R-THH-HPA_ELC03</v>
      </c>
      <c r="L131" s="109" t="str">
        <f>IFERROR(VLOOKUP(K$131,'Commodities &amp; Processes'!L:M,2,FALSE),"")</f>
        <v>RSD Thermal uses technology: Electricity Heat Pump Air (Adv.) -New</v>
      </c>
      <c r="M131" s="109"/>
      <c r="N131" s="109">
        <f>'Key Inputs_New Techs'!H60</f>
        <v>2030</v>
      </c>
      <c r="O131" s="114" t="s">
        <v>37</v>
      </c>
      <c r="P131" s="120" t="s">
        <v>174</v>
      </c>
      <c r="Q131" s="273">
        <f>'Key Inputs_New Techs'!K60</f>
        <v>3.6016356923076933</v>
      </c>
      <c r="R131" s="273">
        <f>'Key Inputs_New Techs'!L60</f>
        <v>3.6016356923076933</v>
      </c>
      <c r="S131" s="273">
        <f>'Key Inputs_New Techs'!M60</f>
        <v>3.6016356923076933</v>
      </c>
      <c r="T131" s="273">
        <f>'Key Inputs_New Techs'!N60</f>
        <v>3.6016356923076933</v>
      </c>
      <c r="U131" s="273">
        <f>'Key Inputs_New Techs'!O60</f>
        <v>3.2157461538461547</v>
      </c>
      <c r="V131" s="273">
        <f>'Key Inputs_New Techs'!P60</f>
        <v>2.6690693076923084</v>
      </c>
      <c r="W131" s="273">
        <f>'Key Inputs_New Techs'!Q60</f>
        <v>2.6690693076923084</v>
      </c>
      <c r="X131" s="273">
        <f>'Key Inputs_New Techs'!R60</f>
        <v>3.2157461538461547</v>
      </c>
      <c r="Y131" s="273">
        <f>'Key Inputs_New Techs'!S60</f>
        <v>3.6016356923076933</v>
      </c>
      <c r="Z131" s="273">
        <f>'Key Inputs_New Techs'!T60</f>
        <v>3.2157461538461547</v>
      </c>
      <c r="AA131" s="273">
        <f>'Key Inputs_New Techs'!U60</f>
        <v>3.6016356923076933</v>
      </c>
      <c r="AB131" s="273">
        <f>'Key Inputs_New Techs'!V60</f>
        <v>2.6690693076923084</v>
      </c>
      <c r="AC131" s="273">
        <f>'Key Inputs_New Techs'!W60</f>
        <v>3.6016356923076933</v>
      </c>
      <c r="AD131" s="273">
        <f>'Key Inputs_New Techs'!X60</f>
        <v>3.6016356923076933</v>
      </c>
      <c r="AE131" s="273">
        <f>'Key Inputs_New Techs'!Y60</f>
        <v>3.6016356923076933</v>
      </c>
      <c r="AF131" s="273">
        <f>'Key Inputs_New Techs'!Z60</f>
        <v>2.6690693076923084</v>
      </c>
      <c r="AG131" s="273">
        <f>'Key Inputs_New Techs'!AA60</f>
        <v>2.6690693076923084</v>
      </c>
      <c r="AH131" s="273">
        <f>'Key Inputs_New Techs'!AB60</f>
        <v>2.6690693076923084</v>
      </c>
      <c r="AI131" s="273">
        <f>'Key Inputs_New Techs'!AC60</f>
        <v>3.2157461538461547</v>
      </c>
      <c r="AJ131" s="273">
        <f>'Key Inputs_New Techs'!AD60</f>
        <v>3.2157461538461547</v>
      </c>
      <c r="AK131" s="273">
        <f>'Key Inputs_New Techs'!AE60</f>
        <v>3.6016356923076933</v>
      </c>
      <c r="AL131" s="273">
        <f>'Key Inputs_New Techs'!AF60</f>
        <v>3.6016356923076933</v>
      </c>
      <c r="AM131" s="273">
        <f>'Key Inputs_New Techs'!AG60</f>
        <v>3.6016356923076933</v>
      </c>
      <c r="AN131" s="273">
        <f>'Key Inputs_New Techs'!AH60</f>
        <v>3.6016356923076933</v>
      </c>
      <c r="AO131" s="273">
        <f>'Key Inputs_New Techs'!AI60</f>
        <v>3.6016356923076933</v>
      </c>
      <c r="AP131" s="273">
        <f>'Key Inputs_New Techs'!AJ60</f>
        <v>3.6016356923076933</v>
      </c>
      <c r="AQ131" s="273">
        <f>'Key Inputs_New Techs'!AK60</f>
        <v>2.6690693076923084</v>
      </c>
      <c r="AR131" s="273">
        <f>'Key Inputs_New Techs'!AL60</f>
        <v>2.6690693076923084</v>
      </c>
    </row>
    <row r="132" spans="1:44" s="113" customFormat="1" ht="15.75" x14ac:dyDescent="0.25">
      <c r="A132" s="245"/>
      <c r="B132" s="245"/>
      <c r="C132" s="245"/>
      <c r="D132" s="245"/>
      <c r="E132" s="245"/>
      <c r="F132" s="245"/>
      <c r="G132" s="245"/>
      <c r="H132" s="245"/>
      <c r="I132" s="245"/>
      <c r="J132" s="118"/>
      <c r="K132" s="201" t="str">
        <f>IF('Key Inputs_New Techs'!B61="","",'Key Inputs_New Techs'!B61)</f>
        <v/>
      </c>
      <c r="L132" s="109" t="str">
        <f>IFERROR(VLOOKUP(K$131,'Commodities &amp; Processes'!L:M,2,FALSE),"")</f>
        <v>RSD Thermal uses technology: Electricity Heat Pump Air (Adv.) -New</v>
      </c>
      <c r="M132" s="109"/>
      <c r="N132" s="109">
        <f>'Key Inputs_New Techs'!H61</f>
        <v>2050</v>
      </c>
      <c r="O132" s="114" t="s">
        <v>37</v>
      </c>
      <c r="P132" s="120" t="s">
        <v>174</v>
      </c>
      <c r="Q132" s="273">
        <f>'Key Inputs_New Techs'!K61</f>
        <v>4.9211076923076931</v>
      </c>
      <c r="R132" s="273">
        <f>'Key Inputs_New Techs'!L61</f>
        <v>4.9211076923076931</v>
      </c>
      <c r="S132" s="273">
        <f>'Key Inputs_New Techs'!M61</f>
        <v>4.9211076923076931</v>
      </c>
      <c r="T132" s="273">
        <f>'Key Inputs_New Techs'!N61</f>
        <v>4.9211076923076931</v>
      </c>
      <c r="U132" s="273">
        <f>'Key Inputs_New Techs'!O61</f>
        <v>4.3938461538461544</v>
      </c>
      <c r="V132" s="273">
        <f>'Key Inputs_New Techs'!P61</f>
        <v>3.6468923076923079</v>
      </c>
      <c r="W132" s="273">
        <f>'Key Inputs_New Techs'!Q61</f>
        <v>3.6468923076923079</v>
      </c>
      <c r="X132" s="273">
        <f>'Key Inputs_New Techs'!R61</f>
        <v>4.3938461538461544</v>
      </c>
      <c r="Y132" s="273">
        <f>'Key Inputs_New Techs'!S61</f>
        <v>4.9211076923076931</v>
      </c>
      <c r="Z132" s="273">
        <f>'Key Inputs_New Techs'!T61</f>
        <v>4.3938461538461544</v>
      </c>
      <c r="AA132" s="273">
        <f>'Key Inputs_New Techs'!U61</f>
        <v>4.9211076923076931</v>
      </c>
      <c r="AB132" s="273">
        <f>'Key Inputs_New Techs'!V61</f>
        <v>3.6468923076923079</v>
      </c>
      <c r="AC132" s="273">
        <f>'Key Inputs_New Techs'!W61</f>
        <v>4.9211076923076931</v>
      </c>
      <c r="AD132" s="273">
        <f>'Key Inputs_New Techs'!X61</f>
        <v>4.9211076923076931</v>
      </c>
      <c r="AE132" s="273">
        <f>'Key Inputs_New Techs'!Y61</f>
        <v>4.9211076923076931</v>
      </c>
      <c r="AF132" s="273">
        <f>'Key Inputs_New Techs'!Z61</f>
        <v>3.6468923076923079</v>
      </c>
      <c r="AG132" s="273">
        <f>'Key Inputs_New Techs'!AA61</f>
        <v>3.6468923076923079</v>
      </c>
      <c r="AH132" s="273">
        <f>'Key Inputs_New Techs'!AB61</f>
        <v>3.6468923076923079</v>
      </c>
      <c r="AI132" s="273">
        <f>'Key Inputs_New Techs'!AC61</f>
        <v>4.3938461538461544</v>
      </c>
      <c r="AJ132" s="273">
        <f>'Key Inputs_New Techs'!AD61</f>
        <v>4.3938461538461544</v>
      </c>
      <c r="AK132" s="273">
        <f>'Key Inputs_New Techs'!AE61</f>
        <v>4.9211076923076931</v>
      </c>
      <c r="AL132" s="273">
        <f>'Key Inputs_New Techs'!AF61</f>
        <v>4.9211076923076931</v>
      </c>
      <c r="AM132" s="273">
        <f>'Key Inputs_New Techs'!AG61</f>
        <v>4.9211076923076931</v>
      </c>
      <c r="AN132" s="273">
        <f>'Key Inputs_New Techs'!AH61</f>
        <v>4.9211076923076931</v>
      </c>
      <c r="AO132" s="273">
        <f>'Key Inputs_New Techs'!AI61</f>
        <v>4.9211076923076931</v>
      </c>
      <c r="AP132" s="273">
        <f>'Key Inputs_New Techs'!AJ61</f>
        <v>4.9211076923076931</v>
      </c>
      <c r="AQ132" s="273">
        <f>'Key Inputs_New Techs'!AK61</f>
        <v>3.6468923076923079</v>
      </c>
      <c r="AR132" s="273">
        <f>'Key Inputs_New Techs'!AL61</f>
        <v>3.6468923076923079</v>
      </c>
    </row>
    <row r="133" spans="1:44" s="113" customFormat="1" ht="15.75" x14ac:dyDescent="0.25">
      <c r="A133" s="245"/>
      <c r="B133" s="245"/>
      <c r="C133" s="245"/>
      <c r="D133" s="245"/>
      <c r="E133" s="245"/>
      <c r="F133" s="245"/>
      <c r="G133" s="245"/>
      <c r="H133" s="245"/>
      <c r="I133" s="245"/>
      <c r="J133" s="118"/>
      <c r="K133" s="201" t="str">
        <f>IF('Key Inputs_New Techs'!B62="","",'Key Inputs_New Techs'!B62)</f>
        <v>R-THH-HPA_ELC04</v>
      </c>
      <c r="L133" s="109" t="str">
        <f>IFERROR(VLOOKUP(K133,'Commodities &amp; Processes'!L:M,2,FALSE),"")</f>
        <v>RSD Thermal uses technology: Electricity Heat Pump Wat. (Ord.) -New</v>
      </c>
      <c r="M133" s="109"/>
      <c r="N133" s="109">
        <f>'Key Inputs_New Techs'!H62</f>
        <v>2020</v>
      </c>
      <c r="O133" s="114" t="s">
        <v>37</v>
      </c>
      <c r="P133" s="120" t="s">
        <v>174</v>
      </c>
      <c r="Q133" s="273">
        <f>'Key Inputs_New Techs'!K62</f>
        <v>3.6991560050729388</v>
      </c>
      <c r="R133" s="273">
        <f>'Key Inputs_New Techs'!L62</f>
        <v>3.6991560050729388</v>
      </c>
      <c r="S133" s="273">
        <f>'Key Inputs_New Techs'!M62</f>
        <v>3.6991560050729388</v>
      </c>
      <c r="T133" s="273">
        <f>'Key Inputs_New Techs'!N62</f>
        <v>3.6991560050729388</v>
      </c>
      <c r="U133" s="273">
        <f>'Key Inputs_New Techs'!O62</f>
        <v>3.3028178616722665</v>
      </c>
      <c r="V133" s="273">
        <f>'Key Inputs_New Techs'!P62</f>
        <v>2.7413388251879813</v>
      </c>
      <c r="W133" s="273">
        <f>'Key Inputs_New Techs'!Q62</f>
        <v>2.7413388251879813</v>
      </c>
      <c r="X133" s="273">
        <f>'Key Inputs_New Techs'!R62</f>
        <v>3.3028178616722665</v>
      </c>
      <c r="Y133" s="273">
        <f>'Key Inputs_New Techs'!S62</f>
        <v>3.6991560050729388</v>
      </c>
      <c r="Z133" s="273">
        <f>'Key Inputs_New Techs'!T62</f>
        <v>3.3028178616722665</v>
      </c>
      <c r="AA133" s="273">
        <f>'Key Inputs_New Techs'!U62</f>
        <v>3.6991560050729388</v>
      </c>
      <c r="AB133" s="273">
        <f>'Key Inputs_New Techs'!V62</f>
        <v>2.7413388251879813</v>
      </c>
      <c r="AC133" s="273">
        <f>'Key Inputs_New Techs'!W62</f>
        <v>3.6991560050729388</v>
      </c>
      <c r="AD133" s="273">
        <f>'Key Inputs_New Techs'!X62</f>
        <v>3.6991560050729388</v>
      </c>
      <c r="AE133" s="273">
        <f>'Key Inputs_New Techs'!Y62</f>
        <v>3.6991560050729388</v>
      </c>
      <c r="AF133" s="273">
        <f>'Key Inputs_New Techs'!Z62</f>
        <v>2.7413388251879813</v>
      </c>
      <c r="AG133" s="273">
        <f>'Key Inputs_New Techs'!AA62</f>
        <v>2.7413388251879813</v>
      </c>
      <c r="AH133" s="273">
        <f>'Key Inputs_New Techs'!AB62</f>
        <v>2.7413388251879813</v>
      </c>
      <c r="AI133" s="273">
        <f>'Key Inputs_New Techs'!AC62</f>
        <v>3.3028178616722665</v>
      </c>
      <c r="AJ133" s="273">
        <f>'Key Inputs_New Techs'!AD62</f>
        <v>3.3028178616722665</v>
      </c>
      <c r="AK133" s="273">
        <f>'Key Inputs_New Techs'!AE62</f>
        <v>3.6991560050729388</v>
      </c>
      <c r="AL133" s="273">
        <f>'Key Inputs_New Techs'!AF62</f>
        <v>3.6991560050729388</v>
      </c>
      <c r="AM133" s="273">
        <f>'Key Inputs_New Techs'!AG62</f>
        <v>3.6991560050729388</v>
      </c>
      <c r="AN133" s="273">
        <f>'Key Inputs_New Techs'!AH62</f>
        <v>3.6991560050729388</v>
      </c>
      <c r="AO133" s="273">
        <f>'Key Inputs_New Techs'!AI62</f>
        <v>3.6991560050729388</v>
      </c>
      <c r="AP133" s="273">
        <f>'Key Inputs_New Techs'!AJ62</f>
        <v>3.6991560050729388</v>
      </c>
      <c r="AQ133" s="273">
        <f>'Key Inputs_New Techs'!AK62</f>
        <v>2.7413388251879813</v>
      </c>
      <c r="AR133" s="273">
        <f>'Key Inputs_New Techs'!AL62</f>
        <v>2.7413388251879813</v>
      </c>
    </row>
    <row r="134" spans="1:44" s="113" customFormat="1" ht="15.75" x14ac:dyDescent="0.25">
      <c r="A134" s="245"/>
      <c r="B134" s="245"/>
      <c r="C134" s="245"/>
      <c r="D134" s="245"/>
      <c r="E134" s="245"/>
      <c r="F134" s="245"/>
      <c r="G134" s="245"/>
      <c r="H134" s="245"/>
      <c r="I134" s="245"/>
      <c r="J134" s="118"/>
      <c r="K134" s="201" t="str">
        <f>IF('Key Inputs_New Techs'!B63="","",'Key Inputs_New Techs'!B63)</f>
        <v>R-THH-HPA_ELC05</v>
      </c>
      <c r="L134" s="109" t="str">
        <f>IFERROR(VLOOKUP(K$134,'Commodities &amp; Processes'!L:M,2,FALSE),"")</f>
        <v>RSD Thermal uses technology: Electricity Heat Pump Wat. (Imp.) -New</v>
      </c>
      <c r="M134" s="109"/>
      <c r="N134" s="109">
        <f>'Key Inputs_New Techs'!H63</f>
        <v>2025</v>
      </c>
      <c r="O134" s="114" t="s">
        <v>37</v>
      </c>
      <c r="P134" s="120" t="s">
        <v>174</v>
      </c>
      <c r="Q134" s="273">
        <f>'Key Inputs_New Techs'!K63</f>
        <v>3.6991560050729388</v>
      </c>
      <c r="R134" s="273">
        <f>'Key Inputs_New Techs'!L63</f>
        <v>3.6991560050729388</v>
      </c>
      <c r="S134" s="273">
        <f>'Key Inputs_New Techs'!M63</f>
        <v>3.6991560050729388</v>
      </c>
      <c r="T134" s="273">
        <f>'Key Inputs_New Techs'!N63</f>
        <v>3.6991560050729388</v>
      </c>
      <c r="U134" s="273">
        <f>'Key Inputs_New Techs'!O63</f>
        <v>3.3028178616722665</v>
      </c>
      <c r="V134" s="273">
        <f>'Key Inputs_New Techs'!P63</f>
        <v>2.7413388251879813</v>
      </c>
      <c r="W134" s="273">
        <f>'Key Inputs_New Techs'!Q63</f>
        <v>2.7413388251879813</v>
      </c>
      <c r="X134" s="273">
        <f>'Key Inputs_New Techs'!R63</f>
        <v>3.3028178616722665</v>
      </c>
      <c r="Y134" s="273">
        <f>'Key Inputs_New Techs'!S63</f>
        <v>3.6991560050729388</v>
      </c>
      <c r="Z134" s="273">
        <f>'Key Inputs_New Techs'!T63</f>
        <v>3.3028178616722665</v>
      </c>
      <c r="AA134" s="273">
        <f>'Key Inputs_New Techs'!U63</f>
        <v>3.6991560050729388</v>
      </c>
      <c r="AB134" s="273">
        <f>'Key Inputs_New Techs'!V63</f>
        <v>2.7413388251879813</v>
      </c>
      <c r="AC134" s="273">
        <f>'Key Inputs_New Techs'!W63</f>
        <v>3.6991560050729388</v>
      </c>
      <c r="AD134" s="273">
        <f>'Key Inputs_New Techs'!X63</f>
        <v>3.6991560050729388</v>
      </c>
      <c r="AE134" s="273">
        <f>'Key Inputs_New Techs'!Y63</f>
        <v>3.6991560050729388</v>
      </c>
      <c r="AF134" s="273">
        <f>'Key Inputs_New Techs'!Z63</f>
        <v>2.7413388251879813</v>
      </c>
      <c r="AG134" s="273">
        <f>'Key Inputs_New Techs'!AA63</f>
        <v>2.7413388251879813</v>
      </c>
      <c r="AH134" s="273">
        <f>'Key Inputs_New Techs'!AB63</f>
        <v>2.7413388251879813</v>
      </c>
      <c r="AI134" s="273">
        <f>'Key Inputs_New Techs'!AC63</f>
        <v>3.3028178616722665</v>
      </c>
      <c r="AJ134" s="273">
        <f>'Key Inputs_New Techs'!AD63</f>
        <v>3.3028178616722665</v>
      </c>
      <c r="AK134" s="273">
        <f>'Key Inputs_New Techs'!AE63</f>
        <v>3.6991560050729388</v>
      </c>
      <c r="AL134" s="273">
        <f>'Key Inputs_New Techs'!AF63</f>
        <v>3.6991560050729388</v>
      </c>
      <c r="AM134" s="273">
        <f>'Key Inputs_New Techs'!AG63</f>
        <v>3.6991560050729388</v>
      </c>
      <c r="AN134" s="273">
        <f>'Key Inputs_New Techs'!AH63</f>
        <v>3.6991560050729388</v>
      </c>
      <c r="AO134" s="273">
        <f>'Key Inputs_New Techs'!AI63</f>
        <v>3.6991560050729388</v>
      </c>
      <c r="AP134" s="273">
        <f>'Key Inputs_New Techs'!AJ63</f>
        <v>3.6991560050729388</v>
      </c>
      <c r="AQ134" s="273">
        <f>'Key Inputs_New Techs'!AK63</f>
        <v>2.7413388251879813</v>
      </c>
      <c r="AR134" s="273">
        <f>'Key Inputs_New Techs'!AL63</f>
        <v>2.7413388251879813</v>
      </c>
    </row>
    <row r="135" spans="1:44" s="113" customFormat="1" ht="15.75" x14ac:dyDescent="0.25">
      <c r="A135" s="245"/>
      <c r="B135" s="245"/>
      <c r="C135" s="245"/>
      <c r="D135" s="245"/>
      <c r="E135" s="245"/>
      <c r="F135" s="245"/>
      <c r="G135" s="245"/>
      <c r="H135" s="245"/>
      <c r="I135" s="245"/>
      <c r="J135" s="118"/>
      <c r="K135" s="201" t="str">
        <f>IF('Key Inputs_New Techs'!B64="","",'Key Inputs_New Techs'!B64)</f>
        <v/>
      </c>
      <c r="L135" s="109" t="str">
        <f>IFERROR(VLOOKUP(K$134,'Commodities &amp; Processes'!L:M,2,FALSE),"")</f>
        <v>RSD Thermal uses technology: Electricity Heat Pump Wat. (Imp.) -New</v>
      </c>
      <c r="M135" s="109"/>
      <c r="N135" s="109">
        <f>'Key Inputs_New Techs'!H64</f>
        <v>2030</v>
      </c>
      <c r="O135" s="114" t="s">
        <v>37</v>
      </c>
      <c r="P135" s="120" t="s">
        <v>174</v>
      </c>
      <c r="Q135" s="273">
        <f>'Key Inputs_New Techs'!K64</f>
        <v>4.5926444555290189</v>
      </c>
      <c r="R135" s="273">
        <f>'Key Inputs_New Techs'!L64</f>
        <v>4.5926444555290189</v>
      </c>
      <c r="S135" s="273">
        <f>'Key Inputs_New Techs'!M64</f>
        <v>4.5926444555290189</v>
      </c>
      <c r="T135" s="273">
        <f>'Key Inputs_New Techs'!N64</f>
        <v>4.5926444555290189</v>
      </c>
      <c r="U135" s="273">
        <f>'Key Inputs_New Techs'!O64</f>
        <v>4.1005754067223377</v>
      </c>
      <c r="V135" s="273">
        <f>'Key Inputs_New Techs'!P64</f>
        <v>3.4034775875795402</v>
      </c>
      <c r="W135" s="273">
        <f>'Key Inputs_New Techs'!Q64</f>
        <v>3.4034775875795402</v>
      </c>
      <c r="X135" s="273">
        <f>'Key Inputs_New Techs'!R64</f>
        <v>4.1005754067223377</v>
      </c>
      <c r="Y135" s="273">
        <f>'Key Inputs_New Techs'!S64</f>
        <v>4.5926444555290189</v>
      </c>
      <c r="Z135" s="273">
        <f>'Key Inputs_New Techs'!T64</f>
        <v>4.1005754067223377</v>
      </c>
      <c r="AA135" s="273">
        <f>'Key Inputs_New Techs'!U64</f>
        <v>4.5926444555290189</v>
      </c>
      <c r="AB135" s="273">
        <f>'Key Inputs_New Techs'!V64</f>
        <v>3.4034775875795402</v>
      </c>
      <c r="AC135" s="273">
        <f>'Key Inputs_New Techs'!W64</f>
        <v>4.5926444555290189</v>
      </c>
      <c r="AD135" s="273">
        <f>'Key Inputs_New Techs'!X64</f>
        <v>4.5926444555290189</v>
      </c>
      <c r="AE135" s="273">
        <f>'Key Inputs_New Techs'!Y64</f>
        <v>4.5926444555290189</v>
      </c>
      <c r="AF135" s="273">
        <f>'Key Inputs_New Techs'!Z64</f>
        <v>3.4034775875795402</v>
      </c>
      <c r="AG135" s="273">
        <f>'Key Inputs_New Techs'!AA64</f>
        <v>3.4034775875795402</v>
      </c>
      <c r="AH135" s="273">
        <f>'Key Inputs_New Techs'!AB64</f>
        <v>3.4034775875795402</v>
      </c>
      <c r="AI135" s="273">
        <f>'Key Inputs_New Techs'!AC64</f>
        <v>4.1005754067223377</v>
      </c>
      <c r="AJ135" s="273">
        <f>'Key Inputs_New Techs'!AD64</f>
        <v>4.1005754067223377</v>
      </c>
      <c r="AK135" s="273">
        <f>'Key Inputs_New Techs'!AE64</f>
        <v>4.5926444555290189</v>
      </c>
      <c r="AL135" s="273">
        <f>'Key Inputs_New Techs'!AF64</f>
        <v>4.5926444555290189</v>
      </c>
      <c r="AM135" s="273">
        <f>'Key Inputs_New Techs'!AG64</f>
        <v>4.5926444555290189</v>
      </c>
      <c r="AN135" s="273">
        <f>'Key Inputs_New Techs'!AH64</f>
        <v>4.5926444555290189</v>
      </c>
      <c r="AO135" s="273">
        <f>'Key Inputs_New Techs'!AI64</f>
        <v>4.5926444555290189</v>
      </c>
      <c r="AP135" s="273">
        <f>'Key Inputs_New Techs'!AJ64</f>
        <v>4.5926444555290189</v>
      </c>
      <c r="AQ135" s="273">
        <f>'Key Inputs_New Techs'!AK64</f>
        <v>3.4034775875795402</v>
      </c>
      <c r="AR135" s="273">
        <f>'Key Inputs_New Techs'!AL64</f>
        <v>3.4034775875795402</v>
      </c>
    </row>
    <row r="136" spans="1:44" s="113" customFormat="1" ht="15.75" x14ac:dyDescent="0.25">
      <c r="A136" s="245"/>
      <c r="B136" s="245"/>
      <c r="C136" s="245"/>
      <c r="D136" s="245"/>
      <c r="E136" s="245"/>
      <c r="F136" s="245"/>
      <c r="G136" s="245"/>
      <c r="H136" s="245"/>
      <c r="I136" s="245"/>
      <c r="J136" s="118"/>
      <c r="K136" s="201" t="str">
        <f>IF('Key Inputs_New Techs'!B65="","",'Key Inputs_New Techs'!B65)</f>
        <v/>
      </c>
      <c r="L136" s="109" t="str">
        <f>IFERROR(VLOOKUP(K$134,'Commodities &amp; Processes'!L:M,2,FALSE),"")</f>
        <v>RSD Thermal uses technology: Electricity Heat Pump Wat. (Imp.) -New</v>
      </c>
      <c r="M136" s="109"/>
      <c r="N136" s="109">
        <f>'Key Inputs_New Techs'!H65</f>
        <v>2050</v>
      </c>
      <c r="O136" s="114" t="s">
        <v>37</v>
      </c>
      <c r="P136" s="120" t="s">
        <v>174</v>
      </c>
      <c r="Q136" s="273">
        <f>'Key Inputs_New Techs'!K65</f>
        <v>5.5823626985646175</v>
      </c>
      <c r="R136" s="273">
        <f>'Key Inputs_New Techs'!L65</f>
        <v>5.5823626985646175</v>
      </c>
      <c r="S136" s="273">
        <f>'Key Inputs_New Techs'!M65</f>
        <v>5.5823626985646175</v>
      </c>
      <c r="T136" s="273">
        <f>'Key Inputs_New Techs'!N65</f>
        <v>5.5823626985646175</v>
      </c>
      <c r="U136" s="273">
        <f>'Key Inputs_New Techs'!O65</f>
        <v>4.9842524094326945</v>
      </c>
      <c r="V136" s="273">
        <f>'Key Inputs_New Techs'!P65</f>
        <v>4.1369294998291357</v>
      </c>
      <c r="W136" s="273">
        <f>'Key Inputs_New Techs'!Q65</f>
        <v>4.1369294998291357</v>
      </c>
      <c r="X136" s="273">
        <f>'Key Inputs_New Techs'!R65</f>
        <v>4.9842524094326945</v>
      </c>
      <c r="Y136" s="273">
        <f>'Key Inputs_New Techs'!S65</f>
        <v>5.5823626985646175</v>
      </c>
      <c r="Z136" s="273">
        <f>'Key Inputs_New Techs'!T65</f>
        <v>4.9842524094326945</v>
      </c>
      <c r="AA136" s="273">
        <f>'Key Inputs_New Techs'!U65</f>
        <v>5.5823626985646175</v>
      </c>
      <c r="AB136" s="273">
        <f>'Key Inputs_New Techs'!V65</f>
        <v>4.1369294998291357</v>
      </c>
      <c r="AC136" s="273">
        <f>'Key Inputs_New Techs'!W65</f>
        <v>5.5823626985646175</v>
      </c>
      <c r="AD136" s="273">
        <f>'Key Inputs_New Techs'!X65</f>
        <v>5.5823626985646175</v>
      </c>
      <c r="AE136" s="273">
        <f>'Key Inputs_New Techs'!Y65</f>
        <v>5.5823626985646175</v>
      </c>
      <c r="AF136" s="273">
        <f>'Key Inputs_New Techs'!Z65</f>
        <v>4.1369294998291357</v>
      </c>
      <c r="AG136" s="273">
        <f>'Key Inputs_New Techs'!AA65</f>
        <v>4.1369294998291357</v>
      </c>
      <c r="AH136" s="273">
        <f>'Key Inputs_New Techs'!AB65</f>
        <v>4.1369294998291357</v>
      </c>
      <c r="AI136" s="273">
        <f>'Key Inputs_New Techs'!AC65</f>
        <v>4.9842524094326945</v>
      </c>
      <c r="AJ136" s="273">
        <f>'Key Inputs_New Techs'!AD65</f>
        <v>4.9842524094326945</v>
      </c>
      <c r="AK136" s="273">
        <f>'Key Inputs_New Techs'!AE65</f>
        <v>5.5823626985646175</v>
      </c>
      <c r="AL136" s="273">
        <f>'Key Inputs_New Techs'!AF65</f>
        <v>5.5823626985646175</v>
      </c>
      <c r="AM136" s="273">
        <f>'Key Inputs_New Techs'!AG65</f>
        <v>5.5823626985646175</v>
      </c>
      <c r="AN136" s="273">
        <f>'Key Inputs_New Techs'!AH65</f>
        <v>5.5823626985646175</v>
      </c>
      <c r="AO136" s="273">
        <f>'Key Inputs_New Techs'!AI65</f>
        <v>5.5823626985646175</v>
      </c>
      <c r="AP136" s="273">
        <f>'Key Inputs_New Techs'!AJ65</f>
        <v>5.5823626985646175</v>
      </c>
      <c r="AQ136" s="273">
        <f>'Key Inputs_New Techs'!AK65</f>
        <v>4.1369294998291357</v>
      </c>
      <c r="AR136" s="273">
        <f>'Key Inputs_New Techs'!AL65</f>
        <v>4.1369294998291357</v>
      </c>
    </row>
    <row r="137" spans="1:44" s="113" customFormat="1" ht="15.75" x14ac:dyDescent="0.25">
      <c r="A137" s="245"/>
      <c r="B137" s="245"/>
      <c r="C137" s="245"/>
      <c r="D137" s="245"/>
      <c r="E137" s="245"/>
      <c r="F137" s="245"/>
      <c r="G137" s="245"/>
      <c r="H137" s="245"/>
      <c r="I137" s="245"/>
      <c r="J137" s="118"/>
      <c r="K137" s="201" t="str">
        <f>IF('Key Inputs_New Techs'!B66="","",'Key Inputs_New Techs'!B66)</f>
        <v>R-THH-HPA_ELC06</v>
      </c>
      <c r="L137" s="109" t="str">
        <f>IFERROR(VLOOKUP(K$137,'Commodities &amp; Processes'!L:M,2,FALSE),"")</f>
        <v>RSD Thermal uses technology: Electricity Heat Pump Wat. (Adv.) -New</v>
      </c>
      <c r="M137" s="109"/>
      <c r="N137" s="109">
        <f>'Key Inputs_New Techs'!H66</f>
        <v>2030</v>
      </c>
      <c r="O137" s="114" t="s">
        <v>37</v>
      </c>
      <c r="P137" s="120" t="s">
        <v>174</v>
      </c>
      <c r="Q137" s="273">
        <f>'Key Inputs_New Techs'!K66</f>
        <v>5.066722770584752</v>
      </c>
      <c r="R137" s="273">
        <f>'Key Inputs_New Techs'!L66</f>
        <v>5.066722770584752</v>
      </c>
      <c r="S137" s="273">
        <f>'Key Inputs_New Techs'!M66</f>
        <v>5.066722770584752</v>
      </c>
      <c r="T137" s="273">
        <f>'Key Inputs_New Techs'!N66</f>
        <v>5.066722770584752</v>
      </c>
      <c r="U137" s="273">
        <f>'Key Inputs_New Techs'!O66</f>
        <v>4.5238596165935281</v>
      </c>
      <c r="V137" s="273">
        <f>'Key Inputs_New Techs'!P66</f>
        <v>3.7548034817726283</v>
      </c>
      <c r="W137" s="273">
        <f>'Key Inputs_New Techs'!Q66</f>
        <v>3.7548034817726283</v>
      </c>
      <c r="X137" s="273">
        <f>'Key Inputs_New Techs'!R66</f>
        <v>4.5238596165935281</v>
      </c>
      <c r="Y137" s="273">
        <f>'Key Inputs_New Techs'!S66</f>
        <v>5.066722770584752</v>
      </c>
      <c r="Z137" s="273">
        <f>'Key Inputs_New Techs'!T66</f>
        <v>4.5238596165935281</v>
      </c>
      <c r="AA137" s="273">
        <f>'Key Inputs_New Techs'!U66</f>
        <v>5.066722770584752</v>
      </c>
      <c r="AB137" s="273">
        <f>'Key Inputs_New Techs'!V66</f>
        <v>3.7548034817726283</v>
      </c>
      <c r="AC137" s="273">
        <f>'Key Inputs_New Techs'!W66</f>
        <v>5.066722770584752</v>
      </c>
      <c r="AD137" s="273">
        <f>'Key Inputs_New Techs'!X66</f>
        <v>5.066722770584752</v>
      </c>
      <c r="AE137" s="273">
        <f>'Key Inputs_New Techs'!Y66</f>
        <v>5.066722770584752</v>
      </c>
      <c r="AF137" s="273">
        <f>'Key Inputs_New Techs'!Z66</f>
        <v>3.7548034817726283</v>
      </c>
      <c r="AG137" s="273">
        <f>'Key Inputs_New Techs'!AA66</f>
        <v>3.7548034817726283</v>
      </c>
      <c r="AH137" s="273">
        <f>'Key Inputs_New Techs'!AB66</f>
        <v>3.7548034817726283</v>
      </c>
      <c r="AI137" s="273">
        <f>'Key Inputs_New Techs'!AC66</f>
        <v>4.5238596165935281</v>
      </c>
      <c r="AJ137" s="273">
        <f>'Key Inputs_New Techs'!AD66</f>
        <v>4.5238596165935281</v>
      </c>
      <c r="AK137" s="273">
        <f>'Key Inputs_New Techs'!AE66</f>
        <v>5.066722770584752</v>
      </c>
      <c r="AL137" s="273">
        <f>'Key Inputs_New Techs'!AF66</f>
        <v>5.066722770584752</v>
      </c>
      <c r="AM137" s="273">
        <f>'Key Inputs_New Techs'!AG66</f>
        <v>5.066722770584752</v>
      </c>
      <c r="AN137" s="273">
        <f>'Key Inputs_New Techs'!AH66</f>
        <v>5.066722770584752</v>
      </c>
      <c r="AO137" s="273">
        <f>'Key Inputs_New Techs'!AI66</f>
        <v>5.066722770584752</v>
      </c>
      <c r="AP137" s="273">
        <f>'Key Inputs_New Techs'!AJ66</f>
        <v>5.066722770584752</v>
      </c>
      <c r="AQ137" s="273">
        <f>'Key Inputs_New Techs'!AK66</f>
        <v>3.7548034817726283</v>
      </c>
      <c r="AR137" s="273">
        <f>'Key Inputs_New Techs'!AL66</f>
        <v>3.7548034817726283</v>
      </c>
    </row>
    <row r="138" spans="1:44" s="113" customFormat="1" ht="15.75" x14ac:dyDescent="0.25">
      <c r="A138" s="245"/>
      <c r="B138" s="245"/>
      <c r="C138" s="245"/>
      <c r="D138" s="245"/>
      <c r="E138" s="245"/>
      <c r="F138" s="245"/>
      <c r="G138" s="245"/>
      <c r="H138" s="245"/>
      <c r="I138" s="245"/>
      <c r="J138" s="118"/>
      <c r="K138" s="201" t="str">
        <f>IF('Key Inputs_New Techs'!B67="","",'Key Inputs_New Techs'!B67)</f>
        <v/>
      </c>
      <c r="L138" s="109" t="str">
        <f>IFERROR(VLOOKUP(K$137,'Commodities &amp; Processes'!L:M,2,FALSE),"")</f>
        <v>RSD Thermal uses technology: Electricity Heat Pump Wat. (Adv.) -New</v>
      </c>
      <c r="M138" s="109"/>
      <c r="N138" s="109">
        <f>'Key Inputs_New Techs'!H67</f>
        <v>2050</v>
      </c>
      <c r="O138" s="114" t="s">
        <v>37</v>
      </c>
      <c r="P138" s="120" t="s">
        <v>174</v>
      </c>
      <c r="Q138" s="273">
        <f>'Key Inputs_New Techs'!K67</f>
        <v>6.4220215387553994</v>
      </c>
      <c r="R138" s="273">
        <f>'Key Inputs_New Techs'!L67</f>
        <v>6.4220215387553994</v>
      </c>
      <c r="S138" s="273">
        <f>'Key Inputs_New Techs'!M67</f>
        <v>6.4220215387553994</v>
      </c>
      <c r="T138" s="273">
        <f>'Key Inputs_New Techs'!N67</f>
        <v>6.4220215387553994</v>
      </c>
      <c r="U138" s="273">
        <f>'Key Inputs_New Techs'!O67</f>
        <v>5.7339478024601771</v>
      </c>
      <c r="V138" s="273">
        <f>'Key Inputs_New Techs'!P67</f>
        <v>4.7591766760419469</v>
      </c>
      <c r="W138" s="273">
        <f>'Key Inputs_New Techs'!Q67</f>
        <v>4.7591766760419469</v>
      </c>
      <c r="X138" s="273">
        <f>'Key Inputs_New Techs'!R67</f>
        <v>5.7339478024601771</v>
      </c>
      <c r="Y138" s="273">
        <f>'Key Inputs_New Techs'!S67</f>
        <v>6.4220215387553994</v>
      </c>
      <c r="Z138" s="273">
        <f>'Key Inputs_New Techs'!T67</f>
        <v>5.7339478024601771</v>
      </c>
      <c r="AA138" s="273">
        <f>'Key Inputs_New Techs'!U67</f>
        <v>6.4220215387553994</v>
      </c>
      <c r="AB138" s="273">
        <f>'Key Inputs_New Techs'!V67</f>
        <v>4.7591766760419469</v>
      </c>
      <c r="AC138" s="273">
        <f>'Key Inputs_New Techs'!W67</f>
        <v>6.4220215387553994</v>
      </c>
      <c r="AD138" s="273">
        <f>'Key Inputs_New Techs'!X67</f>
        <v>6.4220215387553994</v>
      </c>
      <c r="AE138" s="273">
        <f>'Key Inputs_New Techs'!Y67</f>
        <v>6.4220215387553994</v>
      </c>
      <c r="AF138" s="273">
        <f>'Key Inputs_New Techs'!Z67</f>
        <v>4.7591766760419469</v>
      </c>
      <c r="AG138" s="273">
        <f>'Key Inputs_New Techs'!AA67</f>
        <v>4.7591766760419469</v>
      </c>
      <c r="AH138" s="273">
        <f>'Key Inputs_New Techs'!AB67</f>
        <v>4.7591766760419469</v>
      </c>
      <c r="AI138" s="273">
        <f>'Key Inputs_New Techs'!AC67</f>
        <v>5.7339478024601771</v>
      </c>
      <c r="AJ138" s="273">
        <f>'Key Inputs_New Techs'!AD67</f>
        <v>5.7339478024601771</v>
      </c>
      <c r="AK138" s="273">
        <f>'Key Inputs_New Techs'!AE67</f>
        <v>6.4220215387553994</v>
      </c>
      <c r="AL138" s="273">
        <f>'Key Inputs_New Techs'!AF67</f>
        <v>6.4220215387553994</v>
      </c>
      <c r="AM138" s="273">
        <f>'Key Inputs_New Techs'!AG67</f>
        <v>6.4220215387553994</v>
      </c>
      <c r="AN138" s="273">
        <f>'Key Inputs_New Techs'!AH67</f>
        <v>6.4220215387553994</v>
      </c>
      <c r="AO138" s="273">
        <f>'Key Inputs_New Techs'!AI67</f>
        <v>6.4220215387553994</v>
      </c>
      <c r="AP138" s="273">
        <f>'Key Inputs_New Techs'!AJ67</f>
        <v>6.4220215387553994</v>
      </c>
      <c r="AQ138" s="273">
        <f>'Key Inputs_New Techs'!AK67</f>
        <v>4.7591766760419469</v>
      </c>
      <c r="AR138" s="273">
        <f>'Key Inputs_New Techs'!AL67</f>
        <v>4.7591766760419469</v>
      </c>
    </row>
    <row r="139" spans="1:44" s="113" customFormat="1" ht="15.75" x14ac:dyDescent="0.25">
      <c r="A139" s="245"/>
      <c r="B139" s="245"/>
      <c r="C139" s="245"/>
      <c r="D139" s="245"/>
      <c r="E139" s="245"/>
      <c r="F139" s="245"/>
      <c r="G139" s="245"/>
      <c r="H139" s="245"/>
      <c r="I139" s="245"/>
      <c r="J139" s="118"/>
      <c r="K139" s="201" t="str">
        <f>IF('Key Inputs_New Techs'!B68="","",'Key Inputs_New Techs'!B68)</f>
        <v>R-THH-RST_ELC07</v>
      </c>
      <c r="L139" s="109" t="str">
        <f>IFERROR(VLOOKUP(K139,'Commodities &amp; Processes'!L:M,2,FALSE),"")</f>
        <v>RSD Thermal uses technology: Electricity Electr. Resist. (Ord.) -New</v>
      </c>
      <c r="M139" s="109"/>
      <c r="N139" s="109">
        <f>'Key Inputs_New Techs'!H68</f>
        <v>2020</v>
      </c>
      <c r="O139" s="114" t="s">
        <v>37</v>
      </c>
      <c r="P139" s="120" t="s">
        <v>174</v>
      </c>
      <c r="Q139" s="273">
        <f>'Key Inputs_New Techs'!K68</f>
        <v>0.99</v>
      </c>
      <c r="R139" s="273">
        <f>'Key Inputs_New Techs'!L68</f>
        <v>0.99</v>
      </c>
      <c r="S139" s="273">
        <f>'Key Inputs_New Techs'!M68</f>
        <v>0.99</v>
      </c>
      <c r="T139" s="273">
        <f>'Key Inputs_New Techs'!N68</f>
        <v>0.99</v>
      </c>
      <c r="U139" s="273">
        <f>'Key Inputs_New Techs'!O68</f>
        <v>0.99</v>
      </c>
      <c r="V139" s="273">
        <f>'Key Inputs_New Techs'!P68</f>
        <v>0.99</v>
      </c>
      <c r="W139" s="273">
        <f>'Key Inputs_New Techs'!Q68</f>
        <v>0.99</v>
      </c>
      <c r="X139" s="273">
        <f>'Key Inputs_New Techs'!R68</f>
        <v>0.99</v>
      </c>
      <c r="Y139" s="273">
        <f>'Key Inputs_New Techs'!S68</f>
        <v>0.99</v>
      </c>
      <c r="Z139" s="273">
        <f>'Key Inputs_New Techs'!T68</f>
        <v>0.99</v>
      </c>
      <c r="AA139" s="273">
        <f>'Key Inputs_New Techs'!U68</f>
        <v>0.99</v>
      </c>
      <c r="AB139" s="273">
        <f>'Key Inputs_New Techs'!V68</f>
        <v>0.99</v>
      </c>
      <c r="AC139" s="273">
        <f>'Key Inputs_New Techs'!W68</f>
        <v>0.99</v>
      </c>
      <c r="AD139" s="273">
        <f>'Key Inputs_New Techs'!X68</f>
        <v>0.99</v>
      </c>
      <c r="AE139" s="273">
        <f>'Key Inputs_New Techs'!Y68</f>
        <v>0.99</v>
      </c>
      <c r="AF139" s="273">
        <f>'Key Inputs_New Techs'!Z68</f>
        <v>0.99</v>
      </c>
      <c r="AG139" s="273">
        <f>'Key Inputs_New Techs'!AA68</f>
        <v>0.99</v>
      </c>
      <c r="AH139" s="273">
        <f>'Key Inputs_New Techs'!AB68</f>
        <v>0.99</v>
      </c>
      <c r="AI139" s="273">
        <f>'Key Inputs_New Techs'!AC68</f>
        <v>0.99</v>
      </c>
      <c r="AJ139" s="273">
        <f>'Key Inputs_New Techs'!AD68</f>
        <v>0.99</v>
      </c>
      <c r="AK139" s="273">
        <f>'Key Inputs_New Techs'!AE68</f>
        <v>0.99</v>
      </c>
      <c r="AL139" s="273">
        <f>'Key Inputs_New Techs'!AF68</f>
        <v>0.99</v>
      </c>
      <c r="AM139" s="273">
        <f>'Key Inputs_New Techs'!AG68</f>
        <v>0.99</v>
      </c>
      <c r="AN139" s="273">
        <f>'Key Inputs_New Techs'!AH68</f>
        <v>0.99</v>
      </c>
      <c r="AO139" s="273">
        <f>'Key Inputs_New Techs'!AI68</f>
        <v>0.99</v>
      </c>
      <c r="AP139" s="273">
        <f>'Key Inputs_New Techs'!AJ68</f>
        <v>0.99</v>
      </c>
      <c r="AQ139" s="273">
        <f>'Key Inputs_New Techs'!AK68</f>
        <v>0.99</v>
      </c>
      <c r="AR139" s="273">
        <f>'Key Inputs_New Techs'!AL68</f>
        <v>0.99</v>
      </c>
    </row>
    <row r="140" spans="1:44" s="113" customFormat="1" ht="15.75" x14ac:dyDescent="0.25">
      <c r="A140" s="245"/>
      <c r="B140" s="245"/>
      <c r="C140" s="245"/>
      <c r="D140" s="245"/>
      <c r="E140" s="245"/>
      <c r="F140" s="245"/>
      <c r="G140" s="245"/>
      <c r="H140" s="245"/>
      <c r="I140" s="245"/>
      <c r="J140" s="118"/>
      <c r="K140" s="201" t="str">
        <f>IF('Key Inputs_New Techs'!B69="","",'Key Inputs_New Techs'!B69)</f>
        <v>R-THH-BLR_GAS01</v>
      </c>
      <c r="L140" s="109" t="str">
        <f>IFERROR(VLOOKUP(K140,'Commodities &amp; Processes'!L:M,2,FALSE),"")</f>
        <v>RSD Thermal uses technology: Natural gas,Biogas Boiler (Ord.) -New</v>
      </c>
      <c r="M140" s="109"/>
      <c r="N140" s="109">
        <f>'Key Inputs_New Techs'!H69</f>
        <v>2020</v>
      </c>
      <c r="O140" s="114" t="s">
        <v>37</v>
      </c>
      <c r="P140" s="120" t="s">
        <v>174</v>
      </c>
      <c r="Q140" s="273">
        <f>'Key Inputs_New Techs'!K69</f>
        <v>0.86580000000000013</v>
      </c>
      <c r="R140" s="273">
        <f>'Key Inputs_New Techs'!L69</f>
        <v>0.86580000000000013</v>
      </c>
      <c r="S140" s="273">
        <f>'Key Inputs_New Techs'!M69</f>
        <v>0.86580000000000013</v>
      </c>
      <c r="T140" s="273">
        <f>'Key Inputs_New Techs'!N69</f>
        <v>0.86580000000000013</v>
      </c>
      <c r="U140" s="273">
        <f>'Key Inputs_New Techs'!O69</f>
        <v>0.86580000000000013</v>
      </c>
      <c r="V140" s="273">
        <f>'Key Inputs_New Techs'!P69</f>
        <v>0.86580000000000013</v>
      </c>
      <c r="W140" s="273">
        <f>'Key Inputs_New Techs'!Q69</f>
        <v>0.86580000000000013</v>
      </c>
      <c r="X140" s="273">
        <f>'Key Inputs_New Techs'!R69</f>
        <v>0.86580000000000013</v>
      </c>
      <c r="Y140" s="273">
        <f>'Key Inputs_New Techs'!S69</f>
        <v>0.86580000000000013</v>
      </c>
      <c r="Z140" s="273">
        <f>'Key Inputs_New Techs'!T69</f>
        <v>0.86580000000000013</v>
      </c>
      <c r="AA140" s="273">
        <f>'Key Inputs_New Techs'!U69</f>
        <v>0.86580000000000013</v>
      </c>
      <c r="AB140" s="273">
        <f>'Key Inputs_New Techs'!V69</f>
        <v>0.86580000000000013</v>
      </c>
      <c r="AC140" s="273">
        <f>'Key Inputs_New Techs'!W69</f>
        <v>0.86580000000000013</v>
      </c>
      <c r="AD140" s="273">
        <f>'Key Inputs_New Techs'!X69</f>
        <v>0.86580000000000013</v>
      </c>
      <c r="AE140" s="273">
        <f>'Key Inputs_New Techs'!Y69</f>
        <v>0.86580000000000013</v>
      </c>
      <c r="AF140" s="273">
        <f>'Key Inputs_New Techs'!Z69</f>
        <v>0.86580000000000013</v>
      </c>
      <c r="AG140" s="273">
        <f>'Key Inputs_New Techs'!AA69</f>
        <v>0.86580000000000013</v>
      </c>
      <c r="AH140" s="273">
        <f>'Key Inputs_New Techs'!AB69</f>
        <v>0.86580000000000013</v>
      </c>
      <c r="AI140" s="273">
        <f>'Key Inputs_New Techs'!AC69</f>
        <v>0.86580000000000013</v>
      </c>
      <c r="AJ140" s="273">
        <f>'Key Inputs_New Techs'!AD69</f>
        <v>0.86580000000000013</v>
      </c>
      <c r="AK140" s="273">
        <f>'Key Inputs_New Techs'!AE69</f>
        <v>0.86580000000000013</v>
      </c>
      <c r="AL140" s="273">
        <f>'Key Inputs_New Techs'!AF69</f>
        <v>0.86580000000000013</v>
      </c>
      <c r="AM140" s="273">
        <f>'Key Inputs_New Techs'!AG69</f>
        <v>0.86580000000000013</v>
      </c>
      <c r="AN140" s="273">
        <f>'Key Inputs_New Techs'!AH69</f>
        <v>0.86580000000000013</v>
      </c>
      <c r="AO140" s="273">
        <f>'Key Inputs_New Techs'!AI69</f>
        <v>0.86580000000000013</v>
      </c>
      <c r="AP140" s="273">
        <f>'Key Inputs_New Techs'!AJ69</f>
        <v>0.86580000000000013</v>
      </c>
      <c r="AQ140" s="273">
        <f>'Key Inputs_New Techs'!AK69</f>
        <v>0.86580000000000013</v>
      </c>
      <c r="AR140" s="273">
        <f>'Key Inputs_New Techs'!AL69</f>
        <v>0.86580000000000013</v>
      </c>
    </row>
    <row r="141" spans="1:44" s="113" customFormat="1" ht="15.75" x14ac:dyDescent="0.25">
      <c r="A141" s="245"/>
      <c r="B141" s="245"/>
      <c r="C141" s="245"/>
      <c r="D141" s="245"/>
      <c r="E141" s="245"/>
      <c r="F141" s="245"/>
      <c r="G141" s="245"/>
      <c r="H141" s="245"/>
      <c r="I141" s="245"/>
      <c r="J141" s="118"/>
      <c r="K141" s="201" t="str">
        <f>IF('Key Inputs_New Techs'!B70="","",'Key Inputs_New Techs'!B70)</f>
        <v>R-THH-BLR_GAS02</v>
      </c>
      <c r="L141" s="109" t="str">
        <f>IFERROR(VLOOKUP(K141,'Commodities &amp; Processes'!L:M,2,FALSE),"")</f>
        <v>RSD Thermal uses technology: Natural gas,Biogas Boiler cond. (Ord.) -New</v>
      </c>
      <c r="M141" s="109"/>
      <c r="N141" s="109">
        <f>'Key Inputs_New Techs'!H70</f>
        <v>2020</v>
      </c>
      <c r="O141" s="114" t="s">
        <v>37</v>
      </c>
      <c r="P141" s="120" t="s">
        <v>174</v>
      </c>
      <c r="Q141" s="273">
        <f>'Key Inputs_New Techs'!K70</f>
        <v>1.0323</v>
      </c>
      <c r="R141" s="273">
        <f>'Key Inputs_New Techs'!L70</f>
        <v>1.0323</v>
      </c>
      <c r="S141" s="273">
        <f>'Key Inputs_New Techs'!M70</f>
        <v>1.0323</v>
      </c>
      <c r="T141" s="273">
        <f>'Key Inputs_New Techs'!N70</f>
        <v>1.0323</v>
      </c>
      <c r="U141" s="273">
        <f>'Key Inputs_New Techs'!O70</f>
        <v>1.0323</v>
      </c>
      <c r="V141" s="273">
        <f>'Key Inputs_New Techs'!P70</f>
        <v>1.0323</v>
      </c>
      <c r="W141" s="273">
        <f>'Key Inputs_New Techs'!Q70</f>
        <v>1.0323</v>
      </c>
      <c r="X141" s="273">
        <f>'Key Inputs_New Techs'!R70</f>
        <v>1.0323</v>
      </c>
      <c r="Y141" s="273">
        <f>'Key Inputs_New Techs'!S70</f>
        <v>1.0323</v>
      </c>
      <c r="Z141" s="273">
        <f>'Key Inputs_New Techs'!T70</f>
        <v>1.0323</v>
      </c>
      <c r="AA141" s="273">
        <f>'Key Inputs_New Techs'!U70</f>
        <v>1.0323</v>
      </c>
      <c r="AB141" s="273">
        <f>'Key Inputs_New Techs'!V70</f>
        <v>1.0323</v>
      </c>
      <c r="AC141" s="273">
        <f>'Key Inputs_New Techs'!W70</f>
        <v>1.0323</v>
      </c>
      <c r="AD141" s="273">
        <f>'Key Inputs_New Techs'!X70</f>
        <v>1.0323</v>
      </c>
      <c r="AE141" s="273">
        <f>'Key Inputs_New Techs'!Y70</f>
        <v>1.0323</v>
      </c>
      <c r="AF141" s="273">
        <f>'Key Inputs_New Techs'!Z70</f>
        <v>1.0323</v>
      </c>
      <c r="AG141" s="273">
        <f>'Key Inputs_New Techs'!AA70</f>
        <v>1.0323</v>
      </c>
      <c r="AH141" s="273">
        <f>'Key Inputs_New Techs'!AB70</f>
        <v>1.0323</v>
      </c>
      <c r="AI141" s="273">
        <f>'Key Inputs_New Techs'!AC70</f>
        <v>1.0323</v>
      </c>
      <c r="AJ141" s="273">
        <f>'Key Inputs_New Techs'!AD70</f>
        <v>1.0323</v>
      </c>
      <c r="AK141" s="273">
        <f>'Key Inputs_New Techs'!AE70</f>
        <v>1.0323</v>
      </c>
      <c r="AL141" s="273">
        <f>'Key Inputs_New Techs'!AF70</f>
        <v>1.0323</v>
      </c>
      <c r="AM141" s="273">
        <f>'Key Inputs_New Techs'!AG70</f>
        <v>1.0323</v>
      </c>
      <c r="AN141" s="273">
        <f>'Key Inputs_New Techs'!AH70</f>
        <v>1.0323</v>
      </c>
      <c r="AO141" s="273">
        <f>'Key Inputs_New Techs'!AI70</f>
        <v>1.0323</v>
      </c>
      <c r="AP141" s="273">
        <f>'Key Inputs_New Techs'!AJ70</f>
        <v>1.0323</v>
      </c>
      <c r="AQ141" s="273">
        <f>'Key Inputs_New Techs'!AK70</f>
        <v>1.0323</v>
      </c>
      <c r="AR141" s="273">
        <f>'Key Inputs_New Techs'!AL70</f>
        <v>1.0323</v>
      </c>
    </row>
    <row r="142" spans="1:44" s="113" customFormat="1" ht="15.75" x14ac:dyDescent="0.25">
      <c r="A142" s="245"/>
      <c r="B142" s="245"/>
      <c r="C142" s="245"/>
      <c r="D142" s="245"/>
      <c r="E142" s="245"/>
      <c r="F142" s="245"/>
      <c r="G142" s="245"/>
      <c r="H142" s="245"/>
      <c r="I142" s="245"/>
      <c r="J142" s="118"/>
      <c r="K142" s="201" t="str">
        <f>IF('Key Inputs_New Techs'!B71="","",'Key Inputs_New Techs'!B71)</f>
        <v>R-THH-BLR_GAS03</v>
      </c>
      <c r="L142" s="109" t="str">
        <f>IFERROR(VLOOKUP(K$142,'Commodities &amp; Processes'!L:M,2,FALSE),"")</f>
        <v>RSD Thermal uses technology: Natural gas,Biogas Boiler (Imp.) -New</v>
      </c>
      <c r="M142" s="109"/>
      <c r="N142" s="109">
        <f>'Key Inputs_New Techs'!H71</f>
        <v>2025</v>
      </c>
      <c r="O142" s="114" t="s">
        <v>37</v>
      </c>
      <c r="P142" s="120" t="s">
        <v>174</v>
      </c>
      <c r="Q142" s="273">
        <f>'Key Inputs_New Techs'!K71</f>
        <v>1.0323</v>
      </c>
      <c r="R142" s="273">
        <f>'Key Inputs_New Techs'!L71</f>
        <v>1.0323</v>
      </c>
      <c r="S142" s="273">
        <f>'Key Inputs_New Techs'!M71</f>
        <v>1.0323</v>
      </c>
      <c r="T142" s="273">
        <f>'Key Inputs_New Techs'!N71</f>
        <v>1.0323</v>
      </c>
      <c r="U142" s="273">
        <f>'Key Inputs_New Techs'!O71</f>
        <v>1.0323</v>
      </c>
      <c r="V142" s="273">
        <f>'Key Inputs_New Techs'!P71</f>
        <v>1.0323</v>
      </c>
      <c r="W142" s="273">
        <f>'Key Inputs_New Techs'!Q71</f>
        <v>1.0323</v>
      </c>
      <c r="X142" s="273">
        <f>'Key Inputs_New Techs'!R71</f>
        <v>1.0323</v>
      </c>
      <c r="Y142" s="273">
        <f>'Key Inputs_New Techs'!S71</f>
        <v>1.0323</v>
      </c>
      <c r="Z142" s="273">
        <f>'Key Inputs_New Techs'!T71</f>
        <v>1.0323</v>
      </c>
      <c r="AA142" s="273">
        <f>'Key Inputs_New Techs'!U71</f>
        <v>1.0323</v>
      </c>
      <c r="AB142" s="273">
        <f>'Key Inputs_New Techs'!V71</f>
        <v>1.0323</v>
      </c>
      <c r="AC142" s="273">
        <f>'Key Inputs_New Techs'!W71</f>
        <v>1.0323</v>
      </c>
      <c r="AD142" s="273">
        <f>'Key Inputs_New Techs'!X71</f>
        <v>1.0323</v>
      </c>
      <c r="AE142" s="273">
        <f>'Key Inputs_New Techs'!Y71</f>
        <v>1.0323</v>
      </c>
      <c r="AF142" s="273">
        <f>'Key Inputs_New Techs'!Z71</f>
        <v>1.0323</v>
      </c>
      <c r="AG142" s="273">
        <f>'Key Inputs_New Techs'!AA71</f>
        <v>1.0323</v>
      </c>
      <c r="AH142" s="273">
        <f>'Key Inputs_New Techs'!AB71</f>
        <v>1.0323</v>
      </c>
      <c r="AI142" s="273">
        <f>'Key Inputs_New Techs'!AC71</f>
        <v>1.0323</v>
      </c>
      <c r="AJ142" s="273">
        <f>'Key Inputs_New Techs'!AD71</f>
        <v>1.0323</v>
      </c>
      <c r="AK142" s="273">
        <f>'Key Inputs_New Techs'!AE71</f>
        <v>1.0323</v>
      </c>
      <c r="AL142" s="273">
        <f>'Key Inputs_New Techs'!AF71</f>
        <v>1.0323</v>
      </c>
      <c r="AM142" s="273">
        <f>'Key Inputs_New Techs'!AG71</f>
        <v>1.0323</v>
      </c>
      <c r="AN142" s="273">
        <f>'Key Inputs_New Techs'!AH71</f>
        <v>1.0323</v>
      </c>
      <c r="AO142" s="273">
        <f>'Key Inputs_New Techs'!AI71</f>
        <v>1.0323</v>
      </c>
      <c r="AP142" s="273">
        <f>'Key Inputs_New Techs'!AJ71</f>
        <v>1.0323</v>
      </c>
      <c r="AQ142" s="273">
        <f>'Key Inputs_New Techs'!AK71</f>
        <v>1.0323</v>
      </c>
      <c r="AR142" s="273">
        <f>'Key Inputs_New Techs'!AL71</f>
        <v>1.0323</v>
      </c>
    </row>
    <row r="143" spans="1:44" s="113" customFormat="1" ht="15.75" x14ac:dyDescent="0.25">
      <c r="A143" s="245"/>
      <c r="B143" s="245"/>
      <c r="C143" s="245"/>
      <c r="D143" s="245"/>
      <c r="E143" s="245"/>
      <c r="F143" s="245"/>
      <c r="G143" s="245"/>
      <c r="H143" s="245"/>
      <c r="I143" s="245"/>
      <c r="J143" s="118"/>
      <c r="K143" s="201" t="str">
        <f>IF('Key Inputs_New Techs'!B72="","",'Key Inputs_New Techs'!B72)</f>
        <v/>
      </c>
      <c r="L143" s="109" t="str">
        <f>IFERROR(VLOOKUP(K$142,'Commodities &amp; Processes'!L:M,2,FALSE),"")</f>
        <v>RSD Thermal uses technology: Natural gas,Biogas Boiler (Imp.) -New</v>
      </c>
      <c r="M143" s="109"/>
      <c r="N143" s="109">
        <f>'Key Inputs_New Techs'!H72</f>
        <v>2030</v>
      </c>
      <c r="O143" s="114" t="s">
        <v>37</v>
      </c>
      <c r="P143" s="120" t="s">
        <v>174</v>
      </c>
      <c r="Q143" s="273">
        <f>'Key Inputs_New Techs'!K72</f>
        <v>0.98790000000000011</v>
      </c>
      <c r="R143" s="273">
        <f>'Key Inputs_New Techs'!L72</f>
        <v>0.98790000000000011</v>
      </c>
      <c r="S143" s="273">
        <f>'Key Inputs_New Techs'!M72</f>
        <v>0.98790000000000011</v>
      </c>
      <c r="T143" s="273">
        <f>'Key Inputs_New Techs'!N72</f>
        <v>0.98790000000000011</v>
      </c>
      <c r="U143" s="273">
        <f>'Key Inputs_New Techs'!O72</f>
        <v>0.98790000000000011</v>
      </c>
      <c r="V143" s="273">
        <f>'Key Inputs_New Techs'!P72</f>
        <v>0.98790000000000011</v>
      </c>
      <c r="W143" s="273">
        <f>'Key Inputs_New Techs'!Q72</f>
        <v>0.98790000000000011</v>
      </c>
      <c r="X143" s="273">
        <f>'Key Inputs_New Techs'!R72</f>
        <v>0.98790000000000011</v>
      </c>
      <c r="Y143" s="273">
        <f>'Key Inputs_New Techs'!S72</f>
        <v>0.98790000000000011</v>
      </c>
      <c r="Z143" s="273">
        <f>'Key Inputs_New Techs'!T72</f>
        <v>0.98790000000000011</v>
      </c>
      <c r="AA143" s="273">
        <f>'Key Inputs_New Techs'!U72</f>
        <v>0.98790000000000011</v>
      </c>
      <c r="AB143" s="273">
        <f>'Key Inputs_New Techs'!V72</f>
        <v>0.98790000000000011</v>
      </c>
      <c r="AC143" s="273">
        <f>'Key Inputs_New Techs'!W72</f>
        <v>0.98790000000000011</v>
      </c>
      <c r="AD143" s="273">
        <f>'Key Inputs_New Techs'!X72</f>
        <v>0.98790000000000011</v>
      </c>
      <c r="AE143" s="273">
        <f>'Key Inputs_New Techs'!Y72</f>
        <v>0.98790000000000011</v>
      </c>
      <c r="AF143" s="273">
        <f>'Key Inputs_New Techs'!Z72</f>
        <v>0.98790000000000011</v>
      </c>
      <c r="AG143" s="273">
        <f>'Key Inputs_New Techs'!AA72</f>
        <v>0.98790000000000011</v>
      </c>
      <c r="AH143" s="273">
        <f>'Key Inputs_New Techs'!AB72</f>
        <v>0.98790000000000011</v>
      </c>
      <c r="AI143" s="273">
        <f>'Key Inputs_New Techs'!AC72</f>
        <v>0.98790000000000011</v>
      </c>
      <c r="AJ143" s="273">
        <f>'Key Inputs_New Techs'!AD72</f>
        <v>0.98790000000000011</v>
      </c>
      <c r="AK143" s="273">
        <f>'Key Inputs_New Techs'!AE72</f>
        <v>0.98790000000000011</v>
      </c>
      <c r="AL143" s="273">
        <f>'Key Inputs_New Techs'!AF72</f>
        <v>0.98790000000000011</v>
      </c>
      <c r="AM143" s="273">
        <f>'Key Inputs_New Techs'!AG72</f>
        <v>0.98790000000000011</v>
      </c>
      <c r="AN143" s="273">
        <f>'Key Inputs_New Techs'!AH72</f>
        <v>0.98790000000000011</v>
      </c>
      <c r="AO143" s="273">
        <f>'Key Inputs_New Techs'!AI72</f>
        <v>0.98790000000000011</v>
      </c>
      <c r="AP143" s="273">
        <f>'Key Inputs_New Techs'!AJ72</f>
        <v>0.98790000000000011</v>
      </c>
      <c r="AQ143" s="273">
        <f>'Key Inputs_New Techs'!AK72</f>
        <v>0.98790000000000011</v>
      </c>
      <c r="AR143" s="273">
        <f>'Key Inputs_New Techs'!AL72</f>
        <v>0.98790000000000011</v>
      </c>
    </row>
    <row r="144" spans="1:44" s="113" customFormat="1" ht="15.75" x14ac:dyDescent="0.25">
      <c r="A144" s="245"/>
      <c r="B144" s="245"/>
      <c r="C144" s="245"/>
      <c r="D144" s="245"/>
      <c r="E144" s="245"/>
      <c r="F144" s="245"/>
      <c r="G144" s="245"/>
      <c r="H144" s="245"/>
      <c r="I144" s="245"/>
      <c r="J144" s="118"/>
      <c r="K144" s="201" t="str">
        <f>IF('Key Inputs_New Techs'!B73="","",'Key Inputs_New Techs'!B73)</f>
        <v>R-THH-BLR_GAS04</v>
      </c>
      <c r="L144" s="109" t="str">
        <f>IFERROR(VLOOKUP(K$144,'Commodities &amp; Processes'!L:M,2,FALSE),"")</f>
        <v>RSD Thermal uses technology: Natural gas,Biogas Boiler cond. (Imp.) -New</v>
      </c>
      <c r="M144" s="109"/>
      <c r="N144" s="109">
        <f>'Key Inputs_New Techs'!H73</f>
        <v>2025</v>
      </c>
      <c r="O144" s="114" t="s">
        <v>37</v>
      </c>
      <c r="P144" s="120" t="s">
        <v>174</v>
      </c>
      <c r="Q144" s="273">
        <f>'Key Inputs_New Techs'!K73</f>
        <v>0.86580000000000013</v>
      </c>
      <c r="R144" s="273">
        <f>'Key Inputs_New Techs'!L73</f>
        <v>0.86580000000000013</v>
      </c>
      <c r="S144" s="273">
        <f>'Key Inputs_New Techs'!M73</f>
        <v>0.86580000000000013</v>
      </c>
      <c r="T144" s="273">
        <f>'Key Inputs_New Techs'!N73</f>
        <v>0.86580000000000013</v>
      </c>
      <c r="U144" s="273">
        <f>'Key Inputs_New Techs'!O73</f>
        <v>0.86580000000000013</v>
      </c>
      <c r="V144" s="273">
        <f>'Key Inputs_New Techs'!P73</f>
        <v>0.86580000000000013</v>
      </c>
      <c r="W144" s="273">
        <f>'Key Inputs_New Techs'!Q73</f>
        <v>0.86580000000000013</v>
      </c>
      <c r="X144" s="273">
        <f>'Key Inputs_New Techs'!R73</f>
        <v>0.86580000000000013</v>
      </c>
      <c r="Y144" s="273">
        <f>'Key Inputs_New Techs'!S73</f>
        <v>0.86580000000000013</v>
      </c>
      <c r="Z144" s="273">
        <f>'Key Inputs_New Techs'!T73</f>
        <v>0.86580000000000013</v>
      </c>
      <c r="AA144" s="273">
        <f>'Key Inputs_New Techs'!U73</f>
        <v>0.86580000000000013</v>
      </c>
      <c r="AB144" s="273">
        <f>'Key Inputs_New Techs'!V73</f>
        <v>0.86580000000000013</v>
      </c>
      <c r="AC144" s="273">
        <f>'Key Inputs_New Techs'!W73</f>
        <v>0.86580000000000013</v>
      </c>
      <c r="AD144" s="273">
        <f>'Key Inputs_New Techs'!X73</f>
        <v>0.86580000000000013</v>
      </c>
      <c r="AE144" s="273">
        <f>'Key Inputs_New Techs'!Y73</f>
        <v>0.86580000000000013</v>
      </c>
      <c r="AF144" s="273">
        <f>'Key Inputs_New Techs'!Z73</f>
        <v>0.86580000000000013</v>
      </c>
      <c r="AG144" s="273">
        <f>'Key Inputs_New Techs'!AA73</f>
        <v>0.86580000000000013</v>
      </c>
      <c r="AH144" s="273">
        <f>'Key Inputs_New Techs'!AB73</f>
        <v>0.86580000000000013</v>
      </c>
      <c r="AI144" s="273">
        <f>'Key Inputs_New Techs'!AC73</f>
        <v>0.86580000000000013</v>
      </c>
      <c r="AJ144" s="273">
        <f>'Key Inputs_New Techs'!AD73</f>
        <v>0.86580000000000013</v>
      </c>
      <c r="AK144" s="273">
        <f>'Key Inputs_New Techs'!AE73</f>
        <v>0.86580000000000013</v>
      </c>
      <c r="AL144" s="273">
        <f>'Key Inputs_New Techs'!AF73</f>
        <v>0.86580000000000013</v>
      </c>
      <c r="AM144" s="273">
        <f>'Key Inputs_New Techs'!AG73</f>
        <v>0.86580000000000013</v>
      </c>
      <c r="AN144" s="273">
        <f>'Key Inputs_New Techs'!AH73</f>
        <v>0.86580000000000013</v>
      </c>
      <c r="AO144" s="273">
        <f>'Key Inputs_New Techs'!AI73</f>
        <v>0.86580000000000013</v>
      </c>
      <c r="AP144" s="273">
        <f>'Key Inputs_New Techs'!AJ73</f>
        <v>0.86580000000000013</v>
      </c>
      <c r="AQ144" s="273">
        <f>'Key Inputs_New Techs'!AK73</f>
        <v>0.86580000000000013</v>
      </c>
      <c r="AR144" s="273">
        <f>'Key Inputs_New Techs'!AL73</f>
        <v>0.86580000000000013</v>
      </c>
    </row>
    <row r="145" spans="1:44" s="113" customFormat="1" ht="15.75" x14ac:dyDescent="0.25">
      <c r="A145" s="245"/>
      <c r="B145" s="245"/>
      <c r="C145" s="245"/>
      <c r="D145" s="245"/>
      <c r="E145" s="245"/>
      <c r="F145" s="245"/>
      <c r="G145" s="245"/>
      <c r="H145" s="245"/>
      <c r="I145" s="245"/>
      <c r="J145" s="118"/>
      <c r="K145" s="201" t="str">
        <f>IF('Key Inputs_New Techs'!B74="","",'Key Inputs_New Techs'!B74)</f>
        <v/>
      </c>
      <c r="L145" s="109" t="str">
        <f>IFERROR(VLOOKUP(K$144,'Commodities &amp; Processes'!L:M,2,FALSE),"")</f>
        <v>RSD Thermal uses technology: Natural gas,Biogas Boiler cond. (Imp.) -New</v>
      </c>
      <c r="M145" s="109"/>
      <c r="N145" s="109">
        <f>'Key Inputs_New Techs'!H74</f>
        <v>2030</v>
      </c>
      <c r="O145" s="114" t="s">
        <v>37</v>
      </c>
      <c r="P145" s="120" t="s">
        <v>174</v>
      </c>
      <c r="Q145" s="273">
        <f>'Key Inputs_New Techs'!K74</f>
        <v>1.0767000000000002</v>
      </c>
      <c r="R145" s="273">
        <f>'Key Inputs_New Techs'!L74</f>
        <v>1.0767000000000002</v>
      </c>
      <c r="S145" s="273">
        <f>'Key Inputs_New Techs'!M74</f>
        <v>1.0767000000000002</v>
      </c>
      <c r="T145" s="273">
        <f>'Key Inputs_New Techs'!N74</f>
        <v>1.0767000000000002</v>
      </c>
      <c r="U145" s="273">
        <f>'Key Inputs_New Techs'!O74</f>
        <v>1.0767000000000002</v>
      </c>
      <c r="V145" s="273">
        <f>'Key Inputs_New Techs'!P74</f>
        <v>1.0767000000000002</v>
      </c>
      <c r="W145" s="273">
        <f>'Key Inputs_New Techs'!Q74</f>
        <v>1.0767000000000002</v>
      </c>
      <c r="X145" s="273">
        <f>'Key Inputs_New Techs'!R74</f>
        <v>1.0767000000000002</v>
      </c>
      <c r="Y145" s="273">
        <f>'Key Inputs_New Techs'!S74</f>
        <v>1.0767000000000002</v>
      </c>
      <c r="Z145" s="273">
        <f>'Key Inputs_New Techs'!T74</f>
        <v>1.0767000000000002</v>
      </c>
      <c r="AA145" s="273">
        <f>'Key Inputs_New Techs'!U74</f>
        <v>1.0767000000000002</v>
      </c>
      <c r="AB145" s="273">
        <f>'Key Inputs_New Techs'!V74</f>
        <v>1.0767000000000002</v>
      </c>
      <c r="AC145" s="273">
        <f>'Key Inputs_New Techs'!W74</f>
        <v>1.0767000000000002</v>
      </c>
      <c r="AD145" s="273">
        <f>'Key Inputs_New Techs'!X74</f>
        <v>1.0767000000000002</v>
      </c>
      <c r="AE145" s="273">
        <f>'Key Inputs_New Techs'!Y74</f>
        <v>1.0767000000000002</v>
      </c>
      <c r="AF145" s="273">
        <f>'Key Inputs_New Techs'!Z74</f>
        <v>1.0767000000000002</v>
      </c>
      <c r="AG145" s="273">
        <f>'Key Inputs_New Techs'!AA74</f>
        <v>1.0767000000000002</v>
      </c>
      <c r="AH145" s="273">
        <f>'Key Inputs_New Techs'!AB74</f>
        <v>1.0767000000000002</v>
      </c>
      <c r="AI145" s="273">
        <f>'Key Inputs_New Techs'!AC74</f>
        <v>1.0767000000000002</v>
      </c>
      <c r="AJ145" s="273">
        <f>'Key Inputs_New Techs'!AD74</f>
        <v>1.0767000000000002</v>
      </c>
      <c r="AK145" s="273">
        <f>'Key Inputs_New Techs'!AE74</f>
        <v>1.0767000000000002</v>
      </c>
      <c r="AL145" s="273">
        <f>'Key Inputs_New Techs'!AF74</f>
        <v>1.0767000000000002</v>
      </c>
      <c r="AM145" s="273">
        <f>'Key Inputs_New Techs'!AG74</f>
        <v>1.0767000000000002</v>
      </c>
      <c r="AN145" s="273">
        <f>'Key Inputs_New Techs'!AH74</f>
        <v>1.0767000000000002</v>
      </c>
      <c r="AO145" s="273">
        <f>'Key Inputs_New Techs'!AI74</f>
        <v>1.0767000000000002</v>
      </c>
      <c r="AP145" s="273">
        <f>'Key Inputs_New Techs'!AJ74</f>
        <v>1.0767000000000002</v>
      </c>
      <c r="AQ145" s="273">
        <f>'Key Inputs_New Techs'!AK74</f>
        <v>1.0767000000000002</v>
      </c>
      <c r="AR145" s="273">
        <f>'Key Inputs_New Techs'!AL74</f>
        <v>1.0767000000000002</v>
      </c>
    </row>
    <row r="146" spans="1:44" s="113" customFormat="1" ht="15.75" x14ac:dyDescent="0.25">
      <c r="A146" s="245"/>
      <c r="B146" s="245"/>
      <c r="C146" s="245"/>
      <c r="D146" s="245"/>
      <c r="E146" s="245"/>
      <c r="F146" s="245"/>
      <c r="G146" s="245"/>
      <c r="H146" s="245"/>
      <c r="I146" s="245"/>
      <c r="J146" s="118"/>
      <c r="K146" s="201" t="str">
        <f>IF('Key Inputs_New Techs'!B75="","",'Key Inputs_New Techs'!B75)</f>
        <v>R-THH-HPA_GAS05</v>
      </c>
      <c r="L146" s="109" t="str">
        <f>IFERROR(VLOOKUP(K146,'Commodities &amp; Processes'!L:M,2,FALSE),"")</f>
        <v>RSD Thermal uses technology: Natural gas,Biogas Heat Pump (Ord.) -New</v>
      </c>
      <c r="M146" s="109"/>
      <c r="N146" s="109">
        <f>'Key Inputs_New Techs'!H75</f>
        <v>2020</v>
      </c>
      <c r="O146" s="114" t="s">
        <v>37</v>
      </c>
      <c r="P146" s="120" t="s">
        <v>174</v>
      </c>
      <c r="Q146" s="273">
        <f>'Key Inputs_New Techs'!K75</f>
        <v>1.3</v>
      </c>
      <c r="R146" s="273">
        <f>'Key Inputs_New Techs'!L75</f>
        <v>1.3</v>
      </c>
      <c r="S146" s="273">
        <f>'Key Inputs_New Techs'!M75</f>
        <v>1.3</v>
      </c>
      <c r="T146" s="273">
        <f>'Key Inputs_New Techs'!N75</f>
        <v>1.3</v>
      </c>
      <c r="U146" s="273">
        <f>'Key Inputs_New Techs'!O75</f>
        <v>1.3</v>
      </c>
      <c r="V146" s="273">
        <f>'Key Inputs_New Techs'!P75</f>
        <v>1.3</v>
      </c>
      <c r="W146" s="273">
        <f>'Key Inputs_New Techs'!Q75</f>
        <v>1.3</v>
      </c>
      <c r="X146" s="273">
        <f>'Key Inputs_New Techs'!R75</f>
        <v>1.3</v>
      </c>
      <c r="Y146" s="273">
        <f>'Key Inputs_New Techs'!S75</f>
        <v>1.3</v>
      </c>
      <c r="Z146" s="273">
        <f>'Key Inputs_New Techs'!T75</f>
        <v>1.3</v>
      </c>
      <c r="AA146" s="273">
        <f>'Key Inputs_New Techs'!U75</f>
        <v>1.3</v>
      </c>
      <c r="AB146" s="273">
        <f>'Key Inputs_New Techs'!V75</f>
        <v>1.3</v>
      </c>
      <c r="AC146" s="273">
        <f>'Key Inputs_New Techs'!W75</f>
        <v>1.3</v>
      </c>
      <c r="AD146" s="273">
        <f>'Key Inputs_New Techs'!X75</f>
        <v>1.3</v>
      </c>
      <c r="AE146" s="273">
        <f>'Key Inputs_New Techs'!Y75</f>
        <v>1.3</v>
      </c>
      <c r="AF146" s="273">
        <f>'Key Inputs_New Techs'!Z75</f>
        <v>1.3</v>
      </c>
      <c r="AG146" s="273">
        <f>'Key Inputs_New Techs'!AA75</f>
        <v>1.3</v>
      </c>
      <c r="AH146" s="273">
        <f>'Key Inputs_New Techs'!AB75</f>
        <v>1.3</v>
      </c>
      <c r="AI146" s="273">
        <f>'Key Inputs_New Techs'!AC75</f>
        <v>1.3</v>
      </c>
      <c r="AJ146" s="273">
        <f>'Key Inputs_New Techs'!AD75</f>
        <v>1.3</v>
      </c>
      <c r="AK146" s="273">
        <f>'Key Inputs_New Techs'!AE75</f>
        <v>1.3</v>
      </c>
      <c r="AL146" s="273">
        <f>'Key Inputs_New Techs'!AF75</f>
        <v>1.3</v>
      </c>
      <c r="AM146" s="273">
        <f>'Key Inputs_New Techs'!AG75</f>
        <v>1.3</v>
      </c>
      <c r="AN146" s="273">
        <f>'Key Inputs_New Techs'!AH75</f>
        <v>1.3</v>
      </c>
      <c r="AO146" s="273">
        <f>'Key Inputs_New Techs'!AI75</f>
        <v>1.3</v>
      </c>
      <c r="AP146" s="273">
        <f>'Key Inputs_New Techs'!AJ75</f>
        <v>1.3</v>
      </c>
      <c r="AQ146" s="273">
        <f>'Key Inputs_New Techs'!AK75</f>
        <v>1.3</v>
      </c>
      <c r="AR146" s="273">
        <f>'Key Inputs_New Techs'!AL75</f>
        <v>1.3</v>
      </c>
    </row>
    <row r="147" spans="1:44" s="113" customFormat="1" ht="15.75" x14ac:dyDescent="0.25">
      <c r="A147" s="245"/>
      <c r="B147" s="245"/>
      <c r="C147" s="245"/>
      <c r="D147" s="245"/>
      <c r="E147" s="245"/>
      <c r="F147" s="245"/>
      <c r="G147" s="245"/>
      <c r="H147" s="245"/>
      <c r="I147" s="245"/>
      <c r="J147" s="118"/>
      <c r="K147" s="201" t="str">
        <f>IF('Key Inputs_New Techs'!B76="","",'Key Inputs_New Techs'!B76)</f>
        <v>R-THH-HPA_GAS06</v>
      </c>
      <c r="L147" s="109" t="str">
        <f>IFERROR(VLOOKUP(K$147,'Commodities &amp; Processes'!L:M,2,FALSE),"")</f>
        <v>RSD Thermal uses technology: Natural gas,Biogas Heat Pump (Imp.) -New</v>
      </c>
      <c r="M147" s="109"/>
      <c r="N147" s="109">
        <f>'Key Inputs_New Techs'!H76</f>
        <v>2025</v>
      </c>
      <c r="O147" s="114" t="s">
        <v>37</v>
      </c>
      <c r="P147" s="120" t="s">
        <v>174</v>
      </c>
      <c r="Q147" s="273">
        <f>'Key Inputs_New Techs'!K76</f>
        <v>1.3</v>
      </c>
      <c r="R147" s="273">
        <f>'Key Inputs_New Techs'!L76</f>
        <v>1.3</v>
      </c>
      <c r="S147" s="273">
        <f>'Key Inputs_New Techs'!M76</f>
        <v>1.3</v>
      </c>
      <c r="T147" s="273">
        <f>'Key Inputs_New Techs'!N76</f>
        <v>1.3</v>
      </c>
      <c r="U147" s="273">
        <f>'Key Inputs_New Techs'!O76</f>
        <v>1.3</v>
      </c>
      <c r="V147" s="273">
        <f>'Key Inputs_New Techs'!P76</f>
        <v>1.3</v>
      </c>
      <c r="W147" s="273">
        <f>'Key Inputs_New Techs'!Q76</f>
        <v>1.3</v>
      </c>
      <c r="X147" s="273">
        <f>'Key Inputs_New Techs'!R76</f>
        <v>1.3</v>
      </c>
      <c r="Y147" s="273">
        <f>'Key Inputs_New Techs'!S76</f>
        <v>1.3</v>
      </c>
      <c r="Z147" s="273">
        <f>'Key Inputs_New Techs'!T76</f>
        <v>1.3</v>
      </c>
      <c r="AA147" s="273">
        <f>'Key Inputs_New Techs'!U76</f>
        <v>1.3</v>
      </c>
      <c r="AB147" s="273">
        <f>'Key Inputs_New Techs'!V76</f>
        <v>1.3</v>
      </c>
      <c r="AC147" s="273">
        <f>'Key Inputs_New Techs'!W76</f>
        <v>1.3</v>
      </c>
      <c r="AD147" s="273">
        <f>'Key Inputs_New Techs'!X76</f>
        <v>1.3</v>
      </c>
      <c r="AE147" s="273">
        <f>'Key Inputs_New Techs'!Y76</f>
        <v>1.3</v>
      </c>
      <c r="AF147" s="273">
        <f>'Key Inputs_New Techs'!Z76</f>
        <v>1.3</v>
      </c>
      <c r="AG147" s="273">
        <f>'Key Inputs_New Techs'!AA76</f>
        <v>1.3</v>
      </c>
      <c r="AH147" s="273">
        <f>'Key Inputs_New Techs'!AB76</f>
        <v>1.3</v>
      </c>
      <c r="AI147" s="273">
        <f>'Key Inputs_New Techs'!AC76</f>
        <v>1.3</v>
      </c>
      <c r="AJ147" s="273">
        <f>'Key Inputs_New Techs'!AD76</f>
        <v>1.3</v>
      </c>
      <c r="AK147" s="273">
        <f>'Key Inputs_New Techs'!AE76</f>
        <v>1.3</v>
      </c>
      <c r="AL147" s="273">
        <f>'Key Inputs_New Techs'!AF76</f>
        <v>1.3</v>
      </c>
      <c r="AM147" s="273">
        <f>'Key Inputs_New Techs'!AG76</f>
        <v>1.3</v>
      </c>
      <c r="AN147" s="273">
        <f>'Key Inputs_New Techs'!AH76</f>
        <v>1.3</v>
      </c>
      <c r="AO147" s="273">
        <f>'Key Inputs_New Techs'!AI76</f>
        <v>1.3</v>
      </c>
      <c r="AP147" s="273">
        <f>'Key Inputs_New Techs'!AJ76</f>
        <v>1.3</v>
      </c>
      <c r="AQ147" s="273">
        <f>'Key Inputs_New Techs'!AK76</f>
        <v>1.3</v>
      </c>
      <c r="AR147" s="273">
        <f>'Key Inputs_New Techs'!AL76</f>
        <v>1.3</v>
      </c>
    </row>
    <row r="148" spans="1:44" s="113" customFormat="1" ht="15.75" x14ac:dyDescent="0.25">
      <c r="A148" s="245"/>
      <c r="B148" s="245"/>
      <c r="C148" s="245"/>
      <c r="D148" s="245"/>
      <c r="E148" s="245"/>
      <c r="F148" s="245"/>
      <c r="G148" s="245"/>
      <c r="H148" s="245"/>
      <c r="I148" s="245"/>
      <c r="J148" s="118"/>
      <c r="K148" s="201" t="str">
        <f>IF('Key Inputs_New Techs'!B77="","",'Key Inputs_New Techs'!B77)</f>
        <v/>
      </c>
      <c r="L148" s="109" t="str">
        <f>IFERROR(VLOOKUP(K$147,'Commodities &amp; Processes'!L:M,2,FALSE),"")</f>
        <v>RSD Thermal uses technology: Natural gas,Biogas Heat Pump (Imp.) -New</v>
      </c>
      <c r="M148" s="109"/>
      <c r="N148" s="109">
        <f>'Key Inputs_New Techs'!H77</f>
        <v>2030</v>
      </c>
      <c r="O148" s="114" t="s">
        <v>37</v>
      </c>
      <c r="P148" s="120" t="s">
        <v>174</v>
      </c>
      <c r="Q148" s="273">
        <f>'Key Inputs_New Techs'!K77</f>
        <v>1.6140000000000003</v>
      </c>
      <c r="R148" s="273">
        <f>'Key Inputs_New Techs'!L77</f>
        <v>1.6140000000000003</v>
      </c>
      <c r="S148" s="273">
        <f>'Key Inputs_New Techs'!M77</f>
        <v>1.6140000000000003</v>
      </c>
      <c r="T148" s="273">
        <f>'Key Inputs_New Techs'!N77</f>
        <v>1.6140000000000003</v>
      </c>
      <c r="U148" s="273">
        <f>'Key Inputs_New Techs'!O77</f>
        <v>1.6140000000000003</v>
      </c>
      <c r="V148" s="273">
        <f>'Key Inputs_New Techs'!P77</f>
        <v>1.6140000000000003</v>
      </c>
      <c r="W148" s="273">
        <f>'Key Inputs_New Techs'!Q77</f>
        <v>1.6140000000000003</v>
      </c>
      <c r="X148" s="273">
        <f>'Key Inputs_New Techs'!R77</f>
        <v>1.6140000000000003</v>
      </c>
      <c r="Y148" s="273">
        <f>'Key Inputs_New Techs'!S77</f>
        <v>1.6140000000000003</v>
      </c>
      <c r="Z148" s="273">
        <f>'Key Inputs_New Techs'!T77</f>
        <v>1.6140000000000003</v>
      </c>
      <c r="AA148" s="273">
        <f>'Key Inputs_New Techs'!U77</f>
        <v>1.6140000000000003</v>
      </c>
      <c r="AB148" s="273">
        <f>'Key Inputs_New Techs'!V77</f>
        <v>1.6140000000000003</v>
      </c>
      <c r="AC148" s="273">
        <f>'Key Inputs_New Techs'!W77</f>
        <v>1.6140000000000003</v>
      </c>
      <c r="AD148" s="273">
        <f>'Key Inputs_New Techs'!X77</f>
        <v>1.6140000000000003</v>
      </c>
      <c r="AE148" s="273">
        <f>'Key Inputs_New Techs'!Y77</f>
        <v>1.6140000000000003</v>
      </c>
      <c r="AF148" s="273">
        <f>'Key Inputs_New Techs'!Z77</f>
        <v>1.6140000000000003</v>
      </c>
      <c r="AG148" s="273">
        <f>'Key Inputs_New Techs'!AA77</f>
        <v>1.6140000000000003</v>
      </c>
      <c r="AH148" s="273">
        <f>'Key Inputs_New Techs'!AB77</f>
        <v>1.6140000000000003</v>
      </c>
      <c r="AI148" s="273">
        <f>'Key Inputs_New Techs'!AC77</f>
        <v>1.6140000000000003</v>
      </c>
      <c r="AJ148" s="273">
        <f>'Key Inputs_New Techs'!AD77</f>
        <v>1.6140000000000003</v>
      </c>
      <c r="AK148" s="273">
        <f>'Key Inputs_New Techs'!AE77</f>
        <v>1.6140000000000003</v>
      </c>
      <c r="AL148" s="273">
        <f>'Key Inputs_New Techs'!AF77</f>
        <v>1.6140000000000003</v>
      </c>
      <c r="AM148" s="273">
        <f>'Key Inputs_New Techs'!AG77</f>
        <v>1.6140000000000003</v>
      </c>
      <c r="AN148" s="273">
        <f>'Key Inputs_New Techs'!AH77</f>
        <v>1.6140000000000003</v>
      </c>
      <c r="AO148" s="273">
        <f>'Key Inputs_New Techs'!AI77</f>
        <v>1.6140000000000003</v>
      </c>
      <c r="AP148" s="273">
        <f>'Key Inputs_New Techs'!AJ77</f>
        <v>1.6140000000000003</v>
      </c>
      <c r="AQ148" s="273">
        <f>'Key Inputs_New Techs'!AK77</f>
        <v>1.6140000000000003</v>
      </c>
      <c r="AR148" s="273">
        <f>'Key Inputs_New Techs'!AL77</f>
        <v>1.6140000000000003</v>
      </c>
    </row>
    <row r="149" spans="1:44" s="113" customFormat="1" ht="15.75" x14ac:dyDescent="0.25">
      <c r="A149" s="245"/>
      <c r="B149" s="245"/>
      <c r="C149" s="245"/>
      <c r="D149" s="245"/>
      <c r="E149" s="245"/>
      <c r="F149" s="245"/>
      <c r="G149" s="245"/>
      <c r="H149" s="245"/>
      <c r="I149" s="245"/>
      <c r="J149" s="118"/>
      <c r="K149" s="201" t="str">
        <f>IF('Key Inputs_New Techs'!B78="","",'Key Inputs_New Techs'!B78)</f>
        <v/>
      </c>
      <c r="L149" s="109" t="str">
        <f>IFERROR(VLOOKUP(K$147,'Commodities &amp; Processes'!L:M,2,FALSE),"")</f>
        <v>RSD Thermal uses technology: Natural gas,Biogas Heat Pump (Imp.) -New</v>
      </c>
      <c r="M149" s="109"/>
      <c r="N149" s="109">
        <f>'Key Inputs_New Techs'!H78</f>
        <v>2050</v>
      </c>
      <c r="O149" s="114" t="s">
        <v>37</v>
      </c>
      <c r="P149" s="120" t="s">
        <v>174</v>
      </c>
      <c r="Q149" s="273">
        <f>'Key Inputs_New Techs'!K78</f>
        <v>1.9618181818181823</v>
      </c>
      <c r="R149" s="273">
        <f>'Key Inputs_New Techs'!L78</f>
        <v>1.9618181818181823</v>
      </c>
      <c r="S149" s="273">
        <f>'Key Inputs_New Techs'!M78</f>
        <v>1.9618181818181823</v>
      </c>
      <c r="T149" s="273">
        <f>'Key Inputs_New Techs'!N78</f>
        <v>1.9618181818181823</v>
      </c>
      <c r="U149" s="273">
        <f>'Key Inputs_New Techs'!O78</f>
        <v>1.9618181818181823</v>
      </c>
      <c r="V149" s="273">
        <f>'Key Inputs_New Techs'!P78</f>
        <v>1.9618181818181823</v>
      </c>
      <c r="W149" s="273">
        <f>'Key Inputs_New Techs'!Q78</f>
        <v>1.9618181818181823</v>
      </c>
      <c r="X149" s="273">
        <f>'Key Inputs_New Techs'!R78</f>
        <v>1.9618181818181823</v>
      </c>
      <c r="Y149" s="273">
        <f>'Key Inputs_New Techs'!S78</f>
        <v>1.9618181818181823</v>
      </c>
      <c r="Z149" s="273">
        <f>'Key Inputs_New Techs'!T78</f>
        <v>1.9618181818181823</v>
      </c>
      <c r="AA149" s="273">
        <f>'Key Inputs_New Techs'!U78</f>
        <v>1.9618181818181823</v>
      </c>
      <c r="AB149" s="273">
        <f>'Key Inputs_New Techs'!V78</f>
        <v>1.9618181818181823</v>
      </c>
      <c r="AC149" s="273">
        <f>'Key Inputs_New Techs'!W78</f>
        <v>1.9618181818181823</v>
      </c>
      <c r="AD149" s="273">
        <f>'Key Inputs_New Techs'!X78</f>
        <v>1.9618181818181823</v>
      </c>
      <c r="AE149" s="273">
        <f>'Key Inputs_New Techs'!Y78</f>
        <v>1.9618181818181823</v>
      </c>
      <c r="AF149" s="273">
        <f>'Key Inputs_New Techs'!Z78</f>
        <v>1.9618181818181823</v>
      </c>
      <c r="AG149" s="273">
        <f>'Key Inputs_New Techs'!AA78</f>
        <v>1.9618181818181823</v>
      </c>
      <c r="AH149" s="273">
        <f>'Key Inputs_New Techs'!AB78</f>
        <v>1.9618181818181823</v>
      </c>
      <c r="AI149" s="273">
        <f>'Key Inputs_New Techs'!AC78</f>
        <v>1.9618181818181823</v>
      </c>
      <c r="AJ149" s="273">
        <f>'Key Inputs_New Techs'!AD78</f>
        <v>1.9618181818181823</v>
      </c>
      <c r="AK149" s="273">
        <f>'Key Inputs_New Techs'!AE78</f>
        <v>1.9618181818181823</v>
      </c>
      <c r="AL149" s="273">
        <f>'Key Inputs_New Techs'!AF78</f>
        <v>1.9618181818181823</v>
      </c>
      <c r="AM149" s="273">
        <f>'Key Inputs_New Techs'!AG78</f>
        <v>1.9618181818181823</v>
      </c>
      <c r="AN149" s="273">
        <f>'Key Inputs_New Techs'!AH78</f>
        <v>1.9618181818181823</v>
      </c>
      <c r="AO149" s="273">
        <f>'Key Inputs_New Techs'!AI78</f>
        <v>1.9618181818181823</v>
      </c>
      <c r="AP149" s="273">
        <f>'Key Inputs_New Techs'!AJ78</f>
        <v>1.9618181818181823</v>
      </c>
      <c r="AQ149" s="273">
        <f>'Key Inputs_New Techs'!AK78</f>
        <v>1.9618181818181823</v>
      </c>
      <c r="AR149" s="273">
        <f>'Key Inputs_New Techs'!AL78</f>
        <v>1.9618181818181823</v>
      </c>
    </row>
    <row r="150" spans="1:44" s="113" customFormat="1" ht="15.75" x14ac:dyDescent="0.25">
      <c r="A150" s="245"/>
      <c r="B150" s="245"/>
      <c r="C150" s="245"/>
      <c r="D150" s="245"/>
      <c r="E150" s="245"/>
      <c r="F150" s="245"/>
      <c r="G150" s="245"/>
      <c r="H150" s="245"/>
      <c r="I150" s="245"/>
      <c r="J150" s="118"/>
      <c r="K150" s="201" t="str">
        <f>IF('Key Inputs_New Techs'!B79="","",'Key Inputs_New Techs'!B79)</f>
        <v>R-THH-HPA_GAS07</v>
      </c>
      <c r="L150" s="109" t="str">
        <f>IFERROR(VLOOKUP(K$150,'Commodities &amp; Processes'!L:M,2,FALSE),"")</f>
        <v>RSD Thermal uses technology: Natural gas,Biogas Heat Pump (Adv.) -New</v>
      </c>
      <c r="M150" s="109"/>
      <c r="N150" s="109">
        <f>'Key Inputs_New Techs'!H79</f>
        <v>2030</v>
      </c>
      <c r="O150" s="114" t="s">
        <v>37</v>
      </c>
      <c r="P150" s="120" t="s">
        <v>174</v>
      </c>
      <c r="Q150" s="273">
        <f>'Key Inputs_New Techs'!K79</f>
        <v>1.7806060606060605</v>
      </c>
      <c r="R150" s="273">
        <f>'Key Inputs_New Techs'!L79</f>
        <v>1.7806060606060605</v>
      </c>
      <c r="S150" s="273">
        <f>'Key Inputs_New Techs'!M79</f>
        <v>1.7806060606060605</v>
      </c>
      <c r="T150" s="273">
        <f>'Key Inputs_New Techs'!N79</f>
        <v>1.7806060606060605</v>
      </c>
      <c r="U150" s="273">
        <f>'Key Inputs_New Techs'!O79</f>
        <v>1.7806060606060605</v>
      </c>
      <c r="V150" s="273">
        <f>'Key Inputs_New Techs'!P79</f>
        <v>1.7806060606060605</v>
      </c>
      <c r="W150" s="273">
        <f>'Key Inputs_New Techs'!Q79</f>
        <v>1.7806060606060605</v>
      </c>
      <c r="X150" s="273">
        <f>'Key Inputs_New Techs'!R79</f>
        <v>1.7806060606060605</v>
      </c>
      <c r="Y150" s="273">
        <f>'Key Inputs_New Techs'!S79</f>
        <v>1.7806060606060605</v>
      </c>
      <c r="Z150" s="273">
        <f>'Key Inputs_New Techs'!T79</f>
        <v>1.7806060606060605</v>
      </c>
      <c r="AA150" s="273">
        <f>'Key Inputs_New Techs'!U79</f>
        <v>1.7806060606060605</v>
      </c>
      <c r="AB150" s="273">
        <f>'Key Inputs_New Techs'!V79</f>
        <v>1.7806060606060605</v>
      </c>
      <c r="AC150" s="273">
        <f>'Key Inputs_New Techs'!W79</f>
        <v>1.7806060606060605</v>
      </c>
      <c r="AD150" s="273">
        <f>'Key Inputs_New Techs'!X79</f>
        <v>1.7806060606060605</v>
      </c>
      <c r="AE150" s="273">
        <f>'Key Inputs_New Techs'!Y79</f>
        <v>1.7806060606060605</v>
      </c>
      <c r="AF150" s="273">
        <f>'Key Inputs_New Techs'!Z79</f>
        <v>1.7806060606060605</v>
      </c>
      <c r="AG150" s="273">
        <f>'Key Inputs_New Techs'!AA79</f>
        <v>1.7806060606060605</v>
      </c>
      <c r="AH150" s="273">
        <f>'Key Inputs_New Techs'!AB79</f>
        <v>1.7806060606060605</v>
      </c>
      <c r="AI150" s="273">
        <f>'Key Inputs_New Techs'!AC79</f>
        <v>1.7806060606060605</v>
      </c>
      <c r="AJ150" s="273">
        <f>'Key Inputs_New Techs'!AD79</f>
        <v>1.7806060606060605</v>
      </c>
      <c r="AK150" s="273">
        <f>'Key Inputs_New Techs'!AE79</f>
        <v>1.7806060606060605</v>
      </c>
      <c r="AL150" s="273">
        <f>'Key Inputs_New Techs'!AF79</f>
        <v>1.7806060606060605</v>
      </c>
      <c r="AM150" s="273">
        <f>'Key Inputs_New Techs'!AG79</f>
        <v>1.7806060606060605</v>
      </c>
      <c r="AN150" s="273">
        <f>'Key Inputs_New Techs'!AH79</f>
        <v>1.7806060606060605</v>
      </c>
      <c r="AO150" s="273">
        <f>'Key Inputs_New Techs'!AI79</f>
        <v>1.7806060606060605</v>
      </c>
      <c r="AP150" s="273">
        <f>'Key Inputs_New Techs'!AJ79</f>
        <v>1.7806060606060605</v>
      </c>
      <c r="AQ150" s="273">
        <f>'Key Inputs_New Techs'!AK79</f>
        <v>1.7806060606060605</v>
      </c>
      <c r="AR150" s="273">
        <f>'Key Inputs_New Techs'!AL79</f>
        <v>1.7806060606060605</v>
      </c>
    </row>
    <row r="151" spans="1:44" s="113" customFormat="1" ht="15.75" x14ac:dyDescent="0.25">
      <c r="A151" s="245"/>
      <c r="B151" s="245"/>
      <c r="C151" s="245"/>
      <c r="D151" s="245"/>
      <c r="E151" s="245"/>
      <c r="F151" s="245"/>
      <c r="G151" s="245"/>
      <c r="H151" s="245"/>
      <c r="I151" s="245"/>
      <c r="J151" s="118"/>
      <c r="K151" s="201" t="str">
        <f>IF('Key Inputs_New Techs'!B80="","",'Key Inputs_New Techs'!B80)</f>
        <v/>
      </c>
      <c r="L151" s="109" t="str">
        <f>IFERROR(VLOOKUP(K$150,'Commodities &amp; Processes'!L:M,2,FALSE),"")</f>
        <v>RSD Thermal uses technology: Natural gas,Biogas Heat Pump (Adv.) -New</v>
      </c>
      <c r="M151" s="109"/>
      <c r="N151" s="109">
        <f>'Key Inputs_New Techs'!H80</f>
        <v>2050</v>
      </c>
      <c r="O151" s="114" t="s">
        <v>37</v>
      </c>
      <c r="P151" s="120" t="s">
        <v>174</v>
      </c>
      <c r="Q151" s="273">
        <f>'Key Inputs_New Techs'!K80</f>
        <v>2.1440557223015881</v>
      </c>
      <c r="R151" s="273">
        <f>'Key Inputs_New Techs'!L80</f>
        <v>2.1440557223015881</v>
      </c>
      <c r="S151" s="273">
        <f>'Key Inputs_New Techs'!M80</f>
        <v>2.1440557223015881</v>
      </c>
      <c r="T151" s="273">
        <f>'Key Inputs_New Techs'!N80</f>
        <v>2.1440557223015881</v>
      </c>
      <c r="U151" s="273">
        <f>'Key Inputs_New Techs'!O80</f>
        <v>2.1440557223015881</v>
      </c>
      <c r="V151" s="273">
        <f>'Key Inputs_New Techs'!P80</f>
        <v>2.1440557223015881</v>
      </c>
      <c r="W151" s="273">
        <f>'Key Inputs_New Techs'!Q80</f>
        <v>2.1440557223015881</v>
      </c>
      <c r="X151" s="273">
        <f>'Key Inputs_New Techs'!R80</f>
        <v>2.1440557223015881</v>
      </c>
      <c r="Y151" s="273">
        <f>'Key Inputs_New Techs'!S80</f>
        <v>2.1440557223015881</v>
      </c>
      <c r="Z151" s="273">
        <f>'Key Inputs_New Techs'!T80</f>
        <v>2.1440557223015881</v>
      </c>
      <c r="AA151" s="273">
        <f>'Key Inputs_New Techs'!U80</f>
        <v>2.1440557223015881</v>
      </c>
      <c r="AB151" s="273">
        <f>'Key Inputs_New Techs'!V80</f>
        <v>2.1440557223015881</v>
      </c>
      <c r="AC151" s="273">
        <f>'Key Inputs_New Techs'!W80</f>
        <v>2.1440557223015881</v>
      </c>
      <c r="AD151" s="273">
        <f>'Key Inputs_New Techs'!X80</f>
        <v>2.1440557223015881</v>
      </c>
      <c r="AE151" s="273">
        <f>'Key Inputs_New Techs'!Y80</f>
        <v>2.1440557223015881</v>
      </c>
      <c r="AF151" s="273">
        <f>'Key Inputs_New Techs'!Z80</f>
        <v>2.1440557223015881</v>
      </c>
      <c r="AG151" s="273">
        <f>'Key Inputs_New Techs'!AA80</f>
        <v>2.1440557223015881</v>
      </c>
      <c r="AH151" s="273">
        <f>'Key Inputs_New Techs'!AB80</f>
        <v>2.1440557223015881</v>
      </c>
      <c r="AI151" s="273">
        <f>'Key Inputs_New Techs'!AC80</f>
        <v>2.1440557223015881</v>
      </c>
      <c r="AJ151" s="273">
        <f>'Key Inputs_New Techs'!AD80</f>
        <v>2.1440557223015881</v>
      </c>
      <c r="AK151" s="273">
        <f>'Key Inputs_New Techs'!AE80</f>
        <v>2.1440557223015881</v>
      </c>
      <c r="AL151" s="273">
        <f>'Key Inputs_New Techs'!AF80</f>
        <v>2.1440557223015881</v>
      </c>
      <c r="AM151" s="273">
        <f>'Key Inputs_New Techs'!AG80</f>
        <v>2.1440557223015881</v>
      </c>
      <c r="AN151" s="273">
        <f>'Key Inputs_New Techs'!AH80</f>
        <v>2.1440557223015881</v>
      </c>
      <c r="AO151" s="273">
        <f>'Key Inputs_New Techs'!AI80</f>
        <v>2.1440557223015881</v>
      </c>
      <c r="AP151" s="273">
        <f>'Key Inputs_New Techs'!AJ80</f>
        <v>2.1440557223015881</v>
      </c>
      <c r="AQ151" s="273">
        <f>'Key Inputs_New Techs'!AK80</f>
        <v>2.1440557223015881</v>
      </c>
      <c r="AR151" s="273">
        <f>'Key Inputs_New Techs'!AL80</f>
        <v>2.1440557223015881</v>
      </c>
    </row>
    <row r="152" spans="1:44" s="113" customFormat="1" ht="15.75" x14ac:dyDescent="0.25">
      <c r="A152" s="245"/>
      <c r="B152" s="245"/>
      <c r="C152" s="245"/>
      <c r="D152" s="245"/>
      <c r="E152" s="245"/>
      <c r="F152" s="245"/>
      <c r="G152" s="245"/>
      <c r="H152" s="245"/>
      <c r="I152" s="245"/>
      <c r="J152" s="118"/>
      <c r="K152" s="201" t="str">
        <f>IF('Key Inputs_New Techs'!B81="","",'Key Inputs_New Techs'!B81)</f>
        <v>R-THH-HPG_ELC01</v>
      </c>
      <c r="L152" s="109" t="str">
        <f>IFERROR(VLOOKUP(K152,'Commodities &amp; Processes'!L:M,2,FALSE),"")</f>
        <v>RSD Thermal uses technology: Electricity Ground Heat Pump (Ord.) -New</v>
      </c>
      <c r="M152" s="109"/>
      <c r="N152" s="109">
        <f>'Key Inputs_New Techs'!H81</f>
        <v>2020</v>
      </c>
      <c r="O152" s="114" t="s">
        <v>37</v>
      </c>
      <c r="P152" s="120" t="s">
        <v>174</v>
      </c>
      <c r="Q152" s="273">
        <f>'Key Inputs_New Techs'!K81</f>
        <v>1.0948635097454591</v>
      </c>
      <c r="R152" s="273">
        <f>'Key Inputs_New Techs'!L81</f>
        <v>1.0948635097454591</v>
      </c>
      <c r="S152" s="273">
        <f>'Key Inputs_New Techs'!M81</f>
        <v>1.0948635097454591</v>
      </c>
      <c r="T152" s="273">
        <f>'Key Inputs_New Techs'!N81</f>
        <v>1.0948635097454591</v>
      </c>
      <c r="U152" s="273">
        <f>'Key Inputs_New Techs'!O81</f>
        <v>1.0948635097454591</v>
      </c>
      <c r="V152" s="273">
        <f>'Key Inputs_New Techs'!P81</f>
        <v>1.0948635097454591</v>
      </c>
      <c r="W152" s="273">
        <f>'Key Inputs_New Techs'!Q81</f>
        <v>1.0948635097454591</v>
      </c>
      <c r="X152" s="273">
        <f>'Key Inputs_New Techs'!R81</f>
        <v>1.0948635097454591</v>
      </c>
      <c r="Y152" s="273">
        <f>'Key Inputs_New Techs'!S81</f>
        <v>1.0948635097454591</v>
      </c>
      <c r="Z152" s="273">
        <f>'Key Inputs_New Techs'!T81</f>
        <v>1.0948635097454591</v>
      </c>
      <c r="AA152" s="273">
        <f>'Key Inputs_New Techs'!U81</f>
        <v>1.0948635097454591</v>
      </c>
      <c r="AB152" s="273">
        <f>'Key Inputs_New Techs'!V81</f>
        <v>1.0948635097454591</v>
      </c>
      <c r="AC152" s="273">
        <f>'Key Inputs_New Techs'!W81</f>
        <v>1.0948635097454591</v>
      </c>
      <c r="AD152" s="273">
        <f>'Key Inputs_New Techs'!X81</f>
        <v>1.0948635097454591</v>
      </c>
      <c r="AE152" s="273">
        <f>'Key Inputs_New Techs'!Y81</f>
        <v>1.0948635097454591</v>
      </c>
      <c r="AF152" s="273">
        <f>'Key Inputs_New Techs'!Z81</f>
        <v>1.0948635097454591</v>
      </c>
      <c r="AG152" s="273">
        <f>'Key Inputs_New Techs'!AA81</f>
        <v>1.0948635097454591</v>
      </c>
      <c r="AH152" s="273">
        <f>'Key Inputs_New Techs'!AB81</f>
        <v>1.0948635097454591</v>
      </c>
      <c r="AI152" s="273">
        <f>'Key Inputs_New Techs'!AC81</f>
        <v>1.0948635097454591</v>
      </c>
      <c r="AJ152" s="273">
        <f>'Key Inputs_New Techs'!AD81</f>
        <v>1.0948635097454591</v>
      </c>
      <c r="AK152" s="273">
        <f>'Key Inputs_New Techs'!AE81</f>
        <v>1.0948635097454591</v>
      </c>
      <c r="AL152" s="273">
        <f>'Key Inputs_New Techs'!AF81</f>
        <v>1.0948635097454591</v>
      </c>
      <c r="AM152" s="273">
        <f>'Key Inputs_New Techs'!AG81</f>
        <v>1.0948635097454591</v>
      </c>
      <c r="AN152" s="273">
        <f>'Key Inputs_New Techs'!AH81</f>
        <v>1.0948635097454591</v>
      </c>
      <c r="AO152" s="273">
        <f>'Key Inputs_New Techs'!AI81</f>
        <v>1.0948635097454591</v>
      </c>
      <c r="AP152" s="273">
        <f>'Key Inputs_New Techs'!AJ81</f>
        <v>1.0948635097454591</v>
      </c>
      <c r="AQ152" s="273">
        <f>'Key Inputs_New Techs'!AK81</f>
        <v>1.0948635097454591</v>
      </c>
      <c r="AR152" s="273">
        <f>'Key Inputs_New Techs'!AL81</f>
        <v>1.0948635097454591</v>
      </c>
    </row>
    <row r="153" spans="1:44" s="113" customFormat="1" ht="15.75" x14ac:dyDescent="0.25">
      <c r="A153" s="245"/>
      <c r="B153" s="245"/>
      <c r="C153" s="245"/>
      <c r="D153" s="245"/>
      <c r="E153" s="245"/>
      <c r="F153" s="245"/>
      <c r="G153" s="245"/>
      <c r="H153" s="245"/>
      <c r="I153" s="245"/>
      <c r="J153" s="118"/>
      <c r="K153" s="201" t="str">
        <f>IF('Key Inputs_New Techs'!B82="","",'Key Inputs_New Techs'!B82)</f>
        <v>R-THH-HPG_ELC02</v>
      </c>
      <c r="L153" s="109" t="str">
        <f>IFERROR(VLOOKUP(K$153,'Commodities &amp; Processes'!L:M,2,FALSE),"")</f>
        <v>RSD Thermal uses technology: Electricity Ground Heat Pump (Imp.) -New</v>
      </c>
      <c r="M153" s="109"/>
      <c r="N153" s="109">
        <f>'Key Inputs_New Techs'!H82</f>
        <v>2025</v>
      </c>
      <c r="O153" s="114" t="s">
        <v>37</v>
      </c>
      <c r="P153" s="120" t="s">
        <v>174</v>
      </c>
      <c r="Q153" s="273">
        <f>'Key Inputs_New Techs'!K82</f>
        <v>1.0948635097454591</v>
      </c>
      <c r="R153" s="273">
        <f>'Key Inputs_New Techs'!L82</f>
        <v>1.0948635097454591</v>
      </c>
      <c r="S153" s="273">
        <f>'Key Inputs_New Techs'!M82</f>
        <v>1.0948635097454591</v>
      </c>
      <c r="T153" s="273">
        <f>'Key Inputs_New Techs'!N82</f>
        <v>1.0948635097454591</v>
      </c>
      <c r="U153" s="273">
        <f>'Key Inputs_New Techs'!O82</f>
        <v>1.0948635097454591</v>
      </c>
      <c r="V153" s="273">
        <f>'Key Inputs_New Techs'!P82</f>
        <v>1.0948635097454591</v>
      </c>
      <c r="W153" s="273">
        <f>'Key Inputs_New Techs'!Q82</f>
        <v>1.0948635097454591</v>
      </c>
      <c r="X153" s="273">
        <f>'Key Inputs_New Techs'!R82</f>
        <v>1.0948635097454591</v>
      </c>
      <c r="Y153" s="273">
        <f>'Key Inputs_New Techs'!S82</f>
        <v>1.0948635097454591</v>
      </c>
      <c r="Z153" s="273">
        <f>'Key Inputs_New Techs'!T82</f>
        <v>1.0948635097454591</v>
      </c>
      <c r="AA153" s="273">
        <f>'Key Inputs_New Techs'!U82</f>
        <v>1.0948635097454591</v>
      </c>
      <c r="AB153" s="273">
        <f>'Key Inputs_New Techs'!V82</f>
        <v>1.0948635097454591</v>
      </c>
      <c r="AC153" s="273">
        <f>'Key Inputs_New Techs'!W82</f>
        <v>1.0948635097454591</v>
      </c>
      <c r="AD153" s="273">
        <f>'Key Inputs_New Techs'!X82</f>
        <v>1.0948635097454591</v>
      </c>
      <c r="AE153" s="273">
        <f>'Key Inputs_New Techs'!Y82</f>
        <v>1.0948635097454591</v>
      </c>
      <c r="AF153" s="273">
        <f>'Key Inputs_New Techs'!Z82</f>
        <v>1.0948635097454591</v>
      </c>
      <c r="AG153" s="273">
        <f>'Key Inputs_New Techs'!AA82</f>
        <v>1.0948635097454591</v>
      </c>
      <c r="AH153" s="273">
        <f>'Key Inputs_New Techs'!AB82</f>
        <v>1.0948635097454591</v>
      </c>
      <c r="AI153" s="273">
        <f>'Key Inputs_New Techs'!AC82</f>
        <v>1.0948635097454591</v>
      </c>
      <c r="AJ153" s="273">
        <f>'Key Inputs_New Techs'!AD82</f>
        <v>1.0948635097454591</v>
      </c>
      <c r="AK153" s="273">
        <f>'Key Inputs_New Techs'!AE82</f>
        <v>1.0948635097454591</v>
      </c>
      <c r="AL153" s="273">
        <f>'Key Inputs_New Techs'!AF82</f>
        <v>1.0948635097454591</v>
      </c>
      <c r="AM153" s="273">
        <f>'Key Inputs_New Techs'!AG82</f>
        <v>1.0948635097454591</v>
      </c>
      <c r="AN153" s="273">
        <f>'Key Inputs_New Techs'!AH82</f>
        <v>1.0948635097454591</v>
      </c>
      <c r="AO153" s="273">
        <f>'Key Inputs_New Techs'!AI82</f>
        <v>1.0948635097454591</v>
      </c>
      <c r="AP153" s="273">
        <f>'Key Inputs_New Techs'!AJ82</f>
        <v>1.0948635097454591</v>
      </c>
      <c r="AQ153" s="273">
        <f>'Key Inputs_New Techs'!AK82</f>
        <v>1.0948635097454591</v>
      </c>
      <c r="AR153" s="273">
        <f>'Key Inputs_New Techs'!AL82</f>
        <v>1.0948635097454591</v>
      </c>
    </row>
    <row r="154" spans="1:44" s="113" customFormat="1" ht="15.75" x14ac:dyDescent="0.25">
      <c r="A154" s="245"/>
      <c r="B154" s="245"/>
      <c r="C154" s="245"/>
      <c r="D154" s="245"/>
      <c r="E154" s="245"/>
      <c r="F154" s="245"/>
      <c r="G154" s="245"/>
      <c r="H154" s="245"/>
      <c r="I154" s="245"/>
      <c r="J154" s="118"/>
      <c r="K154" s="201" t="str">
        <f>IF('Key Inputs_New Techs'!B83="","",'Key Inputs_New Techs'!B83)</f>
        <v/>
      </c>
      <c r="L154" s="109" t="str">
        <f>IFERROR(VLOOKUP(K$153,'Commodities &amp; Processes'!L:M,2,FALSE),"")</f>
        <v>RSD Thermal uses technology: Electricity Ground Heat Pump (Imp.) -New</v>
      </c>
      <c r="M154" s="109"/>
      <c r="N154" s="109">
        <f>'Key Inputs_New Techs'!H83</f>
        <v>2030</v>
      </c>
      <c r="O154" s="114" t="s">
        <v>37</v>
      </c>
      <c r="P154" s="120" t="s">
        <v>174</v>
      </c>
      <c r="Q154" s="273">
        <f>'Key Inputs_New Techs'!K83</f>
        <v>1.1790837797258791</v>
      </c>
      <c r="R154" s="273">
        <f>'Key Inputs_New Techs'!L83</f>
        <v>1.1790837797258791</v>
      </c>
      <c r="S154" s="273">
        <f>'Key Inputs_New Techs'!M83</f>
        <v>1.1790837797258791</v>
      </c>
      <c r="T154" s="273">
        <f>'Key Inputs_New Techs'!N83</f>
        <v>1.1790837797258791</v>
      </c>
      <c r="U154" s="273">
        <f>'Key Inputs_New Techs'!O83</f>
        <v>1.1790837797258791</v>
      </c>
      <c r="V154" s="273">
        <f>'Key Inputs_New Techs'!P83</f>
        <v>1.1790837797258791</v>
      </c>
      <c r="W154" s="273">
        <f>'Key Inputs_New Techs'!Q83</f>
        <v>1.1790837797258791</v>
      </c>
      <c r="X154" s="273">
        <f>'Key Inputs_New Techs'!R83</f>
        <v>1.1790837797258791</v>
      </c>
      <c r="Y154" s="273">
        <f>'Key Inputs_New Techs'!S83</f>
        <v>1.1790837797258791</v>
      </c>
      <c r="Z154" s="273">
        <f>'Key Inputs_New Techs'!T83</f>
        <v>1.1790837797258791</v>
      </c>
      <c r="AA154" s="273">
        <f>'Key Inputs_New Techs'!U83</f>
        <v>1.1790837797258791</v>
      </c>
      <c r="AB154" s="273">
        <f>'Key Inputs_New Techs'!V83</f>
        <v>1.1790837797258791</v>
      </c>
      <c r="AC154" s="273">
        <f>'Key Inputs_New Techs'!W83</f>
        <v>1.1790837797258791</v>
      </c>
      <c r="AD154" s="273">
        <f>'Key Inputs_New Techs'!X83</f>
        <v>1.1790837797258791</v>
      </c>
      <c r="AE154" s="273">
        <f>'Key Inputs_New Techs'!Y83</f>
        <v>1.1790837797258791</v>
      </c>
      <c r="AF154" s="273">
        <f>'Key Inputs_New Techs'!Z83</f>
        <v>1.1790837797258791</v>
      </c>
      <c r="AG154" s="273">
        <f>'Key Inputs_New Techs'!AA83</f>
        <v>1.1790837797258791</v>
      </c>
      <c r="AH154" s="273">
        <f>'Key Inputs_New Techs'!AB83</f>
        <v>1.1790837797258791</v>
      </c>
      <c r="AI154" s="273">
        <f>'Key Inputs_New Techs'!AC83</f>
        <v>1.1790837797258791</v>
      </c>
      <c r="AJ154" s="273">
        <f>'Key Inputs_New Techs'!AD83</f>
        <v>1.1790837797258791</v>
      </c>
      <c r="AK154" s="273">
        <f>'Key Inputs_New Techs'!AE83</f>
        <v>1.1790837797258791</v>
      </c>
      <c r="AL154" s="273">
        <f>'Key Inputs_New Techs'!AF83</f>
        <v>1.1790837797258791</v>
      </c>
      <c r="AM154" s="273">
        <f>'Key Inputs_New Techs'!AG83</f>
        <v>1.1790837797258791</v>
      </c>
      <c r="AN154" s="273">
        <f>'Key Inputs_New Techs'!AH83</f>
        <v>1.1790837797258791</v>
      </c>
      <c r="AO154" s="273">
        <f>'Key Inputs_New Techs'!AI83</f>
        <v>1.1790837797258791</v>
      </c>
      <c r="AP154" s="273">
        <f>'Key Inputs_New Techs'!AJ83</f>
        <v>1.1790837797258791</v>
      </c>
      <c r="AQ154" s="273">
        <f>'Key Inputs_New Techs'!AK83</f>
        <v>1.1790837797258791</v>
      </c>
      <c r="AR154" s="273">
        <f>'Key Inputs_New Techs'!AL83</f>
        <v>1.1790837797258791</v>
      </c>
    </row>
    <row r="155" spans="1:44" s="113" customFormat="1" ht="15.75" x14ac:dyDescent="0.25">
      <c r="A155" s="245"/>
      <c r="B155" s="245"/>
      <c r="C155" s="245"/>
      <c r="D155" s="245"/>
      <c r="E155" s="245"/>
      <c r="F155" s="245"/>
      <c r="G155" s="245"/>
      <c r="H155" s="245"/>
      <c r="I155" s="245"/>
      <c r="J155" s="118"/>
      <c r="K155" s="201" t="str">
        <f>IF('Key Inputs_New Techs'!B84="","",'Key Inputs_New Techs'!B84)</f>
        <v/>
      </c>
      <c r="L155" s="109" t="str">
        <f>IFERROR(VLOOKUP(K$153,'Commodities &amp; Processes'!L:M,2,FALSE),"")</f>
        <v>RSD Thermal uses technology: Electricity Ground Heat Pump (Imp.) -New</v>
      </c>
      <c r="M155" s="109"/>
      <c r="N155" s="109">
        <f>'Key Inputs_New Techs'!H84</f>
        <v>2050</v>
      </c>
      <c r="O155" s="114" t="s">
        <v>37</v>
      </c>
      <c r="P155" s="120" t="s">
        <v>174</v>
      </c>
      <c r="Q155" s="273">
        <f>'Key Inputs_New Techs'!K84</f>
        <v>1.4996312315301439</v>
      </c>
      <c r="R155" s="273">
        <f>'Key Inputs_New Techs'!L84</f>
        <v>1.4996312315301439</v>
      </c>
      <c r="S155" s="273">
        <f>'Key Inputs_New Techs'!M84</f>
        <v>1.4996312315301439</v>
      </c>
      <c r="T155" s="273">
        <f>'Key Inputs_New Techs'!N84</f>
        <v>1.4996312315301439</v>
      </c>
      <c r="U155" s="273">
        <f>'Key Inputs_New Techs'!O84</f>
        <v>1.4996312315301439</v>
      </c>
      <c r="V155" s="273">
        <f>'Key Inputs_New Techs'!P84</f>
        <v>1.4996312315301439</v>
      </c>
      <c r="W155" s="273">
        <f>'Key Inputs_New Techs'!Q84</f>
        <v>1.4996312315301439</v>
      </c>
      <c r="X155" s="273">
        <f>'Key Inputs_New Techs'!R84</f>
        <v>1.4996312315301439</v>
      </c>
      <c r="Y155" s="273">
        <f>'Key Inputs_New Techs'!S84</f>
        <v>1.4996312315301439</v>
      </c>
      <c r="Z155" s="273">
        <f>'Key Inputs_New Techs'!T84</f>
        <v>1.4996312315301439</v>
      </c>
      <c r="AA155" s="273">
        <f>'Key Inputs_New Techs'!U84</f>
        <v>1.4996312315301439</v>
      </c>
      <c r="AB155" s="273">
        <f>'Key Inputs_New Techs'!V84</f>
        <v>1.4996312315301439</v>
      </c>
      <c r="AC155" s="273">
        <f>'Key Inputs_New Techs'!W84</f>
        <v>1.4996312315301439</v>
      </c>
      <c r="AD155" s="273">
        <f>'Key Inputs_New Techs'!X84</f>
        <v>1.4996312315301439</v>
      </c>
      <c r="AE155" s="273">
        <f>'Key Inputs_New Techs'!Y84</f>
        <v>1.4996312315301439</v>
      </c>
      <c r="AF155" s="273">
        <f>'Key Inputs_New Techs'!Z84</f>
        <v>1.4996312315301439</v>
      </c>
      <c r="AG155" s="273">
        <f>'Key Inputs_New Techs'!AA84</f>
        <v>1.4996312315301439</v>
      </c>
      <c r="AH155" s="273">
        <f>'Key Inputs_New Techs'!AB84</f>
        <v>1.4996312315301439</v>
      </c>
      <c r="AI155" s="273">
        <f>'Key Inputs_New Techs'!AC84</f>
        <v>1.4996312315301439</v>
      </c>
      <c r="AJ155" s="273">
        <f>'Key Inputs_New Techs'!AD84</f>
        <v>1.4996312315301439</v>
      </c>
      <c r="AK155" s="273">
        <f>'Key Inputs_New Techs'!AE84</f>
        <v>1.4996312315301439</v>
      </c>
      <c r="AL155" s="273">
        <f>'Key Inputs_New Techs'!AF84</f>
        <v>1.4996312315301439</v>
      </c>
      <c r="AM155" s="273">
        <f>'Key Inputs_New Techs'!AG84</f>
        <v>1.4996312315301439</v>
      </c>
      <c r="AN155" s="273">
        <f>'Key Inputs_New Techs'!AH84</f>
        <v>1.4996312315301439</v>
      </c>
      <c r="AO155" s="273">
        <f>'Key Inputs_New Techs'!AI84</f>
        <v>1.4996312315301439</v>
      </c>
      <c r="AP155" s="273">
        <f>'Key Inputs_New Techs'!AJ84</f>
        <v>1.4996312315301439</v>
      </c>
      <c r="AQ155" s="273">
        <f>'Key Inputs_New Techs'!AK84</f>
        <v>1.4996312315301439</v>
      </c>
      <c r="AR155" s="273">
        <f>'Key Inputs_New Techs'!AL84</f>
        <v>1.4996312315301439</v>
      </c>
    </row>
    <row r="156" spans="1:44" s="113" customFormat="1" ht="15.75" x14ac:dyDescent="0.25">
      <c r="A156" s="245"/>
      <c r="B156" s="245"/>
      <c r="C156" s="245"/>
      <c r="D156" s="245"/>
      <c r="E156" s="245"/>
      <c r="F156" s="245"/>
      <c r="G156" s="245"/>
      <c r="H156" s="245"/>
      <c r="I156" s="245"/>
      <c r="J156" s="118"/>
      <c r="K156" s="201" t="str">
        <f>IF('Key Inputs_New Techs'!B85="","",'Key Inputs_New Techs'!B85)</f>
        <v>R-THH-HPG_ELC03</v>
      </c>
      <c r="L156" s="109" t="str">
        <f>IFERROR(VLOOKUP(K$156,'Commodities &amp; Processes'!L:M,2,FALSE),"")</f>
        <v>RSD Thermal uses technology: Electricity Ground Heat Pump (Adv.) -New</v>
      </c>
      <c r="M156" s="109"/>
      <c r="N156" s="109">
        <f>'Key Inputs_New Techs'!H85</f>
        <v>2030</v>
      </c>
      <c r="O156" s="114" t="s">
        <v>37</v>
      </c>
      <c r="P156" s="120" t="s">
        <v>174</v>
      </c>
      <c r="Q156" s="273">
        <f>'Key Inputs_New Techs'!K85</f>
        <v>1.187505806723921</v>
      </c>
      <c r="R156" s="273">
        <f>'Key Inputs_New Techs'!L85</f>
        <v>1.187505806723921</v>
      </c>
      <c r="S156" s="273">
        <f>'Key Inputs_New Techs'!M85</f>
        <v>1.187505806723921</v>
      </c>
      <c r="T156" s="273">
        <f>'Key Inputs_New Techs'!N85</f>
        <v>1.187505806723921</v>
      </c>
      <c r="U156" s="273">
        <f>'Key Inputs_New Techs'!O85</f>
        <v>1.187505806723921</v>
      </c>
      <c r="V156" s="273">
        <f>'Key Inputs_New Techs'!P85</f>
        <v>1.187505806723921</v>
      </c>
      <c r="W156" s="273">
        <f>'Key Inputs_New Techs'!Q85</f>
        <v>1.187505806723921</v>
      </c>
      <c r="X156" s="273">
        <f>'Key Inputs_New Techs'!R85</f>
        <v>1.187505806723921</v>
      </c>
      <c r="Y156" s="273">
        <f>'Key Inputs_New Techs'!S85</f>
        <v>1.187505806723921</v>
      </c>
      <c r="Z156" s="273">
        <f>'Key Inputs_New Techs'!T85</f>
        <v>1.187505806723921</v>
      </c>
      <c r="AA156" s="273">
        <f>'Key Inputs_New Techs'!U85</f>
        <v>1.187505806723921</v>
      </c>
      <c r="AB156" s="273">
        <f>'Key Inputs_New Techs'!V85</f>
        <v>1.187505806723921</v>
      </c>
      <c r="AC156" s="273">
        <f>'Key Inputs_New Techs'!W85</f>
        <v>1.187505806723921</v>
      </c>
      <c r="AD156" s="273">
        <f>'Key Inputs_New Techs'!X85</f>
        <v>1.187505806723921</v>
      </c>
      <c r="AE156" s="273">
        <f>'Key Inputs_New Techs'!Y85</f>
        <v>1.187505806723921</v>
      </c>
      <c r="AF156" s="273">
        <f>'Key Inputs_New Techs'!Z85</f>
        <v>1.187505806723921</v>
      </c>
      <c r="AG156" s="273">
        <f>'Key Inputs_New Techs'!AA85</f>
        <v>1.187505806723921</v>
      </c>
      <c r="AH156" s="273">
        <f>'Key Inputs_New Techs'!AB85</f>
        <v>1.187505806723921</v>
      </c>
      <c r="AI156" s="273">
        <f>'Key Inputs_New Techs'!AC85</f>
        <v>1.187505806723921</v>
      </c>
      <c r="AJ156" s="273">
        <f>'Key Inputs_New Techs'!AD85</f>
        <v>1.187505806723921</v>
      </c>
      <c r="AK156" s="273">
        <f>'Key Inputs_New Techs'!AE85</f>
        <v>1.187505806723921</v>
      </c>
      <c r="AL156" s="273">
        <f>'Key Inputs_New Techs'!AF85</f>
        <v>1.187505806723921</v>
      </c>
      <c r="AM156" s="273">
        <f>'Key Inputs_New Techs'!AG85</f>
        <v>1.187505806723921</v>
      </c>
      <c r="AN156" s="273">
        <f>'Key Inputs_New Techs'!AH85</f>
        <v>1.187505806723921</v>
      </c>
      <c r="AO156" s="273">
        <f>'Key Inputs_New Techs'!AI85</f>
        <v>1.187505806723921</v>
      </c>
      <c r="AP156" s="273">
        <f>'Key Inputs_New Techs'!AJ85</f>
        <v>1.187505806723921</v>
      </c>
      <c r="AQ156" s="273">
        <f>'Key Inputs_New Techs'!AK85</f>
        <v>1.187505806723921</v>
      </c>
      <c r="AR156" s="273">
        <f>'Key Inputs_New Techs'!AL85</f>
        <v>1.187505806723921</v>
      </c>
    </row>
    <row r="157" spans="1:44" s="113" customFormat="1" ht="15.75" x14ac:dyDescent="0.25">
      <c r="A157" s="245"/>
      <c r="B157" s="245"/>
      <c r="C157" s="245"/>
      <c r="D157" s="245"/>
      <c r="E157" s="245"/>
      <c r="F157" s="245"/>
      <c r="G157" s="245"/>
      <c r="H157" s="245"/>
      <c r="I157" s="245"/>
      <c r="J157" s="118"/>
      <c r="K157" s="201" t="str">
        <f>IF('Key Inputs_New Techs'!B86="","",'Key Inputs_New Techs'!B86)</f>
        <v/>
      </c>
      <c r="L157" s="109" t="str">
        <f>IFERROR(VLOOKUP(K$156,'Commodities &amp; Processes'!L:M,2,FALSE),"")</f>
        <v>RSD Thermal uses technology: Electricity Ground Heat Pump (Adv.) -New</v>
      </c>
      <c r="M157" s="109"/>
      <c r="N157" s="109">
        <f>'Key Inputs_New Techs'!H86</f>
        <v>2050</v>
      </c>
      <c r="O157" s="114" t="s">
        <v>37</v>
      </c>
      <c r="P157" s="120" t="s">
        <v>174</v>
      </c>
      <c r="Q157" s="273">
        <f>'Key Inputs_New Techs'!K86</f>
        <v>1.8057295178530399</v>
      </c>
      <c r="R157" s="273">
        <f>'Key Inputs_New Techs'!L86</f>
        <v>1.8057295178530399</v>
      </c>
      <c r="S157" s="273">
        <f>'Key Inputs_New Techs'!M86</f>
        <v>1.8057295178530399</v>
      </c>
      <c r="T157" s="273">
        <f>'Key Inputs_New Techs'!N86</f>
        <v>1.8057295178530399</v>
      </c>
      <c r="U157" s="273">
        <f>'Key Inputs_New Techs'!O86</f>
        <v>1.8057295178530399</v>
      </c>
      <c r="V157" s="273">
        <f>'Key Inputs_New Techs'!P86</f>
        <v>1.8057295178530399</v>
      </c>
      <c r="W157" s="273">
        <f>'Key Inputs_New Techs'!Q86</f>
        <v>1.8057295178530399</v>
      </c>
      <c r="X157" s="273">
        <f>'Key Inputs_New Techs'!R86</f>
        <v>1.8057295178530399</v>
      </c>
      <c r="Y157" s="273">
        <f>'Key Inputs_New Techs'!S86</f>
        <v>1.8057295178530399</v>
      </c>
      <c r="Z157" s="273">
        <f>'Key Inputs_New Techs'!T86</f>
        <v>1.8057295178530399</v>
      </c>
      <c r="AA157" s="273">
        <f>'Key Inputs_New Techs'!U86</f>
        <v>1.8057295178530399</v>
      </c>
      <c r="AB157" s="273">
        <f>'Key Inputs_New Techs'!V86</f>
        <v>1.8057295178530399</v>
      </c>
      <c r="AC157" s="273">
        <f>'Key Inputs_New Techs'!W86</f>
        <v>1.8057295178530399</v>
      </c>
      <c r="AD157" s="273">
        <f>'Key Inputs_New Techs'!X86</f>
        <v>1.8057295178530399</v>
      </c>
      <c r="AE157" s="273">
        <f>'Key Inputs_New Techs'!Y86</f>
        <v>1.8057295178530399</v>
      </c>
      <c r="AF157" s="273">
        <f>'Key Inputs_New Techs'!Z86</f>
        <v>1.8057295178530399</v>
      </c>
      <c r="AG157" s="273">
        <f>'Key Inputs_New Techs'!AA86</f>
        <v>1.8057295178530399</v>
      </c>
      <c r="AH157" s="273">
        <f>'Key Inputs_New Techs'!AB86</f>
        <v>1.8057295178530399</v>
      </c>
      <c r="AI157" s="273">
        <f>'Key Inputs_New Techs'!AC86</f>
        <v>1.8057295178530399</v>
      </c>
      <c r="AJ157" s="273">
        <f>'Key Inputs_New Techs'!AD86</f>
        <v>1.8057295178530399</v>
      </c>
      <c r="AK157" s="273">
        <f>'Key Inputs_New Techs'!AE86</f>
        <v>1.8057295178530399</v>
      </c>
      <c r="AL157" s="273">
        <f>'Key Inputs_New Techs'!AF86</f>
        <v>1.8057295178530399</v>
      </c>
      <c r="AM157" s="273">
        <f>'Key Inputs_New Techs'!AG86</f>
        <v>1.8057295178530399</v>
      </c>
      <c r="AN157" s="273">
        <f>'Key Inputs_New Techs'!AH86</f>
        <v>1.8057295178530399</v>
      </c>
      <c r="AO157" s="273">
        <f>'Key Inputs_New Techs'!AI86</f>
        <v>1.8057295178530399</v>
      </c>
      <c r="AP157" s="273">
        <f>'Key Inputs_New Techs'!AJ86</f>
        <v>1.8057295178530399</v>
      </c>
      <c r="AQ157" s="273">
        <f>'Key Inputs_New Techs'!AK86</f>
        <v>1.8057295178530399</v>
      </c>
      <c r="AR157" s="273">
        <f>'Key Inputs_New Techs'!AL86</f>
        <v>1.8057295178530399</v>
      </c>
    </row>
    <row r="158" spans="1:44" s="113" customFormat="1" ht="15.75" x14ac:dyDescent="0.25">
      <c r="A158" s="245"/>
      <c r="B158" s="245"/>
      <c r="C158" s="245"/>
      <c r="D158" s="245"/>
      <c r="E158" s="245"/>
      <c r="F158" s="245"/>
      <c r="G158" s="245"/>
      <c r="H158" s="245"/>
      <c r="I158" s="245"/>
      <c r="J158" s="118"/>
      <c r="K158" s="201" t="str">
        <f>IF('Key Inputs_New Techs'!B87="","",'Key Inputs_New Techs'!B87)</f>
        <v>R-THH-HEX_HET01</v>
      </c>
      <c r="L158" s="109" t="str">
        <f>IFERROR(VLOOKUP(K158,'Commodities &amp; Processes'!L:M,2,FALSE),"")</f>
        <v>RSD Thermal uses technology: Heat District Heat (Ord.) -New</v>
      </c>
      <c r="M158" s="109"/>
      <c r="N158" s="109">
        <f>'Key Inputs_New Techs'!H87</f>
        <v>2020</v>
      </c>
      <c r="O158" s="114" t="s">
        <v>37</v>
      </c>
      <c r="P158" s="120" t="s">
        <v>174</v>
      </c>
      <c r="Q158" s="273">
        <f>'Key Inputs_New Techs'!K87</f>
        <v>0.72320888520081605</v>
      </c>
      <c r="R158" s="273">
        <f>'Key Inputs_New Techs'!L87</f>
        <v>0.72320888520081605</v>
      </c>
      <c r="S158" s="273">
        <f>'Key Inputs_New Techs'!M87</f>
        <v>0.72320888520081605</v>
      </c>
      <c r="T158" s="273">
        <f>'Key Inputs_New Techs'!N87</f>
        <v>0.72320888520081605</v>
      </c>
      <c r="U158" s="273">
        <f>'Key Inputs_New Techs'!O87</f>
        <v>0.72320888520081605</v>
      </c>
      <c r="V158" s="273">
        <f>'Key Inputs_New Techs'!P87</f>
        <v>0.72320888520081605</v>
      </c>
      <c r="W158" s="273">
        <f>'Key Inputs_New Techs'!Q87</f>
        <v>0.72320888520081605</v>
      </c>
      <c r="X158" s="273">
        <f>'Key Inputs_New Techs'!R87</f>
        <v>0.72320888520081605</v>
      </c>
      <c r="Y158" s="273">
        <f>'Key Inputs_New Techs'!S87</f>
        <v>0.72320888520081605</v>
      </c>
      <c r="Z158" s="273">
        <f>'Key Inputs_New Techs'!T87</f>
        <v>0.72320888520081605</v>
      </c>
      <c r="AA158" s="273">
        <f>'Key Inputs_New Techs'!U87</f>
        <v>0.72320888520081605</v>
      </c>
      <c r="AB158" s="273">
        <f>'Key Inputs_New Techs'!V87</f>
        <v>0.72320888520081605</v>
      </c>
      <c r="AC158" s="273">
        <f>'Key Inputs_New Techs'!W87</f>
        <v>0.72320888520081605</v>
      </c>
      <c r="AD158" s="273">
        <f>'Key Inputs_New Techs'!X87</f>
        <v>0.72320888520081605</v>
      </c>
      <c r="AE158" s="273">
        <f>'Key Inputs_New Techs'!Y87</f>
        <v>0.72320888520081605</v>
      </c>
      <c r="AF158" s="273">
        <f>'Key Inputs_New Techs'!Z87</f>
        <v>0.72320888520081605</v>
      </c>
      <c r="AG158" s="273">
        <f>'Key Inputs_New Techs'!AA87</f>
        <v>0.72320888520081605</v>
      </c>
      <c r="AH158" s="273">
        <f>'Key Inputs_New Techs'!AB87</f>
        <v>0.72320888520081605</v>
      </c>
      <c r="AI158" s="273">
        <f>'Key Inputs_New Techs'!AC87</f>
        <v>0.72320888520081605</v>
      </c>
      <c r="AJ158" s="273">
        <f>'Key Inputs_New Techs'!AD87</f>
        <v>0.72320888520081605</v>
      </c>
      <c r="AK158" s="273">
        <f>'Key Inputs_New Techs'!AE87</f>
        <v>0.72320888520081605</v>
      </c>
      <c r="AL158" s="273">
        <f>'Key Inputs_New Techs'!AF87</f>
        <v>0.72320888520081605</v>
      </c>
      <c r="AM158" s="273">
        <f>'Key Inputs_New Techs'!AG87</f>
        <v>0.72320888520081605</v>
      </c>
      <c r="AN158" s="273">
        <f>'Key Inputs_New Techs'!AH87</f>
        <v>0.72320888520081605</v>
      </c>
      <c r="AO158" s="273">
        <f>'Key Inputs_New Techs'!AI87</f>
        <v>0.72320888520081605</v>
      </c>
      <c r="AP158" s="273">
        <f>'Key Inputs_New Techs'!AJ87</f>
        <v>0.72320888520081605</v>
      </c>
      <c r="AQ158" s="273">
        <f>'Key Inputs_New Techs'!AK87</f>
        <v>0.72320888520081605</v>
      </c>
      <c r="AR158" s="273">
        <f>'Key Inputs_New Techs'!AL87</f>
        <v>0.72320888520081605</v>
      </c>
    </row>
    <row r="159" spans="1:44" s="113" customFormat="1" ht="15.75" x14ac:dyDescent="0.25">
      <c r="A159" s="245"/>
      <c r="B159" s="245"/>
      <c r="C159" s="245"/>
      <c r="D159" s="245"/>
      <c r="E159" s="245"/>
      <c r="F159" s="245"/>
      <c r="G159" s="245"/>
      <c r="H159" s="245"/>
      <c r="I159" s="245"/>
      <c r="J159" s="118"/>
      <c r="K159" s="201" t="str">
        <f>IF('Key Inputs_New Techs'!B88="","",'Key Inputs_New Techs'!B88)</f>
        <v>R-THH-HEX_HET02</v>
      </c>
      <c r="L159" s="109" t="str">
        <f>IFERROR(VLOOKUP(K$159,'Commodities &amp; Processes'!L:M,2,FALSE),"")</f>
        <v>RSD Thermal uses technology: Heat District Heat (Imp.) -New</v>
      </c>
      <c r="M159" s="109"/>
      <c r="N159" s="109">
        <f>'Key Inputs_New Techs'!H88</f>
        <v>2025</v>
      </c>
      <c r="O159" s="114" t="s">
        <v>37</v>
      </c>
      <c r="P159" s="120" t="s">
        <v>174</v>
      </c>
      <c r="Q159" s="273">
        <f>'Key Inputs_New Techs'!K88</f>
        <v>0.72320888520081605</v>
      </c>
      <c r="R159" s="273">
        <f>'Key Inputs_New Techs'!L88</f>
        <v>0.72320888520081605</v>
      </c>
      <c r="S159" s="273">
        <f>'Key Inputs_New Techs'!M88</f>
        <v>0.72320888520081605</v>
      </c>
      <c r="T159" s="273">
        <f>'Key Inputs_New Techs'!N88</f>
        <v>0.72320888520081605</v>
      </c>
      <c r="U159" s="273">
        <f>'Key Inputs_New Techs'!O88</f>
        <v>0.72320888520081605</v>
      </c>
      <c r="V159" s="273">
        <f>'Key Inputs_New Techs'!P88</f>
        <v>0.72320888520081605</v>
      </c>
      <c r="W159" s="273">
        <f>'Key Inputs_New Techs'!Q88</f>
        <v>0.72320888520081605</v>
      </c>
      <c r="X159" s="273">
        <f>'Key Inputs_New Techs'!R88</f>
        <v>0.72320888520081605</v>
      </c>
      <c r="Y159" s="273">
        <f>'Key Inputs_New Techs'!S88</f>
        <v>0.72320888520081605</v>
      </c>
      <c r="Z159" s="273">
        <f>'Key Inputs_New Techs'!T88</f>
        <v>0.72320888520081605</v>
      </c>
      <c r="AA159" s="273">
        <f>'Key Inputs_New Techs'!U88</f>
        <v>0.72320888520081605</v>
      </c>
      <c r="AB159" s="273">
        <f>'Key Inputs_New Techs'!V88</f>
        <v>0.72320888520081605</v>
      </c>
      <c r="AC159" s="273">
        <f>'Key Inputs_New Techs'!W88</f>
        <v>0.72320888520081605</v>
      </c>
      <c r="AD159" s="273">
        <f>'Key Inputs_New Techs'!X88</f>
        <v>0.72320888520081605</v>
      </c>
      <c r="AE159" s="273">
        <f>'Key Inputs_New Techs'!Y88</f>
        <v>0.72320888520081605</v>
      </c>
      <c r="AF159" s="273">
        <f>'Key Inputs_New Techs'!Z88</f>
        <v>0.72320888520081605</v>
      </c>
      <c r="AG159" s="273">
        <f>'Key Inputs_New Techs'!AA88</f>
        <v>0.72320888520081605</v>
      </c>
      <c r="AH159" s="273">
        <f>'Key Inputs_New Techs'!AB88</f>
        <v>0.72320888520081605</v>
      </c>
      <c r="AI159" s="273">
        <f>'Key Inputs_New Techs'!AC88</f>
        <v>0.72320888520081605</v>
      </c>
      <c r="AJ159" s="273">
        <f>'Key Inputs_New Techs'!AD88</f>
        <v>0.72320888520081605</v>
      </c>
      <c r="AK159" s="273">
        <f>'Key Inputs_New Techs'!AE88</f>
        <v>0.72320888520081605</v>
      </c>
      <c r="AL159" s="273">
        <f>'Key Inputs_New Techs'!AF88</f>
        <v>0.72320888520081605</v>
      </c>
      <c r="AM159" s="273">
        <f>'Key Inputs_New Techs'!AG88</f>
        <v>0.72320888520081605</v>
      </c>
      <c r="AN159" s="273">
        <f>'Key Inputs_New Techs'!AH88</f>
        <v>0.72320888520081605</v>
      </c>
      <c r="AO159" s="273">
        <f>'Key Inputs_New Techs'!AI88</f>
        <v>0.72320888520081605</v>
      </c>
      <c r="AP159" s="273">
        <f>'Key Inputs_New Techs'!AJ88</f>
        <v>0.72320888520081605</v>
      </c>
      <c r="AQ159" s="273">
        <f>'Key Inputs_New Techs'!AK88</f>
        <v>0.72320888520081605</v>
      </c>
      <c r="AR159" s="273">
        <f>'Key Inputs_New Techs'!AL88</f>
        <v>0.72320888520081605</v>
      </c>
    </row>
    <row r="160" spans="1:44" s="113" customFormat="1" ht="15.75" x14ac:dyDescent="0.25">
      <c r="A160" s="245"/>
      <c r="B160" s="245"/>
      <c r="C160" s="245"/>
      <c r="D160" s="245"/>
      <c r="E160" s="245"/>
      <c r="F160" s="245"/>
      <c r="G160" s="245"/>
      <c r="H160" s="245"/>
      <c r="I160" s="245"/>
      <c r="J160" s="118"/>
      <c r="K160" s="201" t="str">
        <f>IF('Key Inputs_New Techs'!B89="","",'Key Inputs_New Techs'!B89)</f>
        <v/>
      </c>
      <c r="L160" s="109" t="str">
        <f>IFERROR(VLOOKUP(K$159,'Commodities &amp; Processes'!L:M,2,FALSE),"")</f>
        <v>RSD Thermal uses technology: Heat District Heat (Imp.) -New</v>
      </c>
      <c r="M160" s="109"/>
      <c r="N160" s="109">
        <f>'Key Inputs_New Techs'!H89</f>
        <v>2030</v>
      </c>
      <c r="O160" s="114" t="s">
        <v>37</v>
      </c>
      <c r="P160" s="120" t="s">
        <v>174</v>
      </c>
      <c r="Q160" s="273">
        <f>'Key Inputs_New Techs'!K89</f>
        <v>0.74299999999999999</v>
      </c>
      <c r="R160" s="273">
        <f>'Key Inputs_New Techs'!L89</f>
        <v>0.74299999999999999</v>
      </c>
      <c r="S160" s="273">
        <f>'Key Inputs_New Techs'!M89</f>
        <v>0.74299999999999999</v>
      </c>
      <c r="T160" s="273">
        <f>'Key Inputs_New Techs'!N89</f>
        <v>0.74299999999999999</v>
      </c>
      <c r="U160" s="273">
        <f>'Key Inputs_New Techs'!O89</f>
        <v>0.74299999999999999</v>
      </c>
      <c r="V160" s="273">
        <f>'Key Inputs_New Techs'!P89</f>
        <v>0.74299999999999999</v>
      </c>
      <c r="W160" s="273">
        <f>'Key Inputs_New Techs'!Q89</f>
        <v>0.74299999999999999</v>
      </c>
      <c r="X160" s="273">
        <f>'Key Inputs_New Techs'!R89</f>
        <v>0.74299999999999999</v>
      </c>
      <c r="Y160" s="273">
        <f>'Key Inputs_New Techs'!S89</f>
        <v>0.74299999999999999</v>
      </c>
      <c r="Z160" s="273">
        <f>'Key Inputs_New Techs'!T89</f>
        <v>0.74299999999999999</v>
      </c>
      <c r="AA160" s="273">
        <f>'Key Inputs_New Techs'!U89</f>
        <v>0.74299999999999999</v>
      </c>
      <c r="AB160" s="273">
        <f>'Key Inputs_New Techs'!V89</f>
        <v>0.74299999999999999</v>
      </c>
      <c r="AC160" s="273">
        <f>'Key Inputs_New Techs'!W89</f>
        <v>0.74299999999999999</v>
      </c>
      <c r="AD160" s="273">
        <f>'Key Inputs_New Techs'!X89</f>
        <v>0.74299999999999999</v>
      </c>
      <c r="AE160" s="273">
        <f>'Key Inputs_New Techs'!Y89</f>
        <v>0.74299999999999999</v>
      </c>
      <c r="AF160" s="273">
        <f>'Key Inputs_New Techs'!Z89</f>
        <v>0.74299999999999999</v>
      </c>
      <c r="AG160" s="273">
        <f>'Key Inputs_New Techs'!AA89</f>
        <v>0.74299999999999999</v>
      </c>
      <c r="AH160" s="273">
        <f>'Key Inputs_New Techs'!AB89</f>
        <v>0.74299999999999999</v>
      </c>
      <c r="AI160" s="273">
        <f>'Key Inputs_New Techs'!AC89</f>
        <v>0.74299999999999999</v>
      </c>
      <c r="AJ160" s="273">
        <f>'Key Inputs_New Techs'!AD89</f>
        <v>0.74299999999999999</v>
      </c>
      <c r="AK160" s="273">
        <f>'Key Inputs_New Techs'!AE89</f>
        <v>0.74299999999999999</v>
      </c>
      <c r="AL160" s="273">
        <f>'Key Inputs_New Techs'!AF89</f>
        <v>0.74299999999999999</v>
      </c>
      <c r="AM160" s="273">
        <f>'Key Inputs_New Techs'!AG89</f>
        <v>0.74299999999999999</v>
      </c>
      <c r="AN160" s="273">
        <f>'Key Inputs_New Techs'!AH89</f>
        <v>0.74299999999999999</v>
      </c>
      <c r="AO160" s="273">
        <f>'Key Inputs_New Techs'!AI89</f>
        <v>0.74299999999999999</v>
      </c>
      <c r="AP160" s="273">
        <f>'Key Inputs_New Techs'!AJ89</f>
        <v>0.74299999999999999</v>
      </c>
      <c r="AQ160" s="273">
        <f>'Key Inputs_New Techs'!AK89</f>
        <v>0.74299999999999999</v>
      </c>
      <c r="AR160" s="273">
        <f>'Key Inputs_New Techs'!AL89</f>
        <v>0.74299999999999999</v>
      </c>
    </row>
    <row r="161" spans="1:44" s="113" customFormat="1" ht="15.75" x14ac:dyDescent="0.25">
      <c r="A161" s="245"/>
      <c r="B161" s="245"/>
      <c r="C161" s="245"/>
      <c r="D161" s="245"/>
      <c r="E161" s="245"/>
      <c r="F161" s="245"/>
      <c r="G161" s="245"/>
      <c r="H161" s="245"/>
      <c r="I161" s="245"/>
      <c r="J161" s="118"/>
      <c r="K161" s="201" t="str">
        <f>IF('Key Inputs_New Techs'!B90="","",'Key Inputs_New Techs'!B90)</f>
        <v/>
      </c>
      <c r="L161" s="109" t="str">
        <f>IFERROR(VLOOKUP(K$159,'Commodities &amp; Processes'!L:M,2,FALSE),"")</f>
        <v>RSD Thermal uses technology: Heat District Heat (Imp.) -New</v>
      </c>
      <c r="M161" s="109"/>
      <c r="N161" s="109">
        <f>'Key Inputs_New Techs'!H90</f>
        <v>2050</v>
      </c>
      <c r="O161" s="114" t="s">
        <v>37</v>
      </c>
      <c r="P161" s="120" t="s">
        <v>174</v>
      </c>
      <c r="Q161" s="273">
        <f>'Key Inputs_New Techs'!K90</f>
        <v>0.7569999999999999</v>
      </c>
      <c r="R161" s="273">
        <f>'Key Inputs_New Techs'!L90</f>
        <v>0.7569999999999999</v>
      </c>
      <c r="S161" s="273">
        <f>'Key Inputs_New Techs'!M90</f>
        <v>0.7569999999999999</v>
      </c>
      <c r="T161" s="273">
        <f>'Key Inputs_New Techs'!N90</f>
        <v>0.7569999999999999</v>
      </c>
      <c r="U161" s="273">
        <f>'Key Inputs_New Techs'!O90</f>
        <v>0.7569999999999999</v>
      </c>
      <c r="V161" s="273">
        <f>'Key Inputs_New Techs'!P90</f>
        <v>0.7569999999999999</v>
      </c>
      <c r="W161" s="273">
        <f>'Key Inputs_New Techs'!Q90</f>
        <v>0.7569999999999999</v>
      </c>
      <c r="X161" s="273">
        <f>'Key Inputs_New Techs'!R90</f>
        <v>0.7569999999999999</v>
      </c>
      <c r="Y161" s="273">
        <f>'Key Inputs_New Techs'!S90</f>
        <v>0.7569999999999999</v>
      </c>
      <c r="Z161" s="273">
        <f>'Key Inputs_New Techs'!T90</f>
        <v>0.7569999999999999</v>
      </c>
      <c r="AA161" s="273">
        <f>'Key Inputs_New Techs'!U90</f>
        <v>0.7569999999999999</v>
      </c>
      <c r="AB161" s="273">
        <f>'Key Inputs_New Techs'!V90</f>
        <v>0.7569999999999999</v>
      </c>
      <c r="AC161" s="273">
        <f>'Key Inputs_New Techs'!W90</f>
        <v>0.7569999999999999</v>
      </c>
      <c r="AD161" s="273">
        <f>'Key Inputs_New Techs'!X90</f>
        <v>0.7569999999999999</v>
      </c>
      <c r="AE161" s="273">
        <f>'Key Inputs_New Techs'!Y90</f>
        <v>0.7569999999999999</v>
      </c>
      <c r="AF161" s="273">
        <f>'Key Inputs_New Techs'!Z90</f>
        <v>0.7569999999999999</v>
      </c>
      <c r="AG161" s="273">
        <f>'Key Inputs_New Techs'!AA90</f>
        <v>0.7569999999999999</v>
      </c>
      <c r="AH161" s="273">
        <f>'Key Inputs_New Techs'!AB90</f>
        <v>0.7569999999999999</v>
      </c>
      <c r="AI161" s="273">
        <f>'Key Inputs_New Techs'!AC90</f>
        <v>0.7569999999999999</v>
      </c>
      <c r="AJ161" s="273">
        <f>'Key Inputs_New Techs'!AD90</f>
        <v>0.7569999999999999</v>
      </c>
      <c r="AK161" s="273">
        <f>'Key Inputs_New Techs'!AE90</f>
        <v>0.7569999999999999</v>
      </c>
      <c r="AL161" s="273">
        <f>'Key Inputs_New Techs'!AF90</f>
        <v>0.7569999999999999</v>
      </c>
      <c r="AM161" s="273">
        <f>'Key Inputs_New Techs'!AG90</f>
        <v>0.7569999999999999</v>
      </c>
      <c r="AN161" s="273">
        <f>'Key Inputs_New Techs'!AH90</f>
        <v>0.7569999999999999</v>
      </c>
      <c r="AO161" s="273">
        <f>'Key Inputs_New Techs'!AI90</f>
        <v>0.7569999999999999</v>
      </c>
      <c r="AP161" s="273">
        <f>'Key Inputs_New Techs'!AJ90</f>
        <v>0.7569999999999999</v>
      </c>
      <c r="AQ161" s="273">
        <f>'Key Inputs_New Techs'!AK90</f>
        <v>0.7569999999999999</v>
      </c>
      <c r="AR161" s="273">
        <f>'Key Inputs_New Techs'!AL90</f>
        <v>0.7569999999999999</v>
      </c>
    </row>
    <row r="162" spans="1:44" s="113" customFormat="1" ht="15.75" x14ac:dyDescent="0.25">
      <c r="A162" s="245"/>
      <c r="B162" s="245"/>
      <c r="C162" s="245"/>
      <c r="D162" s="245"/>
      <c r="E162" s="245"/>
      <c r="F162" s="245"/>
      <c r="G162" s="245"/>
      <c r="H162" s="245"/>
      <c r="I162" s="245"/>
      <c r="J162" s="118"/>
      <c r="K162" s="201" t="str">
        <f>IF('Key Inputs_New Techs'!B91="","",'Key Inputs_New Techs'!B91)</f>
        <v>R-THH-BLR_OIL01</v>
      </c>
      <c r="L162" s="109" t="str">
        <f>IFERROR(VLOOKUP(K162,'Commodities &amp; Processes'!L:M,2,FALSE),"")</f>
        <v>RSD Thermal uses technology: Oil, Liquid biofuels Boiler (Ord.) -New</v>
      </c>
      <c r="M162" s="109"/>
      <c r="N162" s="109">
        <f>'Key Inputs_New Techs'!H91</f>
        <v>2020</v>
      </c>
      <c r="O162" s="114" t="s">
        <v>37</v>
      </c>
      <c r="P162" s="120" t="s">
        <v>174</v>
      </c>
      <c r="Q162" s="273">
        <f>'Key Inputs_New Techs'!K91</f>
        <v>0.94340000000000002</v>
      </c>
      <c r="R162" s="273">
        <f>'Key Inputs_New Techs'!L91</f>
        <v>0.94340000000000002</v>
      </c>
      <c r="S162" s="273">
        <f>'Key Inputs_New Techs'!M91</f>
        <v>0.94340000000000002</v>
      </c>
      <c r="T162" s="273">
        <f>'Key Inputs_New Techs'!N91</f>
        <v>0.94340000000000002</v>
      </c>
      <c r="U162" s="273">
        <f>'Key Inputs_New Techs'!O91</f>
        <v>0.94340000000000002</v>
      </c>
      <c r="V162" s="273">
        <f>'Key Inputs_New Techs'!P91</f>
        <v>0.94340000000000002</v>
      </c>
      <c r="W162" s="273">
        <f>'Key Inputs_New Techs'!Q91</f>
        <v>0.94340000000000002</v>
      </c>
      <c r="X162" s="273">
        <f>'Key Inputs_New Techs'!R91</f>
        <v>0.94340000000000002</v>
      </c>
      <c r="Y162" s="273">
        <f>'Key Inputs_New Techs'!S91</f>
        <v>0.94340000000000002</v>
      </c>
      <c r="Z162" s="273">
        <f>'Key Inputs_New Techs'!T91</f>
        <v>0.94340000000000002</v>
      </c>
      <c r="AA162" s="273">
        <f>'Key Inputs_New Techs'!U91</f>
        <v>0.94340000000000002</v>
      </c>
      <c r="AB162" s="273">
        <f>'Key Inputs_New Techs'!V91</f>
        <v>0.94340000000000002</v>
      </c>
      <c r="AC162" s="273">
        <f>'Key Inputs_New Techs'!W91</f>
        <v>0.94340000000000002</v>
      </c>
      <c r="AD162" s="273">
        <f>'Key Inputs_New Techs'!X91</f>
        <v>0.94340000000000002</v>
      </c>
      <c r="AE162" s="273">
        <f>'Key Inputs_New Techs'!Y91</f>
        <v>0.94340000000000002</v>
      </c>
      <c r="AF162" s="273">
        <f>'Key Inputs_New Techs'!Z91</f>
        <v>0.94340000000000002</v>
      </c>
      <c r="AG162" s="273">
        <f>'Key Inputs_New Techs'!AA91</f>
        <v>0.94340000000000002</v>
      </c>
      <c r="AH162" s="273">
        <f>'Key Inputs_New Techs'!AB91</f>
        <v>0.94340000000000002</v>
      </c>
      <c r="AI162" s="273">
        <f>'Key Inputs_New Techs'!AC91</f>
        <v>0.94340000000000002</v>
      </c>
      <c r="AJ162" s="273">
        <f>'Key Inputs_New Techs'!AD91</f>
        <v>0.94340000000000002</v>
      </c>
      <c r="AK162" s="273">
        <f>'Key Inputs_New Techs'!AE91</f>
        <v>0.94340000000000002</v>
      </c>
      <c r="AL162" s="273">
        <f>'Key Inputs_New Techs'!AF91</f>
        <v>0.94340000000000002</v>
      </c>
      <c r="AM162" s="273">
        <f>'Key Inputs_New Techs'!AG91</f>
        <v>0.94340000000000002</v>
      </c>
      <c r="AN162" s="273">
        <f>'Key Inputs_New Techs'!AH91</f>
        <v>0.94340000000000002</v>
      </c>
      <c r="AO162" s="273">
        <f>'Key Inputs_New Techs'!AI91</f>
        <v>0.94340000000000002</v>
      </c>
      <c r="AP162" s="273">
        <f>'Key Inputs_New Techs'!AJ91</f>
        <v>0.94340000000000002</v>
      </c>
      <c r="AQ162" s="273">
        <f>'Key Inputs_New Techs'!AK91</f>
        <v>0.94340000000000002</v>
      </c>
      <c r="AR162" s="273">
        <f>'Key Inputs_New Techs'!AL91</f>
        <v>0.94340000000000002</v>
      </c>
    </row>
    <row r="163" spans="1:44" s="113" customFormat="1" ht="15.75" x14ac:dyDescent="0.25">
      <c r="A163" s="245"/>
      <c r="B163" s="245"/>
      <c r="C163" s="245"/>
      <c r="D163" s="245"/>
      <c r="E163" s="245"/>
      <c r="F163" s="245"/>
      <c r="G163" s="245"/>
      <c r="H163" s="245"/>
      <c r="I163" s="245"/>
      <c r="J163" s="118"/>
      <c r="K163" s="201" t="str">
        <f>IF('Key Inputs_New Techs'!B92="","",'Key Inputs_New Techs'!B92)</f>
        <v>R-THH-BLR_OIL02</v>
      </c>
      <c r="L163" s="109" t="str">
        <f>IFERROR(VLOOKUP(K163,'Commodities &amp; Processes'!L:M,2,FALSE),"")</f>
        <v>RSD Thermal uses technology: Oil, Liquid biofuels Boiler cond. (Ord.) -New</v>
      </c>
      <c r="M163" s="109"/>
      <c r="N163" s="109">
        <f>'Key Inputs_New Techs'!H92</f>
        <v>2020</v>
      </c>
      <c r="O163" s="114" t="s">
        <v>37</v>
      </c>
      <c r="P163" s="120" t="s">
        <v>174</v>
      </c>
      <c r="Q163" s="273">
        <f>'Key Inputs_New Techs'!K92</f>
        <v>0.9857999999999999</v>
      </c>
      <c r="R163" s="273">
        <f>'Key Inputs_New Techs'!L92</f>
        <v>0.9857999999999999</v>
      </c>
      <c r="S163" s="273">
        <f>'Key Inputs_New Techs'!M92</f>
        <v>0.9857999999999999</v>
      </c>
      <c r="T163" s="273">
        <f>'Key Inputs_New Techs'!N92</f>
        <v>0.9857999999999999</v>
      </c>
      <c r="U163" s="273">
        <f>'Key Inputs_New Techs'!O92</f>
        <v>0.9857999999999999</v>
      </c>
      <c r="V163" s="273">
        <f>'Key Inputs_New Techs'!P92</f>
        <v>0.9857999999999999</v>
      </c>
      <c r="W163" s="273">
        <f>'Key Inputs_New Techs'!Q92</f>
        <v>0.9857999999999999</v>
      </c>
      <c r="X163" s="273">
        <f>'Key Inputs_New Techs'!R92</f>
        <v>0.9857999999999999</v>
      </c>
      <c r="Y163" s="273">
        <f>'Key Inputs_New Techs'!S92</f>
        <v>0.9857999999999999</v>
      </c>
      <c r="Z163" s="273">
        <f>'Key Inputs_New Techs'!T92</f>
        <v>0.9857999999999999</v>
      </c>
      <c r="AA163" s="273">
        <f>'Key Inputs_New Techs'!U92</f>
        <v>0.9857999999999999</v>
      </c>
      <c r="AB163" s="273">
        <f>'Key Inputs_New Techs'!V92</f>
        <v>0.9857999999999999</v>
      </c>
      <c r="AC163" s="273">
        <f>'Key Inputs_New Techs'!W92</f>
        <v>0.9857999999999999</v>
      </c>
      <c r="AD163" s="273">
        <f>'Key Inputs_New Techs'!X92</f>
        <v>0.9857999999999999</v>
      </c>
      <c r="AE163" s="273">
        <f>'Key Inputs_New Techs'!Y92</f>
        <v>0.9857999999999999</v>
      </c>
      <c r="AF163" s="273">
        <f>'Key Inputs_New Techs'!Z92</f>
        <v>0.9857999999999999</v>
      </c>
      <c r="AG163" s="273">
        <f>'Key Inputs_New Techs'!AA92</f>
        <v>0.9857999999999999</v>
      </c>
      <c r="AH163" s="273">
        <f>'Key Inputs_New Techs'!AB92</f>
        <v>0.9857999999999999</v>
      </c>
      <c r="AI163" s="273">
        <f>'Key Inputs_New Techs'!AC92</f>
        <v>0.9857999999999999</v>
      </c>
      <c r="AJ163" s="273">
        <f>'Key Inputs_New Techs'!AD92</f>
        <v>0.9857999999999999</v>
      </c>
      <c r="AK163" s="273">
        <f>'Key Inputs_New Techs'!AE92</f>
        <v>0.9857999999999999</v>
      </c>
      <c r="AL163" s="273">
        <f>'Key Inputs_New Techs'!AF92</f>
        <v>0.9857999999999999</v>
      </c>
      <c r="AM163" s="273">
        <f>'Key Inputs_New Techs'!AG92</f>
        <v>0.9857999999999999</v>
      </c>
      <c r="AN163" s="273">
        <f>'Key Inputs_New Techs'!AH92</f>
        <v>0.9857999999999999</v>
      </c>
      <c r="AO163" s="273">
        <f>'Key Inputs_New Techs'!AI92</f>
        <v>0.9857999999999999</v>
      </c>
      <c r="AP163" s="273">
        <f>'Key Inputs_New Techs'!AJ92</f>
        <v>0.9857999999999999</v>
      </c>
      <c r="AQ163" s="273">
        <f>'Key Inputs_New Techs'!AK92</f>
        <v>0.9857999999999999</v>
      </c>
      <c r="AR163" s="273">
        <f>'Key Inputs_New Techs'!AL92</f>
        <v>0.9857999999999999</v>
      </c>
    </row>
    <row r="164" spans="1:44" s="113" customFormat="1" ht="15.75" x14ac:dyDescent="0.25">
      <c r="A164" s="245"/>
      <c r="B164" s="245"/>
      <c r="C164" s="245"/>
      <c r="D164" s="245"/>
      <c r="E164" s="245"/>
      <c r="F164" s="245"/>
      <c r="G164" s="245"/>
      <c r="H164" s="245"/>
      <c r="I164" s="245"/>
      <c r="J164" s="118"/>
      <c r="K164" s="201" t="str">
        <f>IF('Key Inputs_New Techs'!B93="","",'Key Inputs_New Techs'!B93)</f>
        <v>R-THH-BLR_OIL03</v>
      </c>
      <c r="L164" s="109" t="str">
        <f>IFERROR(VLOOKUP(K$164,'Commodities &amp; Processes'!L:M,2,FALSE),"")</f>
        <v>RSD Thermal uses technology: Oil, Liquid biofuels Boiler cond. (Imp.) -New</v>
      </c>
      <c r="M164" s="109"/>
      <c r="N164" s="109">
        <f>'Key Inputs_New Techs'!H93</f>
        <v>2025</v>
      </c>
      <c r="O164" s="114" t="s">
        <v>37</v>
      </c>
      <c r="P164" s="120" t="s">
        <v>174</v>
      </c>
      <c r="Q164" s="273">
        <f>'Key Inputs_New Techs'!K93</f>
        <v>0.9857999999999999</v>
      </c>
      <c r="R164" s="273">
        <f>'Key Inputs_New Techs'!L93</f>
        <v>0.9857999999999999</v>
      </c>
      <c r="S164" s="273">
        <f>'Key Inputs_New Techs'!M93</f>
        <v>0.9857999999999999</v>
      </c>
      <c r="T164" s="273">
        <f>'Key Inputs_New Techs'!N93</f>
        <v>0.9857999999999999</v>
      </c>
      <c r="U164" s="273">
        <f>'Key Inputs_New Techs'!O93</f>
        <v>0.9857999999999999</v>
      </c>
      <c r="V164" s="273">
        <f>'Key Inputs_New Techs'!P93</f>
        <v>0.9857999999999999</v>
      </c>
      <c r="W164" s="273">
        <f>'Key Inputs_New Techs'!Q93</f>
        <v>0.9857999999999999</v>
      </c>
      <c r="X164" s="273">
        <f>'Key Inputs_New Techs'!R93</f>
        <v>0.9857999999999999</v>
      </c>
      <c r="Y164" s="273">
        <f>'Key Inputs_New Techs'!S93</f>
        <v>0.9857999999999999</v>
      </c>
      <c r="Z164" s="273">
        <f>'Key Inputs_New Techs'!T93</f>
        <v>0.9857999999999999</v>
      </c>
      <c r="AA164" s="273">
        <f>'Key Inputs_New Techs'!U93</f>
        <v>0.9857999999999999</v>
      </c>
      <c r="AB164" s="273">
        <f>'Key Inputs_New Techs'!V93</f>
        <v>0.9857999999999999</v>
      </c>
      <c r="AC164" s="273">
        <f>'Key Inputs_New Techs'!W93</f>
        <v>0.9857999999999999</v>
      </c>
      <c r="AD164" s="273">
        <f>'Key Inputs_New Techs'!X93</f>
        <v>0.9857999999999999</v>
      </c>
      <c r="AE164" s="273">
        <f>'Key Inputs_New Techs'!Y93</f>
        <v>0.9857999999999999</v>
      </c>
      <c r="AF164" s="273">
        <f>'Key Inputs_New Techs'!Z93</f>
        <v>0.9857999999999999</v>
      </c>
      <c r="AG164" s="273">
        <f>'Key Inputs_New Techs'!AA93</f>
        <v>0.9857999999999999</v>
      </c>
      <c r="AH164" s="273">
        <f>'Key Inputs_New Techs'!AB93</f>
        <v>0.9857999999999999</v>
      </c>
      <c r="AI164" s="273">
        <f>'Key Inputs_New Techs'!AC93</f>
        <v>0.9857999999999999</v>
      </c>
      <c r="AJ164" s="273">
        <f>'Key Inputs_New Techs'!AD93</f>
        <v>0.9857999999999999</v>
      </c>
      <c r="AK164" s="273">
        <f>'Key Inputs_New Techs'!AE93</f>
        <v>0.9857999999999999</v>
      </c>
      <c r="AL164" s="273">
        <f>'Key Inputs_New Techs'!AF93</f>
        <v>0.9857999999999999</v>
      </c>
      <c r="AM164" s="273">
        <f>'Key Inputs_New Techs'!AG93</f>
        <v>0.9857999999999999</v>
      </c>
      <c r="AN164" s="273">
        <f>'Key Inputs_New Techs'!AH93</f>
        <v>0.9857999999999999</v>
      </c>
      <c r="AO164" s="273">
        <f>'Key Inputs_New Techs'!AI93</f>
        <v>0.9857999999999999</v>
      </c>
      <c r="AP164" s="273">
        <f>'Key Inputs_New Techs'!AJ93</f>
        <v>0.9857999999999999</v>
      </c>
      <c r="AQ164" s="273">
        <f>'Key Inputs_New Techs'!AK93</f>
        <v>0.9857999999999999</v>
      </c>
      <c r="AR164" s="273">
        <f>'Key Inputs_New Techs'!AL93</f>
        <v>0.9857999999999999</v>
      </c>
    </row>
    <row r="165" spans="1:44" s="113" customFormat="1" ht="15.75" x14ac:dyDescent="0.25">
      <c r="A165" s="245"/>
      <c r="B165" s="245"/>
      <c r="C165" s="245"/>
      <c r="D165" s="245"/>
      <c r="E165" s="245"/>
      <c r="F165" s="245"/>
      <c r="G165" s="245"/>
      <c r="H165" s="245"/>
      <c r="I165" s="245"/>
      <c r="J165" s="118"/>
      <c r="K165" s="201" t="str">
        <f>IF('Key Inputs_New Techs'!B94="","",'Key Inputs_New Techs'!B94)</f>
        <v/>
      </c>
      <c r="L165" s="109" t="str">
        <f>IFERROR(VLOOKUP(K$164,'Commodities &amp; Processes'!L:M,2,FALSE),"")</f>
        <v>RSD Thermal uses technology: Oil, Liquid biofuels Boiler cond. (Imp.) -New</v>
      </c>
      <c r="M165" s="109"/>
      <c r="N165" s="109">
        <f>'Key Inputs_New Techs'!H94</f>
        <v>2030</v>
      </c>
      <c r="O165" s="114" t="s">
        <v>37</v>
      </c>
      <c r="P165" s="120" t="s">
        <v>174</v>
      </c>
      <c r="Q165" s="273">
        <f>'Key Inputs_New Techs'!K94</f>
        <v>1.0176000000000001</v>
      </c>
      <c r="R165" s="273">
        <f>'Key Inputs_New Techs'!L94</f>
        <v>1.0176000000000001</v>
      </c>
      <c r="S165" s="273">
        <f>'Key Inputs_New Techs'!M94</f>
        <v>1.0176000000000001</v>
      </c>
      <c r="T165" s="273">
        <f>'Key Inputs_New Techs'!N94</f>
        <v>1.0176000000000001</v>
      </c>
      <c r="U165" s="273">
        <f>'Key Inputs_New Techs'!O94</f>
        <v>1.0176000000000001</v>
      </c>
      <c r="V165" s="273">
        <f>'Key Inputs_New Techs'!P94</f>
        <v>1.0176000000000001</v>
      </c>
      <c r="W165" s="273">
        <f>'Key Inputs_New Techs'!Q94</f>
        <v>1.0176000000000001</v>
      </c>
      <c r="X165" s="273">
        <f>'Key Inputs_New Techs'!R94</f>
        <v>1.0176000000000001</v>
      </c>
      <c r="Y165" s="273">
        <f>'Key Inputs_New Techs'!S94</f>
        <v>1.0176000000000001</v>
      </c>
      <c r="Z165" s="273">
        <f>'Key Inputs_New Techs'!T94</f>
        <v>1.0176000000000001</v>
      </c>
      <c r="AA165" s="273">
        <f>'Key Inputs_New Techs'!U94</f>
        <v>1.0176000000000001</v>
      </c>
      <c r="AB165" s="273">
        <f>'Key Inputs_New Techs'!V94</f>
        <v>1.0176000000000001</v>
      </c>
      <c r="AC165" s="273">
        <f>'Key Inputs_New Techs'!W94</f>
        <v>1.0176000000000001</v>
      </c>
      <c r="AD165" s="273">
        <f>'Key Inputs_New Techs'!X94</f>
        <v>1.0176000000000001</v>
      </c>
      <c r="AE165" s="273">
        <f>'Key Inputs_New Techs'!Y94</f>
        <v>1.0176000000000001</v>
      </c>
      <c r="AF165" s="273">
        <f>'Key Inputs_New Techs'!Z94</f>
        <v>1.0176000000000001</v>
      </c>
      <c r="AG165" s="273">
        <f>'Key Inputs_New Techs'!AA94</f>
        <v>1.0176000000000001</v>
      </c>
      <c r="AH165" s="273">
        <f>'Key Inputs_New Techs'!AB94</f>
        <v>1.0176000000000001</v>
      </c>
      <c r="AI165" s="273">
        <f>'Key Inputs_New Techs'!AC94</f>
        <v>1.0176000000000001</v>
      </c>
      <c r="AJ165" s="273">
        <f>'Key Inputs_New Techs'!AD94</f>
        <v>1.0176000000000001</v>
      </c>
      <c r="AK165" s="273">
        <f>'Key Inputs_New Techs'!AE94</f>
        <v>1.0176000000000001</v>
      </c>
      <c r="AL165" s="273">
        <f>'Key Inputs_New Techs'!AF94</f>
        <v>1.0176000000000001</v>
      </c>
      <c r="AM165" s="273">
        <f>'Key Inputs_New Techs'!AG94</f>
        <v>1.0176000000000001</v>
      </c>
      <c r="AN165" s="273">
        <f>'Key Inputs_New Techs'!AH94</f>
        <v>1.0176000000000001</v>
      </c>
      <c r="AO165" s="273">
        <f>'Key Inputs_New Techs'!AI94</f>
        <v>1.0176000000000001</v>
      </c>
      <c r="AP165" s="273">
        <f>'Key Inputs_New Techs'!AJ94</f>
        <v>1.0176000000000001</v>
      </c>
      <c r="AQ165" s="273">
        <f>'Key Inputs_New Techs'!AK94</f>
        <v>1.0176000000000001</v>
      </c>
      <c r="AR165" s="273">
        <f>'Key Inputs_New Techs'!AL94</f>
        <v>1.0176000000000001</v>
      </c>
    </row>
    <row r="166" spans="1:44" s="113" customFormat="1" ht="15.75" x14ac:dyDescent="0.25">
      <c r="A166" s="245"/>
      <c r="B166" s="245"/>
      <c r="C166" s="245"/>
      <c r="D166" s="245"/>
      <c r="E166" s="245"/>
      <c r="F166" s="245"/>
      <c r="G166" s="245"/>
      <c r="H166" s="245"/>
      <c r="I166" s="245"/>
      <c r="J166" s="118"/>
      <c r="K166" s="201" t="str">
        <f>IF('Key Inputs_New Techs'!B95="","",'Key Inputs_New Techs'!B95)</f>
        <v>R-THH-BLR_LPG01</v>
      </c>
      <c r="L166" s="109" t="str">
        <f>IFERROR(VLOOKUP(K$164,'Commodities &amp; Processes'!L:M,2,FALSE),"")</f>
        <v>RSD Thermal uses technology: Oil, Liquid biofuels Boiler cond. (Imp.) -New</v>
      </c>
      <c r="M166" s="109"/>
      <c r="N166" s="109">
        <f>'Key Inputs_New Techs'!H95</f>
        <v>2020</v>
      </c>
      <c r="O166" s="114" t="s">
        <v>37</v>
      </c>
      <c r="P166" s="120" t="s">
        <v>174</v>
      </c>
      <c r="Q166" s="273">
        <f>'Key Inputs_New Techs'!K95</f>
        <v>0.94340000000000002</v>
      </c>
      <c r="R166" s="273">
        <f>'Key Inputs_New Techs'!L95</f>
        <v>0.94340000000000002</v>
      </c>
      <c r="S166" s="273">
        <f>'Key Inputs_New Techs'!M95</f>
        <v>0.94340000000000002</v>
      </c>
      <c r="T166" s="273">
        <f>'Key Inputs_New Techs'!N95</f>
        <v>0.94340000000000002</v>
      </c>
      <c r="U166" s="273">
        <f>'Key Inputs_New Techs'!O95</f>
        <v>0.94340000000000002</v>
      </c>
      <c r="V166" s="273">
        <f>'Key Inputs_New Techs'!P95</f>
        <v>0.94340000000000002</v>
      </c>
      <c r="W166" s="273">
        <f>'Key Inputs_New Techs'!Q95</f>
        <v>0.94340000000000002</v>
      </c>
      <c r="X166" s="273">
        <f>'Key Inputs_New Techs'!R95</f>
        <v>0.94340000000000002</v>
      </c>
      <c r="Y166" s="273">
        <f>'Key Inputs_New Techs'!S95</f>
        <v>0.94340000000000002</v>
      </c>
      <c r="Z166" s="273">
        <f>'Key Inputs_New Techs'!T95</f>
        <v>0.94340000000000002</v>
      </c>
      <c r="AA166" s="273">
        <f>'Key Inputs_New Techs'!U95</f>
        <v>0.94340000000000002</v>
      </c>
      <c r="AB166" s="273">
        <f>'Key Inputs_New Techs'!V95</f>
        <v>0.94340000000000002</v>
      </c>
      <c r="AC166" s="273">
        <f>'Key Inputs_New Techs'!W95</f>
        <v>0.94340000000000002</v>
      </c>
      <c r="AD166" s="273">
        <f>'Key Inputs_New Techs'!X95</f>
        <v>0.94340000000000002</v>
      </c>
      <c r="AE166" s="273">
        <f>'Key Inputs_New Techs'!Y95</f>
        <v>0.94340000000000002</v>
      </c>
      <c r="AF166" s="273">
        <f>'Key Inputs_New Techs'!Z95</f>
        <v>0.94340000000000002</v>
      </c>
      <c r="AG166" s="273">
        <f>'Key Inputs_New Techs'!AA95</f>
        <v>0.94340000000000002</v>
      </c>
      <c r="AH166" s="273">
        <f>'Key Inputs_New Techs'!AB95</f>
        <v>0.94340000000000002</v>
      </c>
      <c r="AI166" s="273">
        <f>'Key Inputs_New Techs'!AC95</f>
        <v>0.94340000000000002</v>
      </c>
      <c r="AJ166" s="273">
        <f>'Key Inputs_New Techs'!AD95</f>
        <v>0.94340000000000002</v>
      </c>
      <c r="AK166" s="273">
        <f>'Key Inputs_New Techs'!AE95</f>
        <v>0.94340000000000002</v>
      </c>
      <c r="AL166" s="273">
        <f>'Key Inputs_New Techs'!AF95</f>
        <v>0.94340000000000002</v>
      </c>
      <c r="AM166" s="273">
        <f>'Key Inputs_New Techs'!AG95</f>
        <v>0.94340000000000002</v>
      </c>
      <c r="AN166" s="273">
        <f>'Key Inputs_New Techs'!AH95</f>
        <v>0.94340000000000002</v>
      </c>
      <c r="AO166" s="273">
        <f>'Key Inputs_New Techs'!AI95</f>
        <v>0.94340000000000002</v>
      </c>
      <c r="AP166" s="273">
        <f>'Key Inputs_New Techs'!AJ95</f>
        <v>0.94340000000000002</v>
      </c>
      <c r="AQ166" s="273">
        <f>'Key Inputs_New Techs'!AK95</f>
        <v>0.94340000000000002</v>
      </c>
      <c r="AR166" s="273">
        <f>'Key Inputs_New Techs'!AL95</f>
        <v>0.94340000000000002</v>
      </c>
    </row>
    <row r="167" spans="1:44" s="113" customFormat="1" ht="15.75" x14ac:dyDescent="0.25">
      <c r="A167" s="245"/>
      <c r="B167" s="245"/>
      <c r="C167" s="245"/>
      <c r="D167" s="245"/>
      <c r="E167" s="245"/>
      <c r="F167" s="245"/>
      <c r="G167" s="245"/>
      <c r="H167" s="245"/>
      <c r="I167" s="245"/>
      <c r="J167" s="118"/>
      <c r="K167" s="201" t="str">
        <f>IF('Key Inputs_New Techs'!B96="","",'Key Inputs_New Techs'!B96)</f>
        <v>R-THH-HEX_SOL01</v>
      </c>
      <c r="L167" s="109" t="str">
        <f>IFERROR(VLOOKUP(K167,'Commodities &amp; Processes'!L:M,2,FALSE),"")</f>
        <v>RSD Thermal uses technology: Solar Thermal (Ord.) -New</v>
      </c>
      <c r="M167" s="109"/>
      <c r="N167" s="109">
        <f>'Key Inputs_New Techs'!H96</f>
        <v>2020</v>
      </c>
      <c r="O167" s="114" t="s">
        <v>37</v>
      </c>
      <c r="P167" s="120" t="s">
        <v>174</v>
      </c>
      <c r="Q167" s="273">
        <f>'Key Inputs_New Techs'!K96</f>
        <v>1</v>
      </c>
      <c r="R167" s="273">
        <f>'Key Inputs_New Techs'!L96</f>
        <v>1</v>
      </c>
      <c r="S167" s="273">
        <f>'Key Inputs_New Techs'!M96</f>
        <v>1</v>
      </c>
      <c r="T167" s="273">
        <f>'Key Inputs_New Techs'!N96</f>
        <v>1</v>
      </c>
      <c r="U167" s="273">
        <f>'Key Inputs_New Techs'!O96</f>
        <v>1</v>
      </c>
      <c r="V167" s="273">
        <f>'Key Inputs_New Techs'!P96</f>
        <v>1</v>
      </c>
      <c r="W167" s="273">
        <f>'Key Inputs_New Techs'!Q96</f>
        <v>1</v>
      </c>
      <c r="X167" s="273">
        <f>'Key Inputs_New Techs'!R96</f>
        <v>1</v>
      </c>
      <c r="Y167" s="273">
        <f>'Key Inputs_New Techs'!S96</f>
        <v>1</v>
      </c>
      <c r="Z167" s="273">
        <f>'Key Inputs_New Techs'!T96</f>
        <v>1</v>
      </c>
      <c r="AA167" s="273">
        <f>'Key Inputs_New Techs'!U96</f>
        <v>1</v>
      </c>
      <c r="AB167" s="273">
        <f>'Key Inputs_New Techs'!V96</f>
        <v>1</v>
      </c>
      <c r="AC167" s="273">
        <f>'Key Inputs_New Techs'!W96</f>
        <v>1</v>
      </c>
      <c r="AD167" s="273">
        <f>'Key Inputs_New Techs'!X96</f>
        <v>1</v>
      </c>
      <c r="AE167" s="273">
        <f>'Key Inputs_New Techs'!Y96</f>
        <v>1</v>
      </c>
      <c r="AF167" s="273">
        <f>'Key Inputs_New Techs'!Z96</f>
        <v>1</v>
      </c>
      <c r="AG167" s="273">
        <f>'Key Inputs_New Techs'!AA96</f>
        <v>1</v>
      </c>
      <c r="AH167" s="273">
        <f>'Key Inputs_New Techs'!AB96</f>
        <v>1</v>
      </c>
      <c r="AI167" s="273">
        <f>'Key Inputs_New Techs'!AC96</f>
        <v>1</v>
      </c>
      <c r="AJ167" s="273">
        <f>'Key Inputs_New Techs'!AD96</f>
        <v>1</v>
      </c>
      <c r="AK167" s="273">
        <f>'Key Inputs_New Techs'!AE96</f>
        <v>1</v>
      </c>
      <c r="AL167" s="273">
        <f>'Key Inputs_New Techs'!AF96</f>
        <v>1</v>
      </c>
      <c r="AM167" s="273">
        <f>'Key Inputs_New Techs'!AG96</f>
        <v>1</v>
      </c>
      <c r="AN167" s="273">
        <f>'Key Inputs_New Techs'!AH96</f>
        <v>1</v>
      </c>
      <c r="AO167" s="273">
        <f>'Key Inputs_New Techs'!AI96</f>
        <v>1</v>
      </c>
      <c r="AP167" s="273">
        <f>'Key Inputs_New Techs'!AJ96</f>
        <v>1</v>
      </c>
      <c r="AQ167" s="273">
        <f>'Key Inputs_New Techs'!AK96</f>
        <v>1</v>
      </c>
      <c r="AR167" s="273">
        <f>'Key Inputs_New Techs'!AL96</f>
        <v>1</v>
      </c>
    </row>
    <row r="168" spans="1:44" ht="15.75" x14ac:dyDescent="0.25">
      <c r="J168" s="118"/>
      <c r="K168" s="201" t="str">
        <f>IF('Key Inputs_New Techs'!B97="","",'Key Inputs_New Techs'!B97)</f>
        <v>R-ACL_ELC01</v>
      </c>
      <c r="L168" s="109" t="str">
        <f>IFERROR(VLOOKUP(K168,'Commodities &amp; Processes'!L:M,2,FALSE),"")</f>
        <v>RSD Air conditioning technology: Electricity Air conditioning (Ord.) -New</v>
      </c>
      <c r="N168" s="109">
        <f>'Key Inputs_New Techs'!H97</f>
        <v>2020</v>
      </c>
      <c r="O168" s="114" t="s">
        <v>37</v>
      </c>
      <c r="P168" s="120" t="s">
        <v>174</v>
      </c>
      <c r="Q168" s="273">
        <f>'Key Inputs_New Techs'!K97</f>
        <v>2.34</v>
      </c>
      <c r="R168" s="273">
        <f>'Key Inputs_New Techs'!L97</f>
        <v>2.34</v>
      </c>
      <c r="S168" s="273">
        <f>'Key Inputs_New Techs'!M97</f>
        <v>2.34</v>
      </c>
      <c r="T168" s="273">
        <f>'Key Inputs_New Techs'!N97</f>
        <v>2.34</v>
      </c>
      <c r="U168" s="273">
        <f>'Key Inputs_New Techs'!O97</f>
        <v>2.34</v>
      </c>
      <c r="V168" s="273">
        <f>'Key Inputs_New Techs'!P97</f>
        <v>2.34</v>
      </c>
      <c r="W168" s="273">
        <f>'Key Inputs_New Techs'!Q97</f>
        <v>2.34</v>
      </c>
      <c r="X168" s="273">
        <f>'Key Inputs_New Techs'!R97</f>
        <v>2.34</v>
      </c>
      <c r="Y168" s="273">
        <f>'Key Inputs_New Techs'!S97</f>
        <v>2.34</v>
      </c>
      <c r="Z168" s="273">
        <f>'Key Inputs_New Techs'!T97</f>
        <v>2.34</v>
      </c>
      <c r="AA168" s="273">
        <f>'Key Inputs_New Techs'!U97</f>
        <v>2.34</v>
      </c>
      <c r="AB168" s="273">
        <f>'Key Inputs_New Techs'!V97</f>
        <v>2.34</v>
      </c>
      <c r="AC168" s="273">
        <f>'Key Inputs_New Techs'!W97</f>
        <v>2.34</v>
      </c>
      <c r="AD168" s="273">
        <f>'Key Inputs_New Techs'!X97</f>
        <v>2.34</v>
      </c>
      <c r="AE168" s="273">
        <f>'Key Inputs_New Techs'!Y97</f>
        <v>2.34</v>
      </c>
      <c r="AF168" s="273">
        <f>'Key Inputs_New Techs'!Z97</f>
        <v>2.34</v>
      </c>
      <c r="AG168" s="273">
        <f>'Key Inputs_New Techs'!AA97</f>
        <v>2.34</v>
      </c>
      <c r="AH168" s="273">
        <f>'Key Inputs_New Techs'!AB97</f>
        <v>2.34</v>
      </c>
      <c r="AI168" s="273">
        <f>'Key Inputs_New Techs'!AC97</f>
        <v>2.34</v>
      </c>
      <c r="AJ168" s="273">
        <f>'Key Inputs_New Techs'!AD97</f>
        <v>2.34</v>
      </c>
      <c r="AK168" s="273">
        <f>'Key Inputs_New Techs'!AE97</f>
        <v>2.34</v>
      </c>
      <c r="AL168" s="273">
        <f>'Key Inputs_New Techs'!AF97</f>
        <v>2.34</v>
      </c>
      <c r="AM168" s="273">
        <f>'Key Inputs_New Techs'!AG97</f>
        <v>2.34</v>
      </c>
      <c r="AN168" s="273">
        <f>'Key Inputs_New Techs'!AH97</f>
        <v>2.34</v>
      </c>
      <c r="AO168" s="273">
        <f>'Key Inputs_New Techs'!AI97</f>
        <v>2.34</v>
      </c>
      <c r="AP168" s="273">
        <f>'Key Inputs_New Techs'!AJ97</f>
        <v>2.34</v>
      </c>
      <c r="AQ168" s="273">
        <f>'Key Inputs_New Techs'!AK97</f>
        <v>2.34</v>
      </c>
      <c r="AR168" s="273">
        <f>'Key Inputs_New Techs'!AL97</f>
        <v>2.34</v>
      </c>
    </row>
    <row r="169" spans="1:44" ht="15.75" x14ac:dyDescent="0.25">
      <c r="J169" s="118"/>
      <c r="K169" s="201" t="str">
        <f>IF('Key Inputs_New Techs'!B98="","",'Key Inputs_New Techs'!B98)</f>
        <v>R-ACL_ELC02</v>
      </c>
      <c r="L169" s="109" t="str">
        <f>IFERROR(VLOOKUP(K$169,'Commodities &amp; Processes'!L:M,2,FALSE),"")</f>
        <v>RSD Air conditioning technology: Electricity Air conditioning (Imp.) -New</v>
      </c>
      <c r="N169" s="109">
        <f>'Key Inputs_New Techs'!H98</f>
        <v>2025</v>
      </c>
      <c r="O169" s="114" t="s">
        <v>37</v>
      </c>
      <c r="P169" s="120" t="s">
        <v>174</v>
      </c>
      <c r="Q169" s="273">
        <f>'Key Inputs_New Techs'!K98</f>
        <v>2.34</v>
      </c>
      <c r="R169" s="273">
        <f>'Key Inputs_New Techs'!L98</f>
        <v>2.34</v>
      </c>
      <c r="S169" s="273">
        <f>'Key Inputs_New Techs'!M98</f>
        <v>2.34</v>
      </c>
      <c r="T169" s="273">
        <f>'Key Inputs_New Techs'!N98</f>
        <v>2.34</v>
      </c>
      <c r="U169" s="273">
        <f>'Key Inputs_New Techs'!O98</f>
        <v>2.34</v>
      </c>
      <c r="V169" s="273">
        <f>'Key Inputs_New Techs'!P98</f>
        <v>2.34</v>
      </c>
      <c r="W169" s="273">
        <f>'Key Inputs_New Techs'!Q98</f>
        <v>2.34</v>
      </c>
      <c r="X169" s="273">
        <f>'Key Inputs_New Techs'!R98</f>
        <v>2.34</v>
      </c>
      <c r="Y169" s="273">
        <f>'Key Inputs_New Techs'!S98</f>
        <v>2.34</v>
      </c>
      <c r="Z169" s="273">
        <f>'Key Inputs_New Techs'!T98</f>
        <v>2.34</v>
      </c>
      <c r="AA169" s="273">
        <f>'Key Inputs_New Techs'!U98</f>
        <v>2.34</v>
      </c>
      <c r="AB169" s="273">
        <f>'Key Inputs_New Techs'!V98</f>
        <v>2.34</v>
      </c>
      <c r="AC169" s="273">
        <f>'Key Inputs_New Techs'!W98</f>
        <v>2.34</v>
      </c>
      <c r="AD169" s="273">
        <f>'Key Inputs_New Techs'!X98</f>
        <v>2.34</v>
      </c>
      <c r="AE169" s="273">
        <f>'Key Inputs_New Techs'!Y98</f>
        <v>2.34</v>
      </c>
      <c r="AF169" s="273">
        <f>'Key Inputs_New Techs'!Z98</f>
        <v>2.34</v>
      </c>
      <c r="AG169" s="273">
        <f>'Key Inputs_New Techs'!AA98</f>
        <v>2.34</v>
      </c>
      <c r="AH169" s="273">
        <f>'Key Inputs_New Techs'!AB98</f>
        <v>2.34</v>
      </c>
      <c r="AI169" s="273">
        <f>'Key Inputs_New Techs'!AC98</f>
        <v>2.34</v>
      </c>
      <c r="AJ169" s="273">
        <f>'Key Inputs_New Techs'!AD98</f>
        <v>2.34</v>
      </c>
      <c r="AK169" s="273">
        <f>'Key Inputs_New Techs'!AE98</f>
        <v>2.34</v>
      </c>
      <c r="AL169" s="273">
        <f>'Key Inputs_New Techs'!AF98</f>
        <v>2.34</v>
      </c>
      <c r="AM169" s="273">
        <f>'Key Inputs_New Techs'!AG98</f>
        <v>2.34</v>
      </c>
      <c r="AN169" s="273">
        <f>'Key Inputs_New Techs'!AH98</f>
        <v>2.34</v>
      </c>
      <c r="AO169" s="273">
        <f>'Key Inputs_New Techs'!AI98</f>
        <v>2.34</v>
      </c>
      <c r="AP169" s="273">
        <f>'Key Inputs_New Techs'!AJ98</f>
        <v>2.34</v>
      </c>
      <c r="AQ169" s="273">
        <f>'Key Inputs_New Techs'!AK98</f>
        <v>2.34</v>
      </c>
      <c r="AR169" s="273">
        <f>'Key Inputs_New Techs'!AL98</f>
        <v>2.34</v>
      </c>
    </row>
    <row r="170" spans="1:44" ht="15.75" x14ac:dyDescent="0.25">
      <c r="J170" s="118"/>
      <c r="K170" s="201" t="str">
        <f>IF('Key Inputs_New Techs'!B99="","",'Key Inputs_New Techs'!B99)</f>
        <v/>
      </c>
      <c r="L170" s="109" t="str">
        <f>IFERROR(VLOOKUP(K$169,'Commodities &amp; Processes'!L:M,2,FALSE),"")</f>
        <v>RSD Air conditioning technology: Electricity Air conditioning (Imp.) -New</v>
      </c>
      <c r="N170" s="109">
        <f>'Key Inputs_New Techs'!H99</f>
        <v>2030</v>
      </c>
      <c r="O170" s="114" t="s">
        <v>37</v>
      </c>
      <c r="P170" s="120" t="s">
        <v>174</v>
      </c>
      <c r="Q170" s="273">
        <f>'Key Inputs_New Techs'!K99</f>
        <v>2.42</v>
      </c>
      <c r="R170" s="273">
        <f>'Key Inputs_New Techs'!L99</f>
        <v>2.42</v>
      </c>
      <c r="S170" s="273">
        <f>'Key Inputs_New Techs'!M99</f>
        <v>2.42</v>
      </c>
      <c r="T170" s="273">
        <f>'Key Inputs_New Techs'!N99</f>
        <v>2.42</v>
      </c>
      <c r="U170" s="273">
        <f>'Key Inputs_New Techs'!O99</f>
        <v>2.42</v>
      </c>
      <c r="V170" s="273">
        <f>'Key Inputs_New Techs'!P99</f>
        <v>2.42</v>
      </c>
      <c r="W170" s="273">
        <f>'Key Inputs_New Techs'!Q99</f>
        <v>2.42</v>
      </c>
      <c r="X170" s="273">
        <f>'Key Inputs_New Techs'!R99</f>
        <v>2.42</v>
      </c>
      <c r="Y170" s="273">
        <f>'Key Inputs_New Techs'!S99</f>
        <v>2.42</v>
      </c>
      <c r="Z170" s="273">
        <f>'Key Inputs_New Techs'!T99</f>
        <v>2.42</v>
      </c>
      <c r="AA170" s="273">
        <f>'Key Inputs_New Techs'!U99</f>
        <v>2.42</v>
      </c>
      <c r="AB170" s="273">
        <f>'Key Inputs_New Techs'!V99</f>
        <v>2.42</v>
      </c>
      <c r="AC170" s="273">
        <f>'Key Inputs_New Techs'!W99</f>
        <v>2.42</v>
      </c>
      <c r="AD170" s="273">
        <f>'Key Inputs_New Techs'!X99</f>
        <v>2.42</v>
      </c>
      <c r="AE170" s="273">
        <f>'Key Inputs_New Techs'!Y99</f>
        <v>2.42</v>
      </c>
      <c r="AF170" s="273">
        <f>'Key Inputs_New Techs'!Z99</f>
        <v>2.42</v>
      </c>
      <c r="AG170" s="273">
        <f>'Key Inputs_New Techs'!AA99</f>
        <v>2.42</v>
      </c>
      <c r="AH170" s="273">
        <f>'Key Inputs_New Techs'!AB99</f>
        <v>2.42</v>
      </c>
      <c r="AI170" s="273">
        <f>'Key Inputs_New Techs'!AC99</f>
        <v>2.42</v>
      </c>
      <c r="AJ170" s="273">
        <f>'Key Inputs_New Techs'!AD99</f>
        <v>2.42</v>
      </c>
      <c r="AK170" s="273">
        <f>'Key Inputs_New Techs'!AE99</f>
        <v>2.42</v>
      </c>
      <c r="AL170" s="273">
        <f>'Key Inputs_New Techs'!AF99</f>
        <v>2.42</v>
      </c>
      <c r="AM170" s="273">
        <f>'Key Inputs_New Techs'!AG99</f>
        <v>2.42</v>
      </c>
      <c r="AN170" s="273">
        <f>'Key Inputs_New Techs'!AH99</f>
        <v>2.42</v>
      </c>
      <c r="AO170" s="273">
        <f>'Key Inputs_New Techs'!AI99</f>
        <v>2.42</v>
      </c>
      <c r="AP170" s="273">
        <f>'Key Inputs_New Techs'!AJ99</f>
        <v>2.42</v>
      </c>
      <c r="AQ170" s="273">
        <f>'Key Inputs_New Techs'!AK99</f>
        <v>2.42</v>
      </c>
      <c r="AR170" s="273">
        <f>'Key Inputs_New Techs'!AL99</f>
        <v>2.42</v>
      </c>
    </row>
    <row r="171" spans="1:44" ht="15.75" x14ac:dyDescent="0.25">
      <c r="J171" s="118"/>
      <c r="K171" s="201" t="str">
        <f>IF('Key Inputs_New Techs'!B100="","",'Key Inputs_New Techs'!B100)</f>
        <v/>
      </c>
      <c r="L171" s="109" t="str">
        <f>IFERROR(VLOOKUP(K$169,'Commodities &amp; Processes'!L:M,2,FALSE),"")</f>
        <v>RSD Air conditioning technology: Electricity Air conditioning (Imp.) -New</v>
      </c>
      <c r="N171" s="109">
        <f>'Key Inputs_New Techs'!H100</f>
        <v>2050</v>
      </c>
      <c r="O171" s="114" t="s">
        <v>37</v>
      </c>
      <c r="P171" s="120" t="s">
        <v>174</v>
      </c>
      <c r="Q171" s="273">
        <f>'Key Inputs_New Techs'!K100</f>
        <v>2.556</v>
      </c>
      <c r="R171" s="273">
        <f>'Key Inputs_New Techs'!L100</f>
        <v>2.556</v>
      </c>
      <c r="S171" s="273">
        <f>'Key Inputs_New Techs'!M100</f>
        <v>2.556</v>
      </c>
      <c r="T171" s="273">
        <f>'Key Inputs_New Techs'!N100</f>
        <v>2.556</v>
      </c>
      <c r="U171" s="273">
        <f>'Key Inputs_New Techs'!O100</f>
        <v>2.556</v>
      </c>
      <c r="V171" s="273">
        <f>'Key Inputs_New Techs'!P100</f>
        <v>2.556</v>
      </c>
      <c r="W171" s="273">
        <f>'Key Inputs_New Techs'!Q100</f>
        <v>2.556</v>
      </c>
      <c r="X171" s="273">
        <f>'Key Inputs_New Techs'!R100</f>
        <v>2.556</v>
      </c>
      <c r="Y171" s="273">
        <f>'Key Inputs_New Techs'!S100</f>
        <v>2.556</v>
      </c>
      <c r="Z171" s="273">
        <f>'Key Inputs_New Techs'!T100</f>
        <v>2.556</v>
      </c>
      <c r="AA171" s="273">
        <f>'Key Inputs_New Techs'!U100</f>
        <v>2.556</v>
      </c>
      <c r="AB171" s="273">
        <f>'Key Inputs_New Techs'!V100</f>
        <v>2.556</v>
      </c>
      <c r="AC171" s="273">
        <f>'Key Inputs_New Techs'!W100</f>
        <v>2.556</v>
      </c>
      <c r="AD171" s="273">
        <f>'Key Inputs_New Techs'!X100</f>
        <v>2.556</v>
      </c>
      <c r="AE171" s="273">
        <f>'Key Inputs_New Techs'!Y100</f>
        <v>2.556</v>
      </c>
      <c r="AF171" s="273">
        <f>'Key Inputs_New Techs'!Z100</f>
        <v>2.556</v>
      </c>
      <c r="AG171" s="273">
        <f>'Key Inputs_New Techs'!AA100</f>
        <v>2.556</v>
      </c>
      <c r="AH171" s="273">
        <f>'Key Inputs_New Techs'!AB100</f>
        <v>2.556</v>
      </c>
      <c r="AI171" s="273">
        <f>'Key Inputs_New Techs'!AC100</f>
        <v>2.556</v>
      </c>
      <c r="AJ171" s="273">
        <f>'Key Inputs_New Techs'!AD100</f>
        <v>2.556</v>
      </c>
      <c r="AK171" s="273">
        <f>'Key Inputs_New Techs'!AE100</f>
        <v>2.556</v>
      </c>
      <c r="AL171" s="273">
        <f>'Key Inputs_New Techs'!AF100</f>
        <v>2.556</v>
      </c>
      <c r="AM171" s="273">
        <f>'Key Inputs_New Techs'!AG100</f>
        <v>2.556</v>
      </c>
      <c r="AN171" s="273">
        <f>'Key Inputs_New Techs'!AH100</f>
        <v>2.556</v>
      </c>
      <c r="AO171" s="273">
        <f>'Key Inputs_New Techs'!AI100</f>
        <v>2.556</v>
      </c>
      <c r="AP171" s="273">
        <f>'Key Inputs_New Techs'!AJ100</f>
        <v>2.556</v>
      </c>
      <c r="AQ171" s="273">
        <f>'Key Inputs_New Techs'!AK100</f>
        <v>2.556</v>
      </c>
      <c r="AR171" s="273">
        <f>'Key Inputs_New Techs'!AL100</f>
        <v>2.556</v>
      </c>
    </row>
    <row r="172" spans="1:44" ht="15.75" x14ac:dyDescent="0.25">
      <c r="J172" s="118"/>
      <c r="K172" s="201" t="str">
        <f>IF('Key Inputs_New Techs'!B101="","",'Key Inputs_New Techs'!B101)</f>
        <v>R-ACL_ELC03</v>
      </c>
      <c r="L172" s="109" t="str">
        <f>IFERROR(VLOOKUP(K$172,'Commodities &amp; Processes'!L:M,2,FALSE),"")</f>
        <v>RSD Air conditioning technology: Electricity Air conditioning (Adv.) -New</v>
      </c>
      <c r="N172" s="109">
        <f>'Key Inputs_New Techs'!H101</f>
        <v>2030</v>
      </c>
      <c r="O172" s="114" t="s">
        <v>37</v>
      </c>
      <c r="P172" s="120" t="s">
        <v>174</v>
      </c>
      <c r="Q172" s="273">
        <f>'Key Inputs_New Techs'!K101</f>
        <v>3.34</v>
      </c>
      <c r="R172" s="273">
        <f>'Key Inputs_New Techs'!L101</f>
        <v>3.34</v>
      </c>
      <c r="S172" s="273">
        <f>'Key Inputs_New Techs'!M101</f>
        <v>3.34</v>
      </c>
      <c r="T172" s="273">
        <f>'Key Inputs_New Techs'!N101</f>
        <v>3.34</v>
      </c>
      <c r="U172" s="273">
        <f>'Key Inputs_New Techs'!O101</f>
        <v>3.34</v>
      </c>
      <c r="V172" s="273">
        <f>'Key Inputs_New Techs'!P101</f>
        <v>3.34</v>
      </c>
      <c r="W172" s="273">
        <f>'Key Inputs_New Techs'!Q101</f>
        <v>3.34</v>
      </c>
      <c r="X172" s="273">
        <f>'Key Inputs_New Techs'!R101</f>
        <v>3.34</v>
      </c>
      <c r="Y172" s="273">
        <f>'Key Inputs_New Techs'!S101</f>
        <v>3.34</v>
      </c>
      <c r="Z172" s="273">
        <f>'Key Inputs_New Techs'!T101</f>
        <v>3.34</v>
      </c>
      <c r="AA172" s="273">
        <f>'Key Inputs_New Techs'!U101</f>
        <v>3.34</v>
      </c>
      <c r="AB172" s="273">
        <f>'Key Inputs_New Techs'!V101</f>
        <v>3.34</v>
      </c>
      <c r="AC172" s="273">
        <f>'Key Inputs_New Techs'!W101</f>
        <v>3.34</v>
      </c>
      <c r="AD172" s="273">
        <f>'Key Inputs_New Techs'!X101</f>
        <v>3.34</v>
      </c>
      <c r="AE172" s="273">
        <f>'Key Inputs_New Techs'!Y101</f>
        <v>3.34</v>
      </c>
      <c r="AF172" s="273">
        <f>'Key Inputs_New Techs'!Z101</f>
        <v>3.34</v>
      </c>
      <c r="AG172" s="273">
        <f>'Key Inputs_New Techs'!AA101</f>
        <v>3.34</v>
      </c>
      <c r="AH172" s="273">
        <f>'Key Inputs_New Techs'!AB101</f>
        <v>3.34</v>
      </c>
      <c r="AI172" s="273">
        <f>'Key Inputs_New Techs'!AC101</f>
        <v>3.34</v>
      </c>
      <c r="AJ172" s="273">
        <f>'Key Inputs_New Techs'!AD101</f>
        <v>3.34</v>
      </c>
      <c r="AK172" s="273">
        <f>'Key Inputs_New Techs'!AE101</f>
        <v>3.34</v>
      </c>
      <c r="AL172" s="273">
        <f>'Key Inputs_New Techs'!AF101</f>
        <v>3.34</v>
      </c>
      <c r="AM172" s="273">
        <f>'Key Inputs_New Techs'!AG101</f>
        <v>3.34</v>
      </c>
      <c r="AN172" s="273">
        <f>'Key Inputs_New Techs'!AH101</f>
        <v>3.34</v>
      </c>
      <c r="AO172" s="273">
        <f>'Key Inputs_New Techs'!AI101</f>
        <v>3.34</v>
      </c>
      <c r="AP172" s="273">
        <f>'Key Inputs_New Techs'!AJ101</f>
        <v>3.34</v>
      </c>
      <c r="AQ172" s="273">
        <f>'Key Inputs_New Techs'!AK101</f>
        <v>3.34</v>
      </c>
      <c r="AR172" s="273">
        <f>'Key Inputs_New Techs'!AL101</f>
        <v>3.34</v>
      </c>
    </row>
    <row r="173" spans="1:44" ht="15.75" x14ac:dyDescent="0.25">
      <c r="J173" s="118"/>
      <c r="K173" s="201" t="str">
        <f>IF('Key Inputs_New Techs'!B102="","",'Key Inputs_New Techs'!B102)</f>
        <v/>
      </c>
      <c r="L173" s="109" t="str">
        <f>IFERROR(VLOOKUP(K$172,'Commodities &amp; Processes'!L:M,2,FALSE),"")</f>
        <v>RSD Air conditioning technology: Electricity Air conditioning (Adv.) -New</v>
      </c>
      <c r="N173" s="109">
        <f>'Key Inputs_New Techs'!H102</f>
        <v>2050</v>
      </c>
      <c r="O173" s="114" t="s">
        <v>37</v>
      </c>
      <c r="P173" s="120" t="s">
        <v>174</v>
      </c>
      <c r="Q173" s="273">
        <f>'Key Inputs_New Techs'!K102</f>
        <v>4.32</v>
      </c>
      <c r="R173" s="273">
        <f>'Key Inputs_New Techs'!L102</f>
        <v>4.32</v>
      </c>
      <c r="S173" s="273">
        <f>'Key Inputs_New Techs'!M102</f>
        <v>4.32</v>
      </c>
      <c r="T173" s="273">
        <f>'Key Inputs_New Techs'!N102</f>
        <v>4.32</v>
      </c>
      <c r="U173" s="273">
        <f>'Key Inputs_New Techs'!O102</f>
        <v>4.32</v>
      </c>
      <c r="V173" s="273">
        <f>'Key Inputs_New Techs'!P102</f>
        <v>4.32</v>
      </c>
      <c r="W173" s="273">
        <f>'Key Inputs_New Techs'!Q102</f>
        <v>4.32</v>
      </c>
      <c r="X173" s="273">
        <f>'Key Inputs_New Techs'!R102</f>
        <v>4.32</v>
      </c>
      <c r="Y173" s="273">
        <f>'Key Inputs_New Techs'!S102</f>
        <v>4.32</v>
      </c>
      <c r="Z173" s="273">
        <f>'Key Inputs_New Techs'!T102</f>
        <v>4.32</v>
      </c>
      <c r="AA173" s="273">
        <f>'Key Inputs_New Techs'!U102</f>
        <v>4.32</v>
      </c>
      <c r="AB173" s="273">
        <f>'Key Inputs_New Techs'!V102</f>
        <v>4.32</v>
      </c>
      <c r="AC173" s="273">
        <f>'Key Inputs_New Techs'!W102</f>
        <v>4.32</v>
      </c>
      <c r="AD173" s="273">
        <f>'Key Inputs_New Techs'!X102</f>
        <v>4.32</v>
      </c>
      <c r="AE173" s="273">
        <f>'Key Inputs_New Techs'!Y102</f>
        <v>4.32</v>
      </c>
      <c r="AF173" s="273">
        <f>'Key Inputs_New Techs'!Z102</f>
        <v>4.32</v>
      </c>
      <c r="AG173" s="273">
        <f>'Key Inputs_New Techs'!AA102</f>
        <v>4.32</v>
      </c>
      <c r="AH173" s="273">
        <f>'Key Inputs_New Techs'!AB102</f>
        <v>4.32</v>
      </c>
      <c r="AI173" s="273">
        <f>'Key Inputs_New Techs'!AC102</f>
        <v>4.32</v>
      </c>
      <c r="AJ173" s="273">
        <f>'Key Inputs_New Techs'!AD102</f>
        <v>4.32</v>
      </c>
      <c r="AK173" s="273">
        <f>'Key Inputs_New Techs'!AE102</f>
        <v>4.32</v>
      </c>
      <c r="AL173" s="273">
        <f>'Key Inputs_New Techs'!AF102</f>
        <v>4.32</v>
      </c>
      <c r="AM173" s="273">
        <f>'Key Inputs_New Techs'!AG102</f>
        <v>4.32</v>
      </c>
      <c r="AN173" s="273">
        <f>'Key Inputs_New Techs'!AH102</f>
        <v>4.32</v>
      </c>
      <c r="AO173" s="273">
        <f>'Key Inputs_New Techs'!AI102</f>
        <v>4.32</v>
      </c>
      <c r="AP173" s="273">
        <f>'Key Inputs_New Techs'!AJ102</f>
        <v>4.32</v>
      </c>
      <c r="AQ173" s="273">
        <f>'Key Inputs_New Techs'!AK102</f>
        <v>4.32</v>
      </c>
      <c r="AR173" s="273">
        <f>'Key Inputs_New Techs'!AL102</f>
        <v>4.32</v>
      </c>
    </row>
    <row r="174" spans="1:44" ht="15.75" x14ac:dyDescent="0.25">
      <c r="J174" s="118"/>
      <c r="K174" s="201" t="str">
        <f>IF('Key Inputs_New Techs'!B103="","",'Key Inputs_New Techs'!B103)</f>
        <v>R-ACH_ELC01</v>
      </c>
      <c r="L174" s="109" t="str">
        <f>IFERROR(VLOOKUP(K174,'Commodities &amp; Processes'!L:M,2,FALSE),"")</f>
        <v>RSD Air conditioning technology: Electricity Air conditioning (Ord.) -New</v>
      </c>
      <c r="N174" s="109">
        <f>'Key Inputs_New Techs'!H103</f>
        <v>2020</v>
      </c>
      <c r="O174" s="114" t="s">
        <v>37</v>
      </c>
      <c r="P174" s="120" t="s">
        <v>174</v>
      </c>
      <c r="Q174" s="273">
        <f>'Key Inputs_New Techs'!K103</f>
        <v>2.34</v>
      </c>
      <c r="R174" s="273">
        <f>'Key Inputs_New Techs'!L103</f>
        <v>2.34</v>
      </c>
      <c r="S174" s="273">
        <f>'Key Inputs_New Techs'!M103</f>
        <v>2.34</v>
      </c>
      <c r="T174" s="273">
        <f>'Key Inputs_New Techs'!N103</f>
        <v>2.34</v>
      </c>
      <c r="U174" s="273">
        <f>'Key Inputs_New Techs'!O103</f>
        <v>2.34</v>
      </c>
      <c r="V174" s="273">
        <f>'Key Inputs_New Techs'!P103</f>
        <v>2.34</v>
      </c>
      <c r="W174" s="273">
        <f>'Key Inputs_New Techs'!Q103</f>
        <v>2.34</v>
      </c>
      <c r="X174" s="273">
        <f>'Key Inputs_New Techs'!R103</f>
        <v>2.34</v>
      </c>
      <c r="Y174" s="273">
        <f>'Key Inputs_New Techs'!S103</f>
        <v>2.34</v>
      </c>
      <c r="Z174" s="273">
        <f>'Key Inputs_New Techs'!T103</f>
        <v>2.34</v>
      </c>
      <c r="AA174" s="273">
        <f>'Key Inputs_New Techs'!U103</f>
        <v>2.34</v>
      </c>
      <c r="AB174" s="273">
        <f>'Key Inputs_New Techs'!V103</f>
        <v>2.34</v>
      </c>
      <c r="AC174" s="273">
        <f>'Key Inputs_New Techs'!W103</f>
        <v>2.34</v>
      </c>
      <c r="AD174" s="273">
        <f>'Key Inputs_New Techs'!X103</f>
        <v>2.34</v>
      </c>
      <c r="AE174" s="273">
        <f>'Key Inputs_New Techs'!Y103</f>
        <v>2.34</v>
      </c>
      <c r="AF174" s="273">
        <f>'Key Inputs_New Techs'!Z103</f>
        <v>2.34</v>
      </c>
      <c r="AG174" s="273">
        <f>'Key Inputs_New Techs'!AA103</f>
        <v>2.34</v>
      </c>
      <c r="AH174" s="273">
        <f>'Key Inputs_New Techs'!AB103</f>
        <v>2.34</v>
      </c>
      <c r="AI174" s="273">
        <f>'Key Inputs_New Techs'!AC103</f>
        <v>2.34</v>
      </c>
      <c r="AJ174" s="273">
        <f>'Key Inputs_New Techs'!AD103</f>
        <v>2.34</v>
      </c>
      <c r="AK174" s="273">
        <f>'Key Inputs_New Techs'!AE103</f>
        <v>2.34</v>
      </c>
      <c r="AL174" s="273">
        <f>'Key Inputs_New Techs'!AF103</f>
        <v>2.34</v>
      </c>
      <c r="AM174" s="273">
        <f>'Key Inputs_New Techs'!AG103</f>
        <v>2.34</v>
      </c>
      <c r="AN174" s="273">
        <f>'Key Inputs_New Techs'!AH103</f>
        <v>2.34</v>
      </c>
      <c r="AO174" s="273">
        <f>'Key Inputs_New Techs'!AI103</f>
        <v>2.34</v>
      </c>
      <c r="AP174" s="273">
        <f>'Key Inputs_New Techs'!AJ103</f>
        <v>2.34</v>
      </c>
      <c r="AQ174" s="273">
        <f>'Key Inputs_New Techs'!AK103</f>
        <v>2.34</v>
      </c>
      <c r="AR174" s="273">
        <f>'Key Inputs_New Techs'!AL103</f>
        <v>2.34</v>
      </c>
    </row>
    <row r="175" spans="1:44" ht="15.75" x14ac:dyDescent="0.25">
      <c r="J175" s="118"/>
      <c r="K175" s="201" t="str">
        <f>IF('Key Inputs_New Techs'!B104="","",'Key Inputs_New Techs'!B104)</f>
        <v>R-ACH_ELC02</v>
      </c>
      <c r="L175" s="109" t="str">
        <f>IFERROR(VLOOKUP(K$175,'Commodities &amp; Processes'!L:M,2,FALSE),"")</f>
        <v>RSD Air conditioning technology: Electricity Air conditioning (Imp.) -New</v>
      </c>
      <c r="N175" s="109">
        <f>'Key Inputs_New Techs'!H104</f>
        <v>2025</v>
      </c>
      <c r="O175" s="114" t="s">
        <v>37</v>
      </c>
      <c r="P175" s="120" t="s">
        <v>174</v>
      </c>
      <c r="Q175" s="273">
        <f>'Key Inputs_New Techs'!K104</f>
        <v>2.34</v>
      </c>
      <c r="R175" s="273">
        <f>'Key Inputs_New Techs'!L104</f>
        <v>2.34</v>
      </c>
      <c r="S175" s="273">
        <f>'Key Inputs_New Techs'!M104</f>
        <v>2.34</v>
      </c>
      <c r="T175" s="273">
        <f>'Key Inputs_New Techs'!N104</f>
        <v>2.34</v>
      </c>
      <c r="U175" s="273">
        <f>'Key Inputs_New Techs'!O104</f>
        <v>2.34</v>
      </c>
      <c r="V175" s="273">
        <f>'Key Inputs_New Techs'!P104</f>
        <v>2.34</v>
      </c>
      <c r="W175" s="273">
        <f>'Key Inputs_New Techs'!Q104</f>
        <v>2.34</v>
      </c>
      <c r="X175" s="273">
        <f>'Key Inputs_New Techs'!R104</f>
        <v>2.34</v>
      </c>
      <c r="Y175" s="273">
        <f>'Key Inputs_New Techs'!S104</f>
        <v>2.34</v>
      </c>
      <c r="Z175" s="273">
        <f>'Key Inputs_New Techs'!T104</f>
        <v>2.34</v>
      </c>
      <c r="AA175" s="273">
        <f>'Key Inputs_New Techs'!U104</f>
        <v>2.34</v>
      </c>
      <c r="AB175" s="273">
        <f>'Key Inputs_New Techs'!V104</f>
        <v>2.34</v>
      </c>
      <c r="AC175" s="273">
        <f>'Key Inputs_New Techs'!W104</f>
        <v>2.34</v>
      </c>
      <c r="AD175" s="273">
        <f>'Key Inputs_New Techs'!X104</f>
        <v>2.34</v>
      </c>
      <c r="AE175" s="273">
        <f>'Key Inputs_New Techs'!Y104</f>
        <v>2.34</v>
      </c>
      <c r="AF175" s="273">
        <f>'Key Inputs_New Techs'!Z104</f>
        <v>2.34</v>
      </c>
      <c r="AG175" s="273">
        <f>'Key Inputs_New Techs'!AA104</f>
        <v>2.34</v>
      </c>
      <c r="AH175" s="273">
        <f>'Key Inputs_New Techs'!AB104</f>
        <v>2.34</v>
      </c>
      <c r="AI175" s="273">
        <f>'Key Inputs_New Techs'!AC104</f>
        <v>2.34</v>
      </c>
      <c r="AJ175" s="273">
        <f>'Key Inputs_New Techs'!AD104</f>
        <v>2.34</v>
      </c>
      <c r="AK175" s="273">
        <f>'Key Inputs_New Techs'!AE104</f>
        <v>2.34</v>
      </c>
      <c r="AL175" s="273">
        <f>'Key Inputs_New Techs'!AF104</f>
        <v>2.34</v>
      </c>
      <c r="AM175" s="273">
        <f>'Key Inputs_New Techs'!AG104</f>
        <v>2.34</v>
      </c>
      <c r="AN175" s="273">
        <f>'Key Inputs_New Techs'!AH104</f>
        <v>2.34</v>
      </c>
      <c r="AO175" s="273">
        <f>'Key Inputs_New Techs'!AI104</f>
        <v>2.34</v>
      </c>
      <c r="AP175" s="273">
        <f>'Key Inputs_New Techs'!AJ104</f>
        <v>2.34</v>
      </c>
      <c r="AQ175" s="273">
        <f>'Key Inputs_New Techs'!AK104</f>
        <v>2.34</v>
      </c>
      <c r="AR175" s="273">
        <f>'Key Inputs_New Techs'!AL104</f>
        <v>2.34</v>
      </c>
    </row>
    <row r="176" spans="1:44" ht="15.75" x14ac:dyDescent="0.25">
      <c r="J176" s="118"/>
      <c r="K176" s="201" t="str">
        <f>IF('Key Inputs_New Techs'!B105="","",'Key Inputs_New Techs'!B105)</f>
        <v/>
      </c>
      <c r="L176" s="109" t="str">
        <f>IFERROR(VLOOKUP(K$175,'Commodities &amp; Processes'!L:M,2,FALSE),"")</f>
        <v>RSD Air conditioning technology: Electricity Air conditioning (Imp.) -New</v>
      </c>
      <c r="N176" s="109">
        <f>'Key Inputs_New Techs'!H105</f>
        <v>2030</v>
      </c>
      <c r="O176" s="114" t="s">
        <v>37</v>
      </c>
      <c r="P176" s="120" t="s">
        <v>174</v>
      </c>
      <c r="Q176" s="273">
        <f>'Key Inputs_New Techs'!K105</f>
        <v>2.42</v>
      </c>
      <c r="R176" s="273">
        <f>'Key Inputs_New Techs'!L105</f>
        <v>2.42</v>
      </c>
      <c r="S176" s="273">
        <f>'Key Inputs_New Techs'!M105</f>
        <v>2.42</v>
      </c>
      <c r="T176" s="273">
        <f>'Key Inputs_New Techs'!N105</f>
        <v>2.42</v>
      </c>
      <c r="U176" s="273">
        <f>'Key Inputs_New Techs'!O105</f>
        <v>2.42</v>
      </c>
      <c r="V176" s="273">
        <f>'Key Inputs_New Techs'!P105</f>
        <v>2.42</v>
      </c>
      <c r="W176" s="273">
        <f>'Key Inputs_New Techs'!Q105</f>
        <v>2.42</v>
      </c>
      <c r="X176" s="273">
        <f>'Key Inputs_New Techs'!R105</f>
        <v>2.42</v>
      </c>
      <c r="Y176" s="273">
        <f>'Key Inputs_New Techs'!S105</f>
        <v>2.42</v>
      </c>
      <c r="Z176" s="273">
        <f>'Key Inputs_New Techs'!T105</f>
        <v>2.42</v>
      </c>
      <c r="AA176" s="273">
        <f>'Key Inputs_New Techs'!U105</f>
        <v>2.42</v>
      </c>
      <c r="AB176" s="273">
        <f>'Key Inputs_New Techs'!V105</f>
        <v>2.42</v>
      </c>
      <c r="AC176" s="273">
        <f>'Key Inputs_New Techs'!W105</f>
        <v>2.42</v>
      </c>
      <c r="AD176" s="273">
        <f>'Key Inputs_New Techs'!X105</f>
        <v>2.42</v>
      </c>
      <c r="AE176" s="273">
        <f>'Key Inputs_New Techs'!Y105</f>
        <v>2.42</v>
      </c>
      <c r="AF176" s="273">
        <f>'Key Inputs_New Techs'!Z105</f>
        <v>2.42</v>
      </c>
      <c r="AG176" s="273">
        <f>'Key Inputs_New Techs'!AA105</f>
        <v>2.42</v>
      </c>
      <c r="AH176" s="273">
        <f>'Key Inputs_New Techs'!AB105</f>
        <v>2.42</v>
      </c>
      <c r="AI176" s="273">
        <f>'Key Inputs_New Techs'!AC105</f>
        <v>2.42</v>
      </c>
      <c r="AJ176" s="273">
        <f>'Key Inputs_New Techs'!AD105</f>
        <v>2.42</v>
      </c>
      <c r="AK176" s="273">
        <f>'Key Inputs_New Techs'!AE105</f>
        <v>2.42</v>
      </c>
      <c r="AL176" s="273">
        <f>'Key Inputs_New Techs'!AF105</f>
        <v>2.42</v>
      </c>
      <c r="AM176" s="273">
        <f>'Key Inputs_New Techs'!AG105</f>
        <v>2.42</v>
      </c>
      <c r="AN176" s="273">
        <f>'Key Inputs_New Techs'!AH105</f>
        <v>2.42</v>
      </c>
      <c r="AO176" s="273">
        <f>'Key Inputs_New Techs'!AI105</f>
        <v>2.42</v>
      </c>
      <c r="AP176" s="273">
        <f>'Key Inputs_New Techs'!AJ105</f>
        <v>2.42</v>
      </c>
      <c r="AQ176" s="273">
        <f>'Key Inputs_New Techs'!AK105</f>
        <v>2.42</v>
      </c>
      <c r="AR176" s="273">
        <f>'Key Inputs_New Techs'!AL105</f>
        <v>2.42</v>
      </c>
    </row>
    <row r="177" spans="10:44" ht="15.75" x14ac:dyDescent="0.25">
      <c r="J177" s="118"/>
      <c r="K177" s="201" t="str">
        <f>IF('Key Inputs_New Techs'!B106="","",'Key Inputs_New Techs'!B106)</f>
        <v/>
      </c>
      <c r="L177" s="109" t="str">
        <f>IFERROR(VLOOKUP(K$175,'Commodities &amp; Processes'!L:M,2,FALSE),"")</f>
        <v>RSD Air conditioning technology: Electricity Air conditioning (Imp.) -New</v>
      </c>
      <c r="N177" s="109">
        <f>'Key Inputs_New Techs'!H106</f>
        <v>2050</v>
      </c>
      <c r="O177" s="114" t="s">
        <v>37</v>
      </c>
      <c r="P177" s="120" t="s">
        <v>174</v>
      </c>
      <c r="Q177" s="273">
        <f>'Key Inputs_New Techs'!K106</f>
        <v>2.556</v>
      </c>
      <c r="R177" s="273">
        <f>'Key Inputs_New Techs'!L106</f>
        <v>2.556</v>
      </c>
      <c r="S177" s="273">
        <f>'Key Inputs_New Techs'!M106</f>
        <v>2.556</v>
      </c>
      <c r="T177" s="273">
        <f>'Key Inputs_New Techs'!N106</f>
        <v>2.556</v>
      </c>
      <c r="U177" s="273">
        <f>'Key Inputs_New Techs'!O106</f>
        <v>2.556</v>
      </c>
      <c r="V177" s="273">
        <f>'Key Inputs_New Techs'!P106</f>
        <v>2.556</v>
      </c>
      <c r="W177" s="273">
        <f>'Key Inputs_New Techs'!Q106</f>
        <v>2.556</v>
      </c>
      <c r="X177" s="273">
        <f>'Key Inputs_New Techs'!R106</f>
        <v>2.556</v>
      </c>
      <c r="Y177" s="273">
        <f>'Key Inputs_New Techs'!S106</f>
        <v>2.556</v>
      </c>
      <c r="Z177" s="273">
        <f>'Key Inputs_New Techs'!T106</f>
        <v>2.556</v>
      </c>
      <c r="AA177" s="273">
        <f>'Key Inputs_New Techs'!U106</f>
        <v>2.556</v>
      </c>
      <c r="AB177" s="273">
        <f>'Key Inputs_New Techs'!V106</f>
        <v>2.556</v>
      </c>
      <c r="AC177" s="273">
        <f>'Key Inputs_New Techs'!W106</f>
        <v>2.556</v>
      </c>
      <c r="AD177" s="273">
        <f>'Key Inputs_New Techs'!X106</f>
        <v>2.556</v>
      </c>
      <c r="AE177" s="273">
        <f>'Key Inputs_New Techs'!Y106</f>
        <v>2.556</v>
      </c>
      <c r="AF177" s="273">
        <f>'Key Inputs_New Techs'!Z106</f>
        <v>2.556</v>
      </c>
      <c r="AG177" s="273">
        <f>'Key Inputs_New Techs'!AA106</f>
        <v>2.556</v>
      </c>
      <c r="AH177" s="273">
        <f>'Key Inputs_New Techs'!AB106</f>
        <v>2.556</v>
      </c>
      <c r="AI177" s="273">
        <f>'Key Inputs_New Techs'!AC106</f>
        <v>2.556</v>
      </c>
      <c r="AJ177" s="273">
        <f>'Key Inputs_New Techs'!AD106</f>
        <v>2.556</v>
      </c>
      <c r="AK177" s="273">
        <f>'Key Inputs_New Techs'!AE106</f>
        <v>2.556</v>
      </c>
      <c r="AL177" s="273">
        <f>'Key Inputs_New Techs'!AF106</f>
        <v>2.556</v>
      </c>
      <c r="AM177" s="273">
        <f>'Key Inputs_New Techs'!AG106</f>
        <v>2.556</v>
      </c>
      <c r="AN177" s="273">
        <f>'Key Inputs_New Techs'!AH106</f>
        <v>2.556</v>
      </c>
      <c r="AO177" s="273">
        <f>'Key Inputs_New Techs'!AI106</f>
        <v>2.556</v>
      </c>
      <c r="AP177" s="273">
        <f>'Key Inputs_New Techs'!AJ106</f>
        <v>2.556</v>
      </c>
      <c r="AQ177" s="273">
        <f>'Key Inputs_New Techs'!AK106</f>
        <v>2.556</v>
      </c>
      <c r="AR177" s="273">
        <f>'Key Inputs_New Techs'!AL106</f>
        <v>2.556</v>
      </c>
    </row>
    <row r="178" spans="10:44" ht="15.75" x14ac:dyDescent="0.25">
      <c r="J178" s="118"/>
      <c r="K178" s="201" t="str">
        <f>IF('Key Inputs_New Techs'!B107="","",'Key Inputs_New Techs'!B107)</f>
        <v>R-ACH_ELC03</v>
      </c>
      <c r="L178" s="109" t="str">
        <f>IFERROR(VLOOKUP(K$178,'Commodities &amp; Processes'!L:M,2,FALSE),"")</f>
        <v>RSD Air conditioning technology: Electricity Air conditioning (Adv.) -New</v>
      </c>
      <c r="N178" s="109">
        <f>'Key Inputs_New Techs'!H107</f>
        <v>2030</v>
      </c>
      <c r="O178" s="114" t="s">
        <v>37</v>
      </c>
      <c r="P178" s="120" t="s">
        <v>174</v>
      </c>
      <c r="Q178" s="273">
        <f>'Key Inputs_New Techs'!K107</f>
        <v>3.34</v>
      </c>
      <c r="R178" s="273">
        <f>'Key Inputs_New Techs'!L107</f>
        <v>3.34</v>
      </c>
      <c r="S178" s="273">
        <f>'Key Inputs_New Techs'!M107</f>
        <v>3.34</v>
      </c>
      <c r="T178" s="273">
        <f>'Key Inputs_New Techs'!N107</f>
        <v>3.34</v>
      </c>
      <c r="U178" s="273">
        <f>'Key Inputs_New Techs'!O107</f>
        <v>3.34</v>
      </c>
      <c r="V178" s="273">
        <f>'Key Inputs_New Techs'!P107</f>
        <v>3.34</v>
      </c>
      <c r="W178" s="273">
        <f>'Key Inputs_New Techs'!Q107</f>
        <v>3.34</v>
      </c>
      <c r="X178" s="273">
        <f>'Key Inputs_New Techs'!R107</f>
        <v>3.34</v>
      </c>
      <c r="Y178" s="273">
        <f>'Key Inputs_New Techs'!S107</f>
        <v>3.34</v>
      </c>
      <c r="Z178" s="273">
        <f>'Key Inputs_New Techs'!T107</f>
        <v>3.34</v>
      </c>
      <c r="AA178" s="273">
        <f>'Key Inputs_New Techs'!U107</f>
        <v>3.34</v>
      </c>
      <c r="AB178" s="273">
        <f>'Key Inputs_New Techs'!V107</f>
        <v>3.34</v>
      </c>
      <c r="AC178" s="273">
        <f>'Key Inputs_New Techs'!W107</f>
        <v>3.34</v>
      </c>
      <c r="AD178" s="273">
        <f>'Key Inputs_New Techs'!X107</f>
        <v>3.34</v>
      </c>
      <c r="AE178" s="273">
        <f>'Key Inputs_New Techs'!Y107</f>
        <v>3.34</v>
      </c>
      <c r="AF178" s="273">
        <f>'Key Inputs_New Techs'!Z107</f>
        <v>3.34</v>
      </c>
      <c r="AG178" s="273">
        <f>'Key Inputs_New Techs'!AA107</f>
        <v>3.34</v>
      </c>
      <c r="AH178" s="273">
        <f>'Key Inputs_New Techs'!AB107</f>
        <v>3.34</v>
      </c>
      <c r="AI178" s="273">
        <f>'Key Inputs_New Techs'!AC107</f>
        <v>3.34</v>
      </c>
      <c r="AJ178" s="273">
        <f>'Key Inputs_New Techs'!AD107</f>
        <v>3.34</v>
      </c>
      <c r="AK178" s="273">
        <f>'Key Inputs_New Techs'!AE107</f>
        <v>3.34</v>
      </c>
      <c r="AL178" s="273">
        <f>'Key Inputs_New Techs'!AF107</f>
        <v>3.34</v>
      </c>
      <c r="AM178" s="273">
        <f>'Key Inputs_New Techs'!AG107</f>
        <v>3.34</v>
      </c>
      <c r="AN178" s="273">
        <f>'Key Inputs_New Techs'!AH107</f>
        <v>3.34</v>
      </c>
      <c r="AO178" s="273">
        <f>'Key Inputs_New Techs'!AI107</f>
        <v>3.34</v>
      </c>
      <c r="AP178" s="273">
        <f>'Key Inputs_New Techs'!AJ107</f>
        <v>3.34</v>
      </c>
      <c r="AQ178" s="273">
        <f>'Key Inputs_New Techs'!AK107</f>
        <v>3.34</v>
      </c>
      <c r="AR178" s="273">
        <f>'Key Inputs_New Techs'!AL107</f>
        <v>3.34</v>
      </c>
    </row>
    <row r="179" spans="10:44" ht="15.75" x14ac:dyDescent="0.25">
      <c r="J179" s="118"/>
      <c r="K179" s="201" t="str">
        <f>IF('Key Inputs_New Techs'!B108="","",'Key Inputs_New Techs'!B108)</f>
        <v/>
      </c>
      <c r="L179" s="109" t="str">
        <f>IFERROR(VLOOKUP(K$178,'Commodities &amp; Processes'!L:M,2,FALSE),"")</f>
        <v>RSD Air conditioning technology: Electricity Air conditioning (Adv.) -New</v>
      </c>
      <c r="N179" s="109">
        <f>'Key Inputs_New Techs'!H108</f>
        <v>2050</v>
      </c>
      <c r="O179" s="114" t="s">
        <v>37</v>
      </c>
      <c r="P179" s="120" t="s">
        <v>174</v>
      </c>
      <c r="Q179" s="273">
        <f>'Key Inputs_New Techs'!K108</f>
        <v>4.32</v>
      </c>
      <c r="R179" s="273">
        <f>'Key Inputs_New Techs'!L108</f>
        <v>4.32</v>
      </c>
      <c r="S179" s="273">
        <f>'Key Inputs_New Techs'!M108</f>
        <v>4.32</v>
      </c>
      <c r="T179" s="273">
        <f>'Key Inputs_New Techs'!N108</f>
        <v>4.32</v>
      </c>
      <c r="U179" s="273">
        <f>'Key Inputs_New Techs'!O108</f>
        <v>4.32</v>
      </c>
      <c r="V179" s="273">
        <f>'Key Inputs_New Techs'!P108</f>
        <v>4.32</v>
      </c>
      <c r="W179" s="273">
        <f>'Key Inputs_New Techs'!Q108</f>
        <v>4.32</v>
      </c>
      <c r="X179" s="273">
        <f>'Key Inputs_New Techs'!R108</f>
        <v>4.32</v>
      </c>
      <c r="Y179" s="273">
        <f>'Key Inputs_New Techs'!S108</f>
        <v>4.32</v>
      </c>
      <c r="Z179" s="273">
        <f>'Key Inputs_New Techs'!T108</f>
        <v>4.32</v>
      </c>
      <c r="AA179" s="273">
        <f>'Key Inputs_New Techs'!U108</f>
        <v>4.32</v>
      </c>
      <c r="AB179" s="273">
        <f>'Key Inputs_New Techs'!V108</f>
        <v>4.32</v>
      </c>
      <c r="AC179" s="273">
        <f>'Key Inputs_New Techs'!W108</f>
        <v>4.32</v>
      </c>
      <c r="AD179" s="273">
        <f>'Key Inputs_New Techs'!X108</f>
        <v>4.32</v>
      </c>
      <c r="AE179" s="273">
        <f>'Key Inputs_New Techs'!Y108</f>
        <v>4.32</v>
      </c>
      <c r="AF179" s="273">
        <f>'Key Inputs_New Techs'!Z108</f>
        <v>4.32</v>
      </c>
      <c r="AG179" s="273">
        <f>'Key Inputs_New Techs'!AA108</f>
        <v>4.32</v>
      </c>
      <c r="AH179" s="273">
        <f>'Key Inputs_New Techs'!AB108</f>
        <v>4.32</v>
      </c>
      <c r="AI179" s="273">
        <f>'Key Inputs_New Techs'!AC108</f>
        <v>4.32</v>
      </c>
      <c r="AJ179" s="273">
        <f>'Key Inputs_New Techs'!AD108</f>
        <v>4.32</v>
      </c>
      <c r="AK179" s="273">
        <f>'Key Inputs_New Techs'!AE108</f>
        <v>4.32</v>
      </c>
      <c r="AL179" s="273">
        <f>'Key Inputs_New Techs'!AF108</f>
        <v>4.32</v>
      </c>
      <c r="AM179" s="273">
        <f>'Key Inputs_New Techs'!AG108</f>
        <v>4.32</v>
      </c>
      <c r="AN179" s="273">
        <f>'Key Inputs_New Techs'!AH108</f>
        <v>4.32</v>
      </c>
      <c r="AO179" s="273">
        <f>'Key Inputs_New Techs'!AI108</f>
        <v>4.32</v>
      </c>
      <c r="AP179" s="273">
        <f>'Key Inputs_New Techs'!AJ108</f>
        <v>4.32</v>
      </c>
      <c r="AQ179" s="273">
        <f>'Key Inputs_New Techs'!AK108</f>
        <v>4.32</v>
      </c>
      <c r="AR179" s="273">
        <f>'Key Inputs_New Techs'!AL108</f>
        <v>4.32</v>
      </c>
    </row>
    <row r="180" spans="10:44" ht="15.75" x14ac:dyDescent="0.25">
      <c r="J180" s="118"/>
      <c r="K180" s="201" t="str">
        <f>IF('Key Inputs_New Techs'!B109="","",'Key Inputs_New Techs'!B109)</f>
        <v>R-CK_ELC01</v>
      </c>
      <c r="L180" s="109" t="str">
        <f>IFERROR(VLOOKUP(K180,'Commodities &amp; Processes'!L:M,2,FALSE),"")</f>
        <v>RSD Cooking technology: Electricity Cooking system (Ord.) -New</v>
      </c>
      <c r="N180" s="109">
        <f>'Key Inputs_New Techs'!H109</f>
        <v>2020</v>
      </c>
      <c r="O180" s="114" t="s">
        <v>37</v>
      </c>
      <c r="P180" s="120" t="s">
        <v>174</v>
      </c>
      <c r="Q180" s="273">
        <f>'Key Inputs_New Techs'!K109</f>
        <v>0.94799999999999995</v>
      </c>
      <c r="R180" s="273">
        <f>'Key Inputs_New Techs'!L109</f>
        <v>0.94799999999999995</v>
      </c>
      <c r="S180" s="273">
        <f>'Key Inputs_New Techs'!M109</f>
        <v>0.94799999999999995</v>
      </c>
      <c r="T180" s="273">
        <f>'Key Inputs_New Techs'!N109</f>
        <v>0.94799999999999995</v>
      </c>
      <c r="U180" s="273">
        <f>'Key Inputs_New Techs'!O109</f>
        <v>0.94799999999999995</v>
      </c>
      <c r="V180" s="273">
        <f>'Key Inputs_New Techs'!P109</f>
        <v>0.94799999999999995</v>
      </c>
      <c r="W180" s="273">
        <f>'Key Inputs_New Techs'!Q109</f>
        <v>0.79</v>
      </c>
      <c r="X180" s="273">
        <f>'Key Inputs_New Techs'!R109</f>
        <v>0.94799999999999995</v>
      </c>
      <c r="Y180" s="273">
        <f>'Key Inputs_New Techs'!S109</f>
        <v>0.84765660930812292</v>
      </c>
      <c r="Z180" s="273">
        <f>'Key Inputs_New Techs'!T109</f>
        <v>0.94799999999999995</v>
      </c>
      <c r="AA180" s="273">
        <f>'Key Inputs_New Techs'!U109</f>
        <v>0.94799999999999995</v>
      </c>
      <c r="AB180" s="273">
        <f>'Key Inputs_New Techs'!V109</f>
        <v>0.94799999999999995</v>
      </c>
      <c r="AC180" s="273">
        <f>'Key Inputs_New Techs'!W109</f>
        <v>0.94799999999999995</v>
      </c>
      <c r="AD180" s="273">
        <f>'Key Inputs_New Techs'!X109</f>
        <v>0.94799999999999995</v>
      </c>
      <c r="AE180" s="273">
        <f>'Key Inputs_New Techs'!Y109</f>
        <v>0.94799999999999995</v>
      </c>
      <c r="AF180" s="273">
        <f>'Key Inputs_New Techs'!Z109</f>
        <v>0.94799999999999995</v>
      </c>
      <c r="AG180" s="273">
        <f>'Key Inputs_New Techs'!AA109</f>
        <v>0.94799999999999995</v>
      </c>
      <c r="AH180" s="273">
        <f>'Key Inputs_New Techs'!AB109</f>
        <v>0.94799999999999995</v>
      </c>
      <c r="AI180" s="273">
        <f>'Key Inputs_New Techs'!AC109</f>
        <v>0.94799999999999995</v>
      </c>
      <c r="AJ180" s="273">
        <f>'Key Inputs_New Techs'!AD109</f>
        <v>0.94799999999999995</v>
      </c>
      <c r="AK180" s="273">
        <f>'Key Inputs_New Techs'!AE109</f>
        <v>0.94799999999999995</v>
      </c>
      <c r="AL180" s="273">
        <f>'Key Inputs_New Techs'!AF109</f>
        <v>0.94799999999999995</v>
      </c>
      <c r="AM180" s="273">
        <f>'Key Inputs_New Techs'!AG109</f>
        <v>0.94799999999999995</v>
      </c>
      <c r="AN180" s="273">
        <f>'Key Inputs_New Techs'!AH109</f>
        <v>0.94799999999999995</v>
      </c>
      <c r="AO180" s="273">
        <f>'Key Inputs_New Techs'!AI109</f>
        <v>0.94799999999999995</v>
      </c>
      <c r="AP180" s="273">
        <f>'Key Inputs_New Techs'!AJ109</f>
        <v>0.94799999999999995</v>
      </c>
      <c r="AQ180" s="273">
        <f>'Key Inputs_New Techs'!AK109</f>
        <v>0.94799999999999995</v>
      </c>
      <c r="AR180" s="273">
        <f>'Key Inputs_New Techs'!AL109</f>
        <v>0.94799999999999995</v>
      </c>
    </row>
    <row r="181" spans="10:44" ht="15.75" x14ac:dyDescent="0.25">
      <c r="J181" s="113"/>
      <c r="K181" s="201" t="str">
        <f>IF('Key Inputs_New Techs'!B110="","",'Key Inputs_New Techs'!B110)</f>
        <v>R-CK_GAS01</v>
      </c>
      <c r="L181" s="109" t="str">
        <f>IFERROR(VLOOKUP(K181,'Commodities &amp; Processes'!L:M,2,FALSE),"")</f>
        <v>RSD Cooking technology: Natural gas,Biogas Cooking system (Ord.) -New</v>
      </c>
      <c r="N181" s="109">
        <f>'Key Inputs_New Techs'!H110</f>
        <v>2020</v>
      </c>
      <c r="O181" s="114" t="s">
        <v>37</v>
      </c>
      <c r="P181" s="120" t="s">
        <v>174</v>
      </c>
      <c r="Q181" s="273">
        <f>'Key Inputs_New Techs'!K110</f>
        <v>0.504</v>
      </c>
      <c r="R181" s="273">
        <f>'Key Inputs_New Techs'!L110</f>
        <v>0.504</v>
      </c>
      <c r="S181" s="273">
        <f>'Key Inputs_New Techs'!M110</f>
        <v>0.504</v>
      </c>
      <c r="T181" s="273">
        <f>'Key Inputs_New Techs'!N110</f>
        <v>0.504</v>
      </c>
      <c r="U181" s="273">
        <f>'Key Inputs_New Techs'!O110</f>
        <v>0.504</v>
      </c>
      <c r="V181" s="273">
        <f>'Key Inputs_New Techs'!P110</f>
        <v>0.504</v>
      </c>
      <c r="W181" s="273">
        <f>'Key Inputs_New Techs'!Q110</f>
        <v>0.42</v>
      </c>
      <c r="X181" s="273">
        <f>'Key Inputs_New Techs'!R110</f>
        <v>0.504</v>
      </c>
      <c r="Y181" s="273">
        <f>'Key Inputs_New Techs'!S110</f>
        <v>0.45065288089798938</v>
      </c>
      <c r="Z181" s="273">
        <f>'Key Inputs_New Techs'!T110</f>
        <v>0.504</v>
      </c>
      <c r="AA181" s="273">
        <f>'Key Inputs_New Techs'!U110</f>
        <v>0.504</v>
      </c>
      <c r="AB181" s="273">
        <f>'Key Inputs_New Techs'!V110</f>
        <v>0.504</v>
      </c>
      <c r="AC181" s="273">
        <f>'Key Inputs_New Techs'!W110</f>
        <v>0.504</v>
      </c>
      <c r="AD181" s="273">
        <f>'Key Inputs_New Techs'!X110</f>
        <v>0.504</v>
      </c>
      <c r="AE181" s="273">
        <f>'Key Inputs_New Techs'!Y110</f>
        <v>0.504</v>
      </c>
      <c r="AF181" s="273">
        <f>'Key Inputs_New Techs'!Z110</f>
        <v>0.504</v>
      </c>
      <c r="AG181" s="273">
        <f>'Key Inputs_New Techs'!AA110</f>
        <v>0.504</v>
      </c>
      <c r="AH181" s="273">
        <f>'Key Inputs_New Techs'!AB110</f>
        <v>0.504</v>
      </c>
      <c r="AI181" s="273">
        <f>'Key Inputs_New Techs'!AC110</f>
        <v>0.504</v>
      </c>
      <c r="AJ181" s="273">
        <f>'Key Inputs_New Techs'!AD110</f>
        <v>0.504</v>
      </c>
      <c r="AK181" s="273">
        <f>'Key Inputs_New Techs'!AE110</f>
        <v>0.504</v>
      </c>
      <c r="AL181" s="273">
        <f>'Key Inputs_New Techs'!AF110</f>
        <v>0.504</v>
      </c>
      <c r="AM181" s="273">
        <f>'Key Inputs_New Techs'!AG110</f>
        <v>0.504</v>
      </c>
      <c r="AN181" s="273">
        <f>'Key Inputs_New Techs'!AH110</f>
        <v>0.504</v>
      </c>
      <c r="AO181" s="273">
        <f>'Key Inputs_New Techs'!AI110</f>
        <v>0.504</v>
      </c>
      <c r="AP181" s="273">
        <f>'Key Inputs_New Techs'!AJ110</f>
        <v>0.504</v>
      </c>
      <c r="AQ181" s="273">
        <f>'Key Inputs_New Techs'!AK110</f>
        <v>0.504</v>
      </c>
      <c r="AR181" s="273">
        <f>'Key Inputs_New Techs'!AL110</f>
        <v>0.504</v>
      </c>
    </row>
    <row r="182" spans="10:44" ht="15.75" x14ac:dyDescent="0.25">
      <c r="J182" s="118"/>
      <c r="K182" s="201" t="str">
        <f>IF('Key Inputs_New Techs'!B111="","",'Key Inputs_New Techs'!B111)</f>
        <v>R-CK_LPG01</v>
      </c>
      <c r="L182" s="109" t="str">
        <f>IFERROR(VLOOKUP(K182,'Commodities &amp; Processes'!L:M,2,FALSE),"")</f>
        <v>RSD Cooking technology: LPG Cooking system (Ord.) -New</v>
      </c>
      <c r="N182" s="109">
        <f>'Key Inputs_New Techs'!H111</f>
        <v>2020</v>
      </c>
      <c r="O182" s="114" t="s">
        <v>37</v>
      </c>
      <c r="P182" s="120" t="s">
        <v>174</v>
      </c>
      <c r="Q182" s="273">
        <f>'Key Inputs_New Techs'!K111</f>
        <v>0.7248</v>
      </c>
      <c r="R182" s="273">
        <f>'Key Inputs_New Techs'!L111</f>
        <v>0.7248</v>
      </c>
      <c r="S182" s="273">
        <f>'Key Inputs_New Techs'!M111</f>
        <v>0.7248</v>
      </c>
      <c r="T182" s="273">
        <f>'Key Inputs_New Techs'!N111</f>
        <v>0.7248</v>
      </c>
      <c r="U182" s="273">
        <f>'Key Inputs_New Techs'!O111</f>
        <v>0.7248</v>
      </c>
      <c r="V182" s="273">
        <f>'Key Inputs_New Techs'!P111</f>
        <v>0.7248</v>
      </c>
      <c r="W182" s="273">
        <f>'Key Inputs_New Techs'!Q111</f>
        <v>0.60399999999999998</v>
      </c>
      <c r="X182" s="273">
        <f>'Key Inputs_New Techs'!R111</f>
        <v>0.7248</v>
      </c>
      <c r="Y182" s="273">
        <f>'Key Inputs_New Techs'!S111</f>
        <v>0.64808176205329904</v>
      </c>
      <c r="Z182" s="273">
        <f>'Key Inputs_New Techs'!T111</f>
        <v>0.7248</v>
      </c>
      <c r="AA182" s="273">
        <f>'Key Inputs_New Techs'!U111</f>
        <v>0.7248</v>
      </c>
      <c r="AB182" s="273">
        <f>'Key Inputs_New Techs'!V111</f>
        <v>0.7248</v>
      </c>
      <c r="AC182" s="273">
        <f>'Key Inputs_New Techs'!W111</f>
        <v>0.7248</v>
      </c>
      <c r="AD182" s="273">
        <f>'Key Inputs_New Techs'!X111</f>
        <v>0.7248</v>
      </c>
      <c r="AE182" s="273">
        <f>'Key Inputs_New Techs'!Y111</f>
        <v>0.7248</v>
      </c>
      <c r="AF182" s="273">
        <f>'Key Inputs_New Techs'!Z111</f>
        <v>0.7248</v>
      </c>
      <c r="AG182" s="273">
        <f>'Key Inputs_New Techs'!AA111</f>
        <v>0.7248</v>
      </c>
      <c r="AH182" s="273">
        <f>'Key Inputs_New Techs'!AB111</f>
        <v>0.7248</v>
      </c>
      <c r="AI182" s="273">
        <f>'Key Inputs_New Techs'!AC111</f>
        <v>0.7248</v>
      </c>
      <c r="AJ182" s="273">
        <f>'Key Inputs_New Techs'!AD111</f>
        <v>0.7248</v>
      </c>
      <c r="AK182" s="273">
        <f>'Key Inputs_New Techs'!AE111</f>
        <v>0.7248</v>
      </c>
      <c r="AL182" s="273">
        <f>'Key Inputs_New Techs'!AF111</f>
        <v>0.7248</v>
      </c>
      <c r="AM182" s="273">
        <f>'Key Inputs_New Techs'!AG111</f>
        <v>0.7248</v>
      </c>
      <c r="AN182" s="273">
        <f>'Key Inputs_New Techs'!AH111</f>
        <v>0.7248</v>
      </c>
      <c r="AO182" s="273">
        <f>'Key Inputs_New Techs'!AI111</f>
        <v>0.7248</v>
      </c>
      <c r="AP182" s="273">
        <f>'Key Inputs_New Techs'!AJ111</f>
        <v>0.7248</v>
      </c>
      <c r="AQ182" s="273">
        <f>'Key Inputs_New Techs'!AK111</f>
        <v>0.7248</v>
      </c>
      <c r="AR182" s="273">
        <f>'Key Inputs_New Techs'!AL111</f>
        <v>0.7248</v>
      </c>
    </row>
    <row r="183" spans="10:44" ht="15.75" x14ac:dyDescent="0.25">
      <c r="J183" s="118"/>
      <c r="K183" s="201" t="str">
        <f>IF('Key Inputs_New Techs'!B112="","",'Key Inputs_New Techs'!B112)</f>
        <v>R-CK_BIO01</v>
      </c>
      <c r="L183" s="109" t="str">
        <f>IFERROR(VLOOKUP(K183,'Commodities &amp; Processes'!L:M,2,FALSE),"")</f>
        <v>RSD Cooking technology: Biomass Cooking system (Ord.) -New</v>
      </c>
      <c r="N183" s="109">
        <f>'Key Inputs_New Techs'!H112</f>
        <v>2020</v>
      </c>
      <c r="O183" s="114" t="s">
        <v>37</v>
      </c>
      <c r="P183" s="120" t="s">
        <v>174</v>
      </c>
      <c r="Q183" s="273">
        <f>'Key Inputs_New Techs'!K112</f>
        <v>0.54120000000000001</v>
      </c>
      <c r="R183" s="273">
        <f>'Key Inputs_New Techs'!L112</f>
        <v>0.54120000000000001</v>
      </c>
      <c r="S183" s="273">
        <f>'Key Inputs_New Techs'!M112</f>
        <v>0.54120000000000001</v>
      </c>
      <c r="T183" s="273">
        <f>'Key Inputs_New Techs'!N112</f>
        <v>0.54120000000000001</v>
      </c>
      <c r="U183" s="273">
        <f>'Key Inputs_New Techs'!O112</f>
        <v>0.54120000000000001</v>
      </c>
      <c r="V183" s="273">
        <f>'Key Inputs_New Techs'!P112</f>
        <v>0.54120000000000001</v>
      </c>
      <c r="W183" s="273">
        <f>'Key Inputs_New Techs'!Q112</f>
        <v>0.45100000000000001</v>
      </c>
      <c r="X183" s="273">
        <f>'Key Inputs_New Techs'!R112</f>
        <v>0.54120000000000001</v>
      </c>
      <c r="Y183" s="273">
        <f>'Key Inputs_New Techs'!S112</f>
        <v>0.48391535544046005</v>
      </c>
      <c r="Z183" s="273">
        <f>'Key Inputs_New Techs'!T112</f>
        <v>0.54120000000000001</v>
      </c>
      <c r="AA183" s="273">
        <f>'Key Inputs_New Techs'!U112</f>
        <v>0.54120000000000001</v>
      </c>
      <c r="AB183" s="273">
        <f>'Key Inputs_New Techs'!V112</f>
        <v>0.54120000000000001</v>
      </c>
      <c r="AC183" s="273">
        <f>'Key Inputs_New Techs'!W112</f>
        <v>0.54120000000000001</v>
      </c>
      <c r="AD183" s="273">
        <f>'Key Inputs_New Techs'!X112</f>
        <v>0.54120000000000001</v>
      </c>
      <c r="AE183" s="273">
        <f>'Key Inputs_New Techs'!Y112</f>
        <v>0.54120000000000001</v>
      </c>
      <c r="AF183" s="273">
        <f>'Key Inputs_New Techs'!Z112</f>
        <v>0.54120000000000001</v>
      </c>
      <c r="AG183" s="273">
        <f>'Key Inputs_New Techs'!AA112</f>
        <v>0.54120000000000001</v>
      </c>
      <c r="AH183" s="273">
        <f>'Key Inputs_New Techs'!AB112</f>
        <v>0.54120000000000001</v>
      </c>
      <c r="AI183" s="273">
        <f>'Key Inputs_New Techs'!AC112</f>
        <v>0.54120000000000001</v>
      </c>
      <c r="AJ183" s="273">
        <f>'Key Inputs_New Techs'!AD112</f>
        <v>0.54120000000000001</v>
      </c>
      <c r="AK183" s="273">
        <f>'Key Inputs_New Techs'!AE112</f>
        <v>0.54120000000000001</v>
      </c>
      <c r="AL183" s="273">
        <f>'Key Inputs_New Techs'!AF112</f>
        <v>0.54120000000000001</v>
      </c>
      <c r="AM183" s="273">
        <f>'Key Inputs_New Techs'!AG112</f>
        <v>0.54120000000000001</v>
      </c>
      <c r="AN183" s="273">
        <f>'Key Inputs_New Techs'!AH112</f>
        <v>0.54120000000000001</v>
      </c>
      <c r="AO183" s="273">
        <f>'Key Inputs_New Techs'!AI112</f>
        <v>0.54120000000000001</v>
      </c>
      <c r="AP183" s="273">
        <f>'Key Inputs_New Techs'!AJ112</f>
        <v>0.54120000000000001</v>
      </c>
      <c r="AQ183" s="273">
        <f>'Key Inputs_New Techs'!AK112</f>
        <v>0.54120000000000001</v>
      </c>
      <c r="AR183" s="273">
        <f>'Key Inputs_New Techs'!AL112</f>
        <v>0.54120000000000001</v>
      </c>
    </row>
    <row r="184" spans="10:44" ht="15.75" x14ac:dyDescent="0.25">
      <c r="J184" s="118"/>
      <c r="K184" s="201" t="str">
        <f>IF('Key Inputs_New Techs'!B113="","",'Key Inputs_New Techs'!B113)</f>
        <v>R-CK_COA01</v>
      </c>
      <c r="L184" s="109" t="str">
        <f>IFERROR(VLOOKUP(K184,'Commodities &amp; Processes'!L:M,2,FALSE),"")</f>
        <v>RSD Cooking technology: Coal Cooking system (Ord.) -New</v>
      </c>
      <c r="N184" s="109">
        <f>'Key Inputs_New Techs'!H113</f>
        <v>2020</v>
      </c>
      <c r="O184" s="114" t="s">
        <v>37</v>
      </c>
      <c r="P184" s="120" t="s">
        <v>174</v>
      </c>
      <c r="Q184" s="273">
        <f>'Key Inputs_New Techs'!K113</f>
        <v>0.54120000000000001</v>
      </c>
      <c r="R184" s="273">
        <f>'Key Inputs_New Techs'!L113</f>
        <v>0.54120000000000001</v>
      </c>
      <c r="S184" s="273">
        <f>'Key Inputs_New Techs'!M113</f>
        <v>0.54120000000000001</v>
      </c>
      <c r="T184" s="273">
        <f>'Key Inputs_New Techs'!N113</f>
        <v>0.54120000000000001</v>
      </c>
      <c r="U184" s="273">
        <f>'Key Inputs_New Techs'!O113</f>
        <v>0.54120000000000001</v>
      </c>
      <c r="V184" s="273">
        <f>'Key Inputs_New Techs'!P113</f>
        <v>0.54120000000000001</v>
      </c>
      <c r="W184" s="273">
        <f>'Key Inputs_New Techs'!Q113</f>
        <v>0.45100000000000001</v>
      </c>
      <c r="X184" s="273">
        <f>'Key Inputs_New Techs'!R113</f>
        <v>0.54120000000000001</v>
      </c>
      <c r="Y184" s="273">
        <f>'Key Inputs_New Techs'!S113</f>
        <v>0.48391535544046005</v>
      </c>
      <c r="Z184" s="273">
        <f>'Key Inputs_New Techs'!T113</f>
        <v>0.54120000000000001</v>
      </c>
      <c r="AA184" s="273">
        <f>'Key Inputs_New Techs'!U113</f>
        <v>0.54120000000000001</v>
      </c>
      <c r="AB184" s="273">
        <f>'Key Inputs_New Techs'!V113</f>
        <v>0.54120000000000001</v>
      </c>
      <c r="AC184" s="273">
        <f>'Key Inputs_New Techs'!W113</f>
        <v>0.54120000000000001</v>
      </c>
      <c r="AD184" s="273">
        <f>'Key Inputs_New Techs'!X113</f>
        <v>0.54120000000000001</v>
      </c>
      <c r="AE184" s="273">
        <f>'Key Inputs_New Techs'!Y113</f>
        <v>0.54120000000000001</v>
      </c>
      <c r="AF184" s="273">
        <f>'Key Inputs_New Techs'!Z113</f>
        <v>0.54120000000000001</v>
      </c>
      <c r="AG184" s="273">
        <f>'Key Inputs_New Techs'!AA113</f>
        <v>0.54120000000000001</v>
      </c>
      <c r="AH184" s="273">
        <f>'Key Inputs_New Techs'!AB113</f>
        <v>0.54120000000000001</v>
      </c>
      <c r="AI184" s="273">
        <f>'Key Inputs_New Techs'!AC113</f>
        <v>0.54120000000000001</v>
      </c>
      <c r="AJ184" s="273">
        <f>'Key Inputs_New Techs'!AD113</f>
        <v>0.54120000000000001</v>
      </c>
      <c r="AK184" s="273">
        <f>'Key Inputs_New Techs'!AE113</f>
        <v>0.54120000000000001</v>
      </c>
      <c r="AL184" s="273">
        <f>'Key Inputs_New Techs'!AF113</f>
        <v>0.54120000000000001</v>
      </c>
      <c r="AM184" s="273">
        <f>'Key Inputs_New Techs'!AG113</f>
        <v>0.54120000000000001</v>
      </c>
      <c r="AN184" s="273">
        <f>'Key Inputs_New Techs'!AH113</f>
        <v>0.54120000000000001</v>
      </c>
      <c r="AO184" s="273">
        <f>'Key Inputs_New Techs'!AI113</f>
        <v>0.54120000000000001</v>
      </c>
      <c r="AP184" s="273">
        <f>'Key Inputs_New Techs'!AJ113</f>
        <v>0.54120000000000001</v>
      </c>
      <c r="AQ184" s="273">
        <f>'Key Inputs_New Techs'!AK113</f>
        <v>0.54120000000000001</v>
      </c>
      <c r="AR184" s="273">
        <f>'Key Inputs_New Techs'!AL113</f>
        <v>0.54120000000000001</v>
      </c>
    </row>
    <row r="185" spans="10:44" ht="15.75" x14ac:dyDescent="0.25">
      <c r="J185" s="118"/>
      <c r="K185" s="201" t="str">
        <f>IF('Key Inputs_New Techs'!B114="","",'Key Inputs_New Techs'!B114)</f>
        <v>R-LIG_ELC01</v>
      </c>
      <c r="L185" s="109" t="str">
        <f>IFERROR(VLOOKUP(K185,'Commodities &amp; Processes'!L:M,2,FALSE),"")</f>
        <v>RSD Lighting technology: Electricity Lighting system (Ord.) -New</v>
      </c>
      <c r="N185" s="109">
        <f>'Key Inputs_New Techs'!H114</f>
        <v>2020</v>
      </c>
      <c r="O185" s="114" t="s">
        <v>37</v>
      </c>
      <c r="P185" s="120" t="s">
        <v>582</v>
      </c>
      <c r="Q185" s="273">
        <f>'Key Inputs_New Techs'!K114</f>
        <v>25</v>
      </c>
      <c r="R185" s="273">
        <f>'Key Inputs_New Techs'!L114</f>
        <v>25</v>
      </c>
      <c r="S185" s="273">
        <f>'Key Inputs_New Techs'!M114</f>
        <v>25</v>
      </c>
      <c r="T185" s="273">
        <f>'Key Inputs_New Techs'!N114</f>
        <v>25</v>
      </c>
      <c r="U185" s="273">
        <f>'Key Inputs_New Techs'!O114</f>
        <v>25</v>
      </c>
      <c r="V185" s="273">
        <f>'Key Inputs_New Techs'!P114</f>
        <v>25</v>
      </c>
      <c r="W185" s="273">
        <f>'Key Inputs_New Techs'!Q114</f>
        <v>25</v>
      </c>
      <c r="X185" s="273">
        <f>'Key Inputs_New Techs'!R114</f>
        <v>25</v>
      </c>
      <c r="Y185" s="273">
        <f>'Key Inputs_New Techs'!S114</f>
        <v>25</v>
      </c>
      <c r="Z185" s="273">
        <f>'Key Inputs_New Techs'!T114</f>
        <v>25</v>
      </c>
      <c r="AA185" s="273">
        <f>'Key Inputs_New Techs'!U114</f>
        <v>25</v>
      </c>
      <c r="AB185" s="273">
        <f>'Key Inputs_New Techs'!V114</f>
        <v>25</v>
      </c>
      <c r="AC185" s="273">
        <f>'Key Inputs_New Techs'!W114</f>
        <v>25</v>
      </c>
      <c r="AD185" s="273">
        <f>'Key Inputs_New Techs'!X114</f>
        <v>25</v>
      </c>
      <c r="AE185" s="273">
        <f>'Key Inputs_New Techs'!Y114</f>
        <v>25</v>
      </c>
      <c r="AF185" s="273">
        <f>'Key Inputs_New Techs'!Z114</f>
        <v>25</v>
      </c>
      <c r="AG185" s="273">
        <f>'Key Inputs_New Techs'!AA114</f>
        <v>25</v>
      </c>
      <c r="AH185" s="273">
        <f>'Key Inputs_New Techs'!AB114</f>
        <v>25</v>
      </c>
      <c r="AI185" s="273">
        <f>'Key Inputs_New Techs'!AC114</f>
        <v>25</v>
      </c>
      <c r="AJ185" s="273">
        <f>'Key Inputs_New Techs'!AD114</f>
        <v>25</v>
      </c>
      <c r="AK185" s="273">
        <f>'Key Inputs_New Techs'!AE114</f>
        <v>25</v>
      </c>
      <c r="AL185" s="273">
        <f>'Key Inputs_New Techs'!AF114</f>
        <v>25</v>
      </c>
      <c r="AM185" s="273">
        <f>'Key Inputs_New Techs'!AG114</f>
        <v>25</v>
      </c>
      <c r="AN185" s="273">
        <f>'Key Inputs_New Techs'!AH114</f>
        <v>25</v>
      </c>
      <c r="AO185" s="273">
        <f>'Key Inputs_New Techs'!AI114</f>
        <v>25</v>
      </c>
      <c r="AP185" s="273">
        <f>'Key Inputs_New Techs'!AJ114</f>
        <v>25</v>
      </c>
      <c r="AQ185" s="273">
        <f>'Key Inputs_New Techs'!AK114</f>
        <v>25</v>
      </c>
      <c r="AR185" s="273">
        <f>'Key Inputs_New Techs'!AL114</f>
        <v>25</v>
      </c>
    </row>
    <row r="186" spans="10:44" ht="15.75" x14ac:dyDescent="0.25">
      <c r="J186" s="118"/>
      <c r="K186" s="201" t="str">
        <f>IF('Key Inputs_New Techs'!B115="","",'Key Inputs_New Techs'!B115)</f>
        <v>R-LIG_ELC02</v>
      </c>
      <c r="L186" s="109" t="str">
        <f>IFERROR(VLOOKUP(K$186,'Commodities &amp; Processes'!L:M,2,FALSE),"")</f>
        <v>RSD Lighting technology: Electricity Lighting system (Imp.) -New</v>
      </c>
      <c r="N186" s="109">
        <f>'Key Inputs_New Techs'!H115</f>
        <v>2025</v>
      </c>
      <c r="O186" s="114" t="s">
        <v>37</v>
      </c>
      <c r="P186" s="120" t="s">
        <v>582</v>
      </c>
      <c r="Q186" s="273">
        <f>'Key Inputs_New Techs'!K115</f>
        <v>25</v>
      </c>
      <c r="R186" s="273">
        <f>'Key Inputs_New Techs'!L115</f>
        <v>25</v>
      </c>
      <c r="S186" s="273">
        <f>'Key Inputs_New Techs'!M115</f>
        <v>25</v>
      </c>
      <c r="T186" s="273">
        <f>'Key Inputs_New Techs'!N115</f>
        <v>25</v>
      </c>
      <c r="U186" s="273">
        <f>'Key Inputs_New Techs'!O115</f>
        <v>25</v>
      </c>
      <c r="V186" s="273">
        <f>'Key Inputs_New Techs'!P115</f>
        <v>25</v>
      </c>
      <c r="W186" s="273">
        <f>'Key Inputs_New Techs'!Q115</f>
        <v>25</v>
      </c>
      <c r="X186" s="273">
        <f>'Key Inputs_New Techs'!R115</f>
        <v>25</v>
      </c>
      <c r="Y186" s="273">
        <f>'Key Inputs_New Techs'!S115</f>
        <v>25</v>
      </c>
      <c r="Z186" s="273">
        <f>'Key Inputs_New Techs'!T115</f>
        <v>25</v>
      </c>
      <c r="AA186" s="273">
        <f>'Key Inputs_New Techs'!U115</f>
        <v>25</v>
      </c>
      <c r="AB186" s="273">
        <f>'Key Inputs_New Techs'!V115</f>
        <v>25</v>
      </c>
      <c r="AC186" s="273">
        <f>'Key Inputs_New Techs'!W115</f>
        <v>25</v>
      </c>
      <c r="AD186" s="273">
        <f>'Key Inputs_New Techs'!X115</f>
        <v>25</v>
      </c>
      <c r="AE186" s="273">
        <f>'Key Inputs_New Techs'!Y115</f>
        <v>25</v>
      </c>
      <c r="AF186" s="273">
        <f>'Key Inputs_New Techs'!Z115</f>
        <v>25</v>
      </c>
      <c r="AG186" s="273">
        <f>'Key Inputs_New Techs'!AA115</f>
        <v>25</v>
      </c>
      <c r="AH186" s="273">
        <f>'Key Inputs_New Techs'!AB115</f>
        <v>25</v>
      </c>
      <c r="AI186" s="273">
        <f>'Key Inputs_New Techs'!AC115</f>
        <v>25</v>
      </c>
      <c r="AJ186" s="273">
        <f>'Key Inputs_New Techs'!AD115</f>
        <v>25</v>
      </c>
      <c r="AK186" s="273">
        <f>'Key Inputs_New Techs'!AE115</f>
        <v>25</v>
      </c>
      <c r="AL186" s="273">
        <f>'Key Inputs_New Techs'!AF115</f>
        <v>25</v>
      </c>
      <c r="AM186" s="273">
        <f>'Key Inputs_New Techs'!AG115</f>
        <v>25</v>
      </c>
      <c r="AN186" s="273">
        <f>'Key Inputs_New Techs'!AH115</f>
        <v>25</v>
      </c>
      <c r="AO186" s="273">
        <f>'Key Inputs_New Techs'!AI115</f>
        <v>25</v>
      </c>
      <c r="AP186" s="273">
        <f>'Key Inputs_New Techs'!AJ115</f>
        <v>25</v>
      </c>
      <c r="AQ186" s="273">
        <f>'Key Inputs_New Techs'!AK115</f>
        <v>25</v>
      </c>
      <c r="AR186" s="273">
        <f>'Key Inputs_New Techs'!AL115</f>
        <v>25</v>
      </c>
    </row>
    <row r="187" spans="10:44" ht="15.75" x14ac:dyDescent="0.25">
      <c r="J187" s="118"/>
      <c r="K187" s="201" t="str">
        <f>IF('Key Inputs_New Techs'!B116="","",'Key Inputs_New Techs'!B116)</f>
        <v/>
      </c>
      <c r="L187" s="109" t="str">
        <f>IFERROR(VLOOKUP(K$186,'Commodities &amp; Processes'!L:M,2,FALSE),"")</f>
        <v>RSD Lighting technology: Electricity Lighting system (Imp.) -New</v>
      </c>
      <c r="N187" s="109">
        <f>'Key Inputs_New Techs'!H116</f>
        <v>2030</v>
      </c>
      <c r="O187" s="114" t="s">
        <v>37</v>
      </c>
      <c r="P187" s="120" t="s">
        <v>582</v>
      </c>
      <c r="Q187" s="273">
        <f>'Key Inputs_New Techs'!K116</f>
        <v>35.582498682129675</v>
      </c>
      <c r="R187" s="273">
        <f>'Key Inputs_New Techs'!L116</f>
        <v>35.582498682129675</v>
      </c>
      <c r="S187" s="273">
        <f>'Key Inputs_New Techs'!M116</f>
        <v>35.582498682129675</v>
      </c>
      <c r="T187" s="273">
        <f>'Key Inputs_New Techs'!N116</f>
        <v>35.582498682129675</v>
      </c>
      <c r="U187" s="273">
        <f>'Key Inputs_New Techs'!O116</f>
        <v>35.582498682129675</v>
      </c>
      <c r="V187" s="273">
        <f>'Key Inputs_New Techs'!P116</f>
        <v>35.582498682129675</v>
      </c>
      <c r="W187" s="273">
        <f>'Key Inputs_New Techs'!Q116</f>
        <v>35.582498682129675</v>
      </c>
      <c r="X187" s="273">
        <f>'Key Inputs_New Techs'!R116</f>
        <v>35.582498682129675</v>
      </c>
      <c r="Y187" s="273">
        <f>'Key Inputs_New Techs'!S116</f>
        <v>35.582498682129675</v>
      </c>
      <c r="Z187" s="273">
        <f>'Key Inputs_New Techs'!T116</f>
        <v>35.582498682129675</v>
      </c>
      <c r="AA187" s="273">
        <f>'Key Inputs_New Techs'!U116</f>
        <v>35.582498682129675</v>
      </c>
      <c r="AB187" s="273">
        <f>'Key Inputs_New Techs'!V116</f>
        <v>35.582498682129675</v>
      </c>
      <c r="AC187" s="273">
        <f>'Key Inputs_New Techs'!W116</f>
        <v>35.582498682129675</v>
      </c>
      <c r="AD187" s="273">
        <f>'Key Inputs_New Techs'!X116</f>
        <v>35.582498682129675</v>
      </c>
      <c r="AE187" s="273">
        <f>'Key Inputs_New Techs'!Y116</f>
        <v>35.582498682129675</v>
      </c>
      <c r="AF187" s="273">
        <f>'Key Inputs_New Techs'!Z116</f>
        <v>35.582498682129675</v>
      </c>
      <c r="AG187" s="273">
        <f>'Key Inputs_New Techs'!AA116</f>
        <v>35.582498682129675</v>
      </c>
      <c r="AH187" s="273">
        <f>'Key Inputs_New Techs'!AB116</f>
        <v>35.582498682129675</v>
      </c>
      <c r="AI187" s="273">
        <f>'Key Inputs_New Techs'!AC116</f>
        <v>35.582498682129675</v>
      </c>
      <c r="AJ187" s="273">
        <f>'Key Inputs_New Techs'!AD116</f>
        <v>35.582498682129675</v>
      </c>
      <c r="AK187" s="273">
        <f>'Key Inputs_New Techs'!AE116</f>
        <v>35.582498682129675</v>
      </c>
      <c r="AL187" s="273">
        <f>'Key Inputs_New Techs'!AF116</f>
        <v>35.582498682129675</v>
      </c>
      <c r="AM187" s="273">
        <f>'Key Inputs_New Techs'!AG116</f>
        <v>35.582498682129675</v>
      </c>
      <c r="AN187" s="273">
        <f>'Key Inputs_New Techs'!AH116</f>
        <v>35.582498682129675</v>
      </c>
      <c r="AO187" s="273">
        <f>'Key Inputs_New Techs'!AI116</f>
        <v>35.582498682129675</v>
      </c>
      <c r="AP187" s="273">
        <f>'Key Inputs_New Techs'!AJ116</f>
        <v>35.582498682129675</v>
      </c>
      <c r="AQ187" s="273">
        <f>'Key Inputs_New Techs'!AK116</f>
        <v>35.582498682129675</v>
      </c>
      <c r="AR187" s="273">
        <f>'Key Inputs_New Techs'!AL116</f>
        <v>35.582498682129675</v>
      </c>
    </row>
    <row r="188" spans="10:44" ht="15.75" x14ac:dyDescent="0.25">
      <c r="J188" s="118"/>
      <c r="K188" s="201" t="str">
        <f>IF('Key Inputs_New Techs'!B117="","",'Key Inputs_New Techs'!B117)</f>
        <v/>
      </c>
      <c r="L188" s="109" t="str">
        <f>IFERROR(VLOOKUP(K$186,'Commodities &amp; Processes'!L:M,2,FALSE),"")</f>
        <v>RSD Lighting technology: Electricity Lighting system (Imp.) -New</v>
      </c>
      <c r="N188" s="109">
        <f>'Key Inputs_New Techs'!H117</f>
        <v>2050</v>
      </c>
      <c r="O188" s="114" t="s">
        <v>37</v>
      </c>
      <c r="P188" s="120" t="s">
        <v>582</v>
      </c>
      <c r="Q188" s="273">
        <f>'Key Inputs_New Techs'!K117</f>
        <v>41.171088746569076</v>
      </c>
      <c r="R188" s="273">
        <f>'Key Inputs_New Techs'!L117</f>
        <v>41.171088746569076</v>
      </c>
      <c r="S188" s="273">
        <f>'Key Inputs_New Techs'!M117</f>
        <v>41.171088746569076</v>
      </c>
      <c r="T188" s="273">
        <f>'Key Inputs_New Techs'!N117</f>
        <v>41.171088746569076</v>
      </c>
      <c r="U188" s="273">
        <f>'Key Inputs_New Techs'!O117</f>
        <v>41.171088746569076</v>
      </c>
      <c r="V188" s="273">
        <f>'Key Inputs_New Techs'!P117</f>
        <v>41.171088746569076</v>
      </c>
      <c r="W188" s="273">
        <f>'Key Inputs_New Techs'!Q117</f>
        <v>41.171088746569076</v>
      </c>
      <c r="X188" s="273">
        <f>'Key Inputs_New Techs'!R117</f>
        <v>41.171088746569076</v>
      </c>
      <c r="Y188" s="273">
        <f>'Key Inputs_New Techs'!S117</f>
        <v>41.171088746569076</v>
      </c>
      <c r="Z188" s="273">
        <f>'Key Inputs_New Techs'!T117</f>
        <v>41.171088746569076</v>
      </c>
      <c r="AA188" s="273">
        <f>'Key Inputs_New Techs'!U117</f>
        <v>41.171088746569076</v>
      </c>
      <c r="AB188" s="273">
        <f>'Key Inputs_New Techs'!V117</f>
        <v>41.171088746569076</v>
      </c>
      <c r="AC188" s="273">
        <f>'Key Inputs_New Techs'!W117</f>
        <v>41.171088746569076</v>
      </c>
      <c r="AD188" s="273">
        <f>'Key Inputs_New Techs'!X117</f>
        <v>41.171088746569076</v>
      </c>
      <c r="AE188" s="273">
        <f>'Key Inputs_New Techs'!Y117</f>
        <v>41.171088746569076</v>
      </c>
      <c r="AF188" s="273">
        <f>'Key Inputs_New Techs'!Z117</f>
        <v>41.171088746569076</v>
      </c>
      <c r="AG188" s="273">
        <f>'Key Inputs_New Techs'!AA117</f>
        <v>41.171088746569076</v>
      </c>
      <c r="AH188" s="273">
        <f>'Key Inputs_New Techs'!AB117</f>
        <v>41.171088746569076</v>
      </c>
      <c r="AI188" s="273">
        <f>'Key Inputs_New Techs'!AC117</f>
        <v>41.171088746569076</v>
      </c>
      <c r="AJ188" s="273">
        <f>'Key Inputs_New Techs'!AD117</f>
        <v>41.171088746569076</v>
      </c>
      <c r="AK188" s="273">
        <f>'Key Inputs_New Techs'!AE117</f>
        <v>41.171088746569076</v>
      </c>
      <c r="AL188" s="273">
        <f>'Key Inputs_New Techs'!AF117</f>
        <v>41.171088746569076</v>
      </c>
      <c r="AM188" s="273">
        <f>'Key Inputs_New Techs'!AG117</f>
        <v>41.171088746569076</v>
      </c>
      <c r="AN188" s="273">
        <f>'Key Inputs_New Techs'!AH117</f>
        <v>41.171088746569076</v>
      </c>
      <c r="AO188" s="273">
        <f>'Key Inputs_New Techs'!AI117</f>
        <v>41.171088746569076</v>
      </c>
      <c r="AP188" s="273">
        <f>'Key Inputs_New Techs'!AJ117</f>
        <v>41.171088746569076</v>
      </c>
      <c r="AQ188" s="273">
        <f>'Key Inputs_New Techs'!AK117</f>
        <v>41.171088746569076</v>
      </c>
      <c r="AR188" s="273">
        <f>'Key Inputs_New Techs'!AL117</f>
        <v>41.171088746569076</v>
      </c>
    </row>
    <row r="189" spans="10:44" ht="15.75" x14ac:dyDescent="0.25">
      <c r="J189" s="118"/>
      <c r="K189" s="201" t="str">
        <f>IF('Key Inputs_New Techs'!B118="","",'Key Inputs_New Techs'!B118)</f>
        <v>R-LIG_ELC03</v>
      </c>
      <c r="L189" s="109" t="str">
        <f>IFERROR(VLOOKUP(K$189,'Commodities &amp; Processes'!L:M,2,FALSE),"")</f>
        <v>RSD Lighting technology: Electricity Lighting system (Adv.) -New</v>
      </c>
      <c r="N189" s="109">
        <f>'Key Inputs_New Techs'!H118</f>
        <v>2030</v>
      </c>
      <c r="O189" s="114" t="s">
        <v>37</v>
      </c>
      <c r="P189" s="120" t="s">
        <v>582</v>
      </c>
      <c r="Q189" s="273">
        <f>'Key Inputs_New Techs'!K118</f>
        <v>60.888169276616082</v>
      </c>
      <c r="R189" s="273">
        <f>'Key Inputs_New Techs'!L118</f>
        <v>60.888169276616082</v>
      </c>
      <c r="S189" s="273">
        <f>'Key Inputs_New Techs'!M118</f>
        <v>60.888169276616082</v>
      </c>
      <c r="T189" s="273">
        <f>'Key Inputs_New Techs'!N118</f>
        <v>60.888169276616082</v>
      </c>
      <c r="U189" s="273">
        <f>'Key Inputs_New Techs'!O118</f>
        <v>60.888169276616082</v>
      </c>
      <c r="V189" s="273">
        <f>'Key Inputs_New Techs'!P118</f>
        <v>60.888169276616082</v>
      </c>
      <c r="W189" s="273">
        <f>'Key Inputs_New Techs'!Q118</f>
        <v>60.888169276616082</v>
      </c>
      <c r="X189" s="273">
        <f>'Key Inputs_New Techs'!R118</f>
        <v>60.888169276616082</v>
      </c>
      <c r="Y189" s="273">
        <f>'Key Inputs_New Techs'!S118</f>
        <v>60.888169276616082</v>
      </c>
      <c r="Z189" s="273">
        <f>'Key Inputs_New Techs'!T118</f>
        <v>60.888169276616082</v>
      </c>
      <c r="AA189" s="273">
        <f>'Key Inputs_New Techs'!U118</f>
        <v>60.888169276616082</v>
      </c>
      <c r="AB189" s="273">
        <f>'Key Inputs_New Techs'!V118</f>
        <v>60.888169276616082</v>
      </c>
      <c r="AC189" s="273">
        <f>'Key Inputs_New Techs'!W118</f>
        <v>60.888169276616082</v>
      </c>
      <c r="AD189" s="273">
        <f>'Key Inputs_New Techs'!X118</f>
        <v>60.888169276616082</v>
      </c>
      <c r="AE189" s="273">
        <f>'Key Inputs_New Techs'!Y118</f>
        <v>60.888169276616082</v>
      </c>
      <c r="AF189" s="273">
        <f>'Key Inputs_New Techs'!Z118</f>
        <v>60.888169276616082</v>
      </c>
      <c r="AG189" s="273">
        <f>'Key Inputs_New Techs'!AA118</f>
        <v>60.888169276616082</v>
      </c>
      <c r="AH189" s="273">
        <f>'Key Inputs_New Techs'!AB118</f>
        <v>60.888169276616082</v>
      </c>
      <c r="AI189" s="273">
        <f>'Key Inputs_New Techs'!AC118</f>
        <v>60.888169276616082</v>
      </c>
      <c r="AJ189" s="273">
        <f>'Key Inputs_New Techs'!AD118</f>
        <v>60.888169276616082</v>
      </c>
      <c r="AK189" s="273">
        <f>'Key Inputs_New Techs'!AE118</f>
        <v>60.888169276616082</v>
      </c>
      <c r="AL189" s="273">
        <f>'Key Inputs_New Techs'!AF118</f>
        <v>60.888169276616082</v>
      </c>
      <c r="AM189" s="273">
        <f>'Key Inputs_New Techs'!AG118</f>
        <v>60.888169276616082</v>
      </c>
      <c r="AN189" s="273">
        <f>'Key Inputs_New Techs'!AH118</f>
        <v>60.888169276616082</v>
      </c>
      <c r="AO189" s="273">
        <f>'Key Inputs_New Techs'!AI118</f>
        <v>60.888169276616082</v>
      </c>
      <c r="AP189" s="273">
        <f>'Key Inputs_New Techs'!AJ118</f>
        <v>60.888169276616082</v>
      </c>
      <c r="AQ189" s="273">
        <f>'Key Inputs_New Techs'!AK118</f>
        <v>60.888169276616082</v>
      </c>
      <c r="AR189" s="273">
        <f>'Key Inputs_New Techs'!AL118</f>
        <v>60.888169276616082</v>
      </c>
    </row>
    <row r="190" spans="10:44" ht="15.75" x14ac:dyDescent="0.25">
      <c r="J190" s="118"/>
      <c r="K190" s="201" t="str">
        <f>IF('Key Inputs_New Techs'!B119="","",'Key Inputs_New Techs'!B119)</f>
        <v/>
      </c>
      <c r="L190" s="109" t="str">
        <f>IFERROR(VLOOKUP(K$189,'Commodities &amp; Processes'!L:M,2,FALSE),"")</f>
        <v>RSD Lighting technology: Electricity Lighting system (Adv.) -New</v>
      </c>
      <c r="N190" s="109">
        <f>'Key Inputs_New Techs'!H119</f>
        <v>2050</v>
      </c>
      <c r="O190" s="114" t="s">
        <v>37</v>
      </c>
      <c r="P190" s="120" t="s">
        <v>582</v>
      </c>
      <c r="Q190" s="273">
        <f>'Key Inputs_New Techs'!K119</f>
        <v>128.65965233302839</v>
      </c>
      <c r="R190" s="273">
        <f>'Key Inputs_New Techs'!L119</f>
        <v>128.65965233302839</v>
      </c>
      <c r="S190" s="273">
        <f>'Key Inputs_New Techs'!M119</f>
        <v>128.65965233302839</v>
      </c>
      <c r="T190" s="273">
        <f>'Key Inputs_New Techs'!N119</f>
        <v>128.65965233302839</v>
      </c>
      <c r="U190" s="273">
        <f>'Key Inputs_New Techs'!O119</f>
        <v>128.65965233302839</v>
      </c>
      <c r="V190" s="273">
        <f>'Key Inputs_New Techs'!P119</f>
        <v>128.65965233302839</v>
      </c>
      <c r="W190" s="273">
        <f>'Key Inputs_New Techs'!Q119</f>
        <v>128.65965233302839</v>
      </c>
      <c r="X190" s="273">
        <f>'Key Inputs_New Techs'!R119</f>
        <v>128.65965233302839</v>
      </c>
      <c r="Y190" s="273">
        <f>'Key Inputs_New Techs'!S119</f>
        <v>128.65965233302839</v>
      </c>
      <c r="Z190" s="273">
        <f>'Key Inputs_New Techs'!T119</f>
        <v>128.65965233302839</v>
      </c>
      <c r="AA190" s="273">
        <f>'Key Inputs_New Techs'!U119</f>
        <v>128.65965233302839</v>
      </c>
      <c r="AB190" s="273">
        <f>'Key Inputs_New Techs'!V119</f>
        <v>128.65965233302839</v>
      </c>
      <c r="AC190" s="273">
        <f>'Key Inputs_New Techs'!W119</f>
        <v>128.65965233302839</v>
      </c>
      <c r="AD190" s="273">
        <f>'Key Inputs_New Techs'!X119</f>
        <v>128.65965233302839</v>
      </c>
      <c r="AE190" s="273">
        <f>'Key Inputs_New Techs'!Y119</f>
        <v>128.65965233302839</v>
      </c>
      <c r="AF190" s="273">
        <f>'Key Inputs_New Techs'!Z119</f>
        <v>128.65965233302839</v>
      </c>
      <c r="AG190" s="273">
        <f>'Key Inputs_New Techs'!AA119</f>
        <v>128.65965233302839</v>
      </c>
      <c r="AH190" s="273">
        <f>'Key Inputs_New Techs'!AB119</f>
        <v>128.65965233302839</v>
      </c>
      <c r="AI190" s="273">
        <f>'Key Inputs_New Techs'!AC119</f>
        <v>128.65965233302839</v>
      </c>
      <c r="AJ190" s="273">
        <f>'Key Inputs_New Techs'!AD119</f>
        <v>128.65965233302839</v>
      </c>
      <c r="AK190" s="273">
        <f>'Key Inputs_New Techs'!AE119</f>
        <v>128.65965233302839</v>
      </c>
      <c r="AL190" s="273">
        <f>'Key Inputs_New Techs'!AF119</f>
        <v>128.65965233302839</v>
      </c>
      <c r="AM190" s="273">
        <f>'Key Inputs_New Techs'!AG119</f>
        <v>128.65965233302839</v>
      </c>
      <c r="AN190" s="273">
        <f>'Key Inputs_New Techs'!AH119</f>
        <v>128.65965233302839</v>
      </c>
      <c r="AO190" s="273">
        <f>'Key Inputs_New Techs'!AI119</f>
        <v>128.65965233302839</v>
      </c>
      <c r="AP190" s="273">
        <f>'Key Inputs_New Techs'!AJ119</f>
        <v>128.65965233302839</v>
      </c>
      <c r="AQ190" s="273">
        <f>'Key Inputs_New Techs'!AK119</f>
        <v>128.65965233302839</v>
      </c>
      <c r="AR190" s="273">
        <f>'Key Inputs_New Techs'!AL119</f>
        <v>128.65965233302839</v>
      </c>
    </row>
    <row r="191" spans="10:44" ht="15.75" x14ac:dyDescent="0.25">
      <c r="J191" s="118"/>
      <c r="K191" s="201" t="str">
        <f>IF('Key Inputs_New Techs'!B120="","",'Key Inputs_New Techs'!B120)</f>
        <v>R-EAP_ELC01</v>
      </c>
      <c r="L191" s="109" t="str">
        <f>IFERROR(VLOOKUP(K191,'Commodities &amp; Processes'!L:M,2,FALSE),"")</f>
        <v>RSD Electric Appliances technology: Electricity Appl. (Ord.) -New</v>
      </c>
      <c r="N191" s="109">
        <f>'Key Inputs_New Techs'!H120</f>
        <v>2020</v>
      </c>
      <c r="O191" s="114" t="s">
        <v>37</v>
      </c>
      <c r="P191" s="120" t="s">
        <v>174</v>
      </c>
      <c r="Q191" s="273">
        <f>'Key Inputs_New Techs'!K120</f>
        <v>1</v>
      </c>
      <c r="R191" s="273">
        <f>'Key Inputs_New Techs'!L120</f>
        <v>1</v>
      </c>
      <c r="S191" s="273">
        <f>'Key Inputs_New Techs'!M120</f>
        <v>1</v>
      </c>
      <c r="T191" s="273">
        <f>'Key Inputs_New Techs'!N120</f>
        <v>1</v>
      </c>
      <c r="U191" s="273">
        <f>'Key Inputs_New Techs'!O120</f>
        <v>1</v>
      </c>
      <c r="V191" s="273">
        <f>'Key Inputs_New Techs'!P120</f>
        <v>1</v>
      </c>
      <c r="W191" s="273">
        <f>'Key Inputs_New Techs'!Q120</f>
        <v>1</v>
      </c>
      <c r="X191" s="273">
        <f>'Key Inputs_New Techs'!R120</f>
        <v>1</v>
      </c>
      <c r="Y191" s="273">
        <f>'Key Inputs_New Techs'!S120</f>
        <v>1</v>
      </c>
      <c r="Z191" s="273">
        <f>'Key Inputs_New Techs'!T120</f>
        <v>1</v>
      </c>
      <c r="AA191" s="273">
        <f>'Key Inputs_New Techs'!U120</f>
        <v>1</v>
      </c>
      <c r="AB191" s="273">
        <f>'Key Inputs_New Techs'!V120</f>
        <v>1</v>
      </c>
      <c r="AC191" s="273">
        <f>'Key Inputs_New Techs'!W120</f>
        <v>1</v>
      </c>
      <c r="AD191" s="273">
        <f>'Key Inputs_New Techs'!X120</f>
        <v>1</v>
      </c>
      <c r="AE191" s="273">
        <f>'Key Inputs_New Techs'!Y120</f>
        <v>1</v>
      </c>
      <c r="AF191" s="273">
        <f>'Key Inputs_New Techs'!Z120</f>
        <v>1</v>
      </c>
      <c r="AG191" s="273">
        <f>'Key Inputs_New Techs'!AA120</f>
        <v>1</v>
      </c>
      <c r="AH191" s="273">
        <f>'Key Inputs_New Techs'!AB120</f>
        <v>1</v>
      </c>
      <c r="AI191" s="273">
        <f>'Key Inputs_New Techs'!AC120</f>
        <v>1</v>
      </c>
      <c r="AJ191" s="273">
        <f>'Key Inputs_New Techs'!AD120</f>
        <v>1</v>
      </c>
      <c r="AK191" s="273">
        <f>'Key Inputs_New Techs'!AE120</f>
        <v>1</v>
      </c>
      <c r="AL191" s="273">
        <f>'Key Inputs_New Techs'!AF120</f>
        <v>1</v>
      </c>
      <c r="AM191" s="273">
        <f>'Key Inputs_New Techs'!AG120</f>
        <v>1</v>
      </c>
      <c r="AN191" s="273">
        <f>'Key Inputs_New Techs'!AH120</f>
        <v>1</v>
      </c>
      <c r="AO191" s="273">
        <f>'Key Inputs_New Techs'!AI120</f>
        <v>1</v>
      </c>
      <c r="AP191" s="273">
        <f>'Key Inputs_New Techs'!AJ120</f>
        <v>1</v>
      </c>
      <c r="AQ191" s="273">
        <f>'Key Inputs_New Techs'!AK120</f>
        <v>1</v>
      </c>
      <c r="AR191" s="273">
        <f>'Key Inputs_New Techs'!AL120</f>
        <v>1</v>
      </c>
    </row>
    <row r="192" spans="10:44" ht="15.75" x14ac:dyDescent="0.25">
      <c r="J192" s="118"/>
      <c r="K192" s="201" t="str">
        <f>IF('Key Inputs_New Techs'!B121="","",'Key Inputs_New Techs'!B121)</f>
        <v>R-EAP_ELC02</v>
      </c>
      <c r="L192" s="109" t="str">
        <f>IFERROR(VLOOKUP(K$192,'Commodities &amp; Processes'!L:M,2,FALSE),"")</f>
        <v>RSD Electric Appliances technology: Electricity Appl. (Imp.) -New</v>
      </c>
      <c r="N192" s="109">
        <f>'Key Inputs_New Techs'!H121</f>
        <v>2025</v>
      </c>
      <c r="O192" s="114" t="s">
        <v>37</v>
      </c>
      <c r="P192" s="120" t="s">
        <v>174</v>
      </c>
      <c r="Q192" s="273">
        <f>'Key Inputs_New Techs'!K121</f>
        <v>1</v>
      </c>
      <c r="R192" s="273">
        <f>'Key Inputs_New Techs'!L121</f>
        <v>1</v>
      </c>
      <c r="S192" s="273">
        <f>'Key Inputs_New Techs'!M121</f>
        <v>1</v>
      </c>
      <c r="T192" s="273">
        <f>'Key Inputs_New Techs'!N121</f>
        <v>1</v>
      </c>
      <c r="U192" s="273">
        <f>'Key Inputs_New Techs'!O121</f>
        <v>1</v>
      </c>
      <c r="V192" s="273">
        <f>'Key Inputs_New Techs'!P121</f>
        <v>1</v>
      </c>
      <c r="W192" s="273">
        <f>'Key Inputs_New Techs'!Q121</f>
        <v>1</v>
      </c>
      <c r="X192" s="273">
        <f>'Key Inputs_New Techs'!R121</f>
        <v>1</v>
      </c>
      <c r="Y192" s="273">
        <f>'Key Inputs_New Techs'!S121</f>
        <v>1</v>
      </c>
      <c r="Z192" s="273">
        <f>'Key Inputs_New Techs'!T121</f>
        <v>1</v>
      </c>
      <c r="AA192" s="273">
        <f>'Key Inputs_New Techs'!U121</f>
        <v>1</v>
      </c>
      <c r="AB192" s="273">
        <f>'Key Inputs_New Techs'!V121</f>
        <v>1</v>
      </c>
      <c r="AC192" s="273">
        <f>'Key Inputs_New Techs'!W121</f>
        <v>1</v>
      </c>
      <c r="AD192" s="273">
        <f>'Key Inputs_New Techs'!X121</f>
        <v>1</v>
      </c>
      <c r="AE192" s="273">
        <f>'Key Inputs_New Techs'!Y121</f>
        <v>1</v>
      </c>
      <c r="AF192" s="273">
        <f>'Key Inputs_New Techs'!Z121</f>
        <v>1</v>
      </c>
      <c r="AG192" s="273">
        <f>'Key Inputs_New Techs'!AA121</f>
        <v>1</v>
      </c>
      <c r="AH192" s="273">
        <f>'Key Inputs_New Techs'!AB121</f>
        <v>1</v>
      </c>
      <c r="AI192" s="273">
        <f>'Key Inputs_New Techs'!AC121</f>
        <v>1</v>
      </c>
      <c r="AJ192" s="273">
        <f>'Key Inputs_New Techs'!AD121</f>
        <v>1</v>
      </c>
      <c r="AK192" s="273">
        <f>'Key Inputs_New Techs'!AE121</f>
        <v>1</v>
      </c>
      <c r="AL192" s="273">
        <f>'Key Inputs_New Techs'!AF121</f>
        <v>1</v>
      </c>
      <c r="AM192" s="273">
        <f>'Key Inputs_New Techs'!AG121</f>
        <v>1</v>
      </c>
      <c r="AN192" s="273">
        <f>'Key Inputs_New Techs'!AH121</f>
        <v>1</v>
      </c>
      <c r="AO192" s="273">
        <f>'Key Inputs_New Techs'!AI121</f>
        <v>1</v>
      </c>
      <c r="AP192" s="273">
        <f>'Key Inputs_New Techs'!AJ121</f>
        <v>1</v>
      </c>
      <c r="AQ192" s="273">
        <f>'Key Inputs_New Techs'!AK121</f>
        <v>1</v>
      </c>
      <c r="AR192" s="273">
        <f>'Key Inputs_New Techs'!AL121</f>
        <v>1</v>
      </c>
    </row>
    <row r="193" spans="1:44" ht="15.75" x14ac:dyDescent="0.25">
      <c r="J193" s="118"/>
      <c r="K193" s="201" t="str">
        <f>IF('Key Inputs_New Techs'!B122="","",'Key Inputs_New Techs'!B122)</f>
        <v/>
      </c>
      <c r="L193" s="109" t="str">
        <f>IFERROR(VLOOKUP(K$192,'Commodities &amp; Processes'!L:M,2,FALSE),"")</f>
        <v>RSD Electric Appliances technology: Electricity Appl. (Imp.) -New</v>
      </c>
      <c r="N193" s="109">
        <f>'Key Inputs_New Techs'!H122</f>
        <v>2030</v>
      </c>
      <c r="O193" s="114" t="s">
        <v>37</v>
      </c>
      <c r="P193" s="120" t="s">
        <v>174</v>
      </c>
      <c r="Q193" s="273">
        <f>'Key Inputs_New Techs'!K122</f>
        <v>1</v>
      </c>
      <c r="R193" s="273">
        <f>'Key Inputs_New Techs'!L122</f>
        <v>1</v>
      </c>
      <c r="S193" s="273">
        <f>'Key Inputs_New Techs'!M122</f>
        <v>1</v>
      </c>
      <c r="T193" s="273">
        <f>'Key Inputs_New Techs'!N122</f>
        <v>1</v>
      </c>
      <c r="U193" s="273">
        <f>'Key Inputs_New Techs'!O122</f>
        <v>1</v>
      </c>
      <c r="V193" s="273">
        <f>'Key Inputs_New Techs'!P122</f>
        <v>1</v>
      </c>
      <c r="W193" s="273">
        <f>'Key Inputs_New Techs'!Q122</f>
        <v>1</v>
      </c>
      <c r="X193" s="273">
        <f>'Key Inputs_New Techs'!R122</f>
        <v>1</v>
      </c>
      <c r="Y193" s="273">
        <f>'Key Inputs_New Techs'!S122</f>
        <v>1</v>
      </c>
      <c r="Z193" s="273">
        <f>'Key Inputs_New Techs'!T122</f>
        <v>1</v>
      </c>
      <c r="AA193" s="273">
        <f>'Key Inputs_New Techs'!U122</f>
        <v>1</v>
      </c>
      <c r="AB193" s="273">
        <f>'Key Inputs_New Techs'!V122</f>
        <v>1</v>
      </c>
      <c r="AC193" s="273">
        <f>'Key Inputs_New Techs'!W122</f>
        <v>1</v>
      </c>
      <c r="AD193" s="273">
        <f>'Key Inputs_New Techs'!X122</f>
        <v>1</v>
      </c>
      <c r="AE193" s="273">
        <f>'Key Inputs_New Techs'!Y122</f>
        <v>1</v>
      </c>
      <c r="AF193" s="273">
        <f>'Key Inputs_New Techs'!Z122</f>
        <v>1</v>
      </c>
      <c r="AG193" s="273">
        <f>'Key Inputs_New Techs'!AA122</f>
        <v>1</v>
      </c>
      <c r="AH193" s="273">
        <f>'Key Inputs_New Techs'!AB122</f>
        <v>1</v>
      </c>
      <c r="AI193" s="273">
        <f>'Key Inputs_New Techs'!AC122</f>
        <v>1</v>
      </c>
      <c r="AJ193" s="273">
        <f>'Key Inputs_New Techs'!AD122</f>
        <v>1</v>
      </c>
      <c r="AK193" s="273">
        <f>'Key Inputs_New Techs'!AE122</f>
        <v>1</v>
      </c>
      <c r="AL193" s="273">
        <f>'Key Inputs_New Techs'!AF122</f>
        <v>1</v>
      </c>
      <c r="AM193" s="273">
        <f>'Key Inputs_New Techs'!AG122</f>
        <v>1</v>
      </c>
      <c r="AN193" s="273">
        <f>'Key Inputs_New Techs'!AH122</f>
        <v>1</v>
      </c>
      <c r="AO193" s="273">
        <f>'Key Inputs_New Techs'!AI122</f>
        <v>1</v>
      </c>
      <c r="AP193" s="273">
        <f>'Key Inputs_New Techs'!AJ122</f>
        <v>1</v>
      </c>
      <c r="AQ193" s="273">
        <f>'Key Inputs_New Techs'!AK122</f>
        <v>1</v>
      </c>
      <c r="AR193" s="273">
        <f>'Key Inputs_New Techs'!AL122</f>
        <v>1</v>
      </c>
    </row>
    <row r="194" spans="1:44" ht="15.75" x14ac:dyDescent="0.25">
      <c r="J194" s="118"/>
      <c r="K194" s="201" t="str">
        <f>IF('Key Inputs_New Techs'!B123="","",'Key Inputs_New Techs'!B123)</f>
        <v/>
      </c>
      <c r="L194" s="109" t="str">
        <f>IFERROR(VLOOKUP(K$192,'Commodities &amp; Processes'!L:M,2,FALSE),"")</f>
        <v>RSD Electric Appliances technology: Electricity Appl. (Imp.) -New</v>
      </c>
      <c r="N194" s="109">
        <f>'Key Inputs_New Techs'!H123</f>
        <v>2050</v>
      </c>
      <c r="O194" s="114" t="s">
        <v>37</v>
      </c>
      <c r="P194" s="120" t="s">
        <v>174</v>
      </c>
      <c r="Q194" s="273">
        <f>'Key Inputs_New Techs'!K123</f>
        <v>1</v>
      </c>
      <c r="R194" s="273">
        <f>'Key Inputs_New Techs'!L123</f>
        <v>1</v>
      </c>
      <c r="S194" s="273">
        <f>'Key Inputs_New Techs'!M123</f>
        <v>1</v>
      </c>
      <c r="T194" s="273">
        <f>'Key Inputs_New Techs'!N123</f>
        <v>1</v>
      </c>
      <c r="U194" s="273">
        <f>'Key Inputs_New Techs'!O123</f>
        <v>1</v>
      </c>
      <c r="V194" s="273">
        <f>'Key Inputs_New Techs'!P123</f>
        <v>1</v>
      </c>
      <c r="W194" s="273">
        <f>'Key Inputs_New Techs'!Q123</f>
        <v>1</v>
      </c>
      <c r="X194" s="273">
        <f>'Key Inputs_New Techs'!R123</f>
        <v>1</v>
      </c>
      <c r="Y194" s="273">
        <f>'Key Inputs_New Techs'!S123</f>
        <v>1</v>
      </c>
      <c r="Z194" s="273">
        <f>'Key Inputs_New Techs'!T123</f>
        <v>1</v>
      </c>
      <c r="AA194" s="273">
        <f>'Key Inputs_New Techs'!U123</f>
        <v>1</v>
      </c>
      <c r="AB194" s="273">
        <f>'Key Inputs_New Techs'!V123</f>
        <v>1</v>
      </c>
      <c r="AC194" s="273">
        <f>'Key Inputs_New Techs'!W123</f>
        <v>1</v>
      </c>
      <c r="AD194" s="273">
        <f>'Key Inputs_New Techs'!X123</f>
        <v>1</v>
      </c>
      <c r="AE194" s="273">
        <f>'Key Inputs_New Techs'!Y123</f>
        <v>1</v>
      </c>
      <c r="AF194" s="273">
        <f>'Key Inputs_New Techs'!Z123</f>
        <v>1</v>
      </c>
      <c r="AG194" s="273">
        <f>'Key Inputs_New Techs'!AA123</f>
        <v>1</v>
      </c>
      <c r="AH194" s="273">
        <f>'Key Inputs_New Techs'!AB123</f>
        <v>1</v>
      </c>
      <c r="AI194" s="273">
        <f>'Key Inputs_New Techs'!AC123</f>
        <v>1</v>
      </c>
      <c r="AJ194" s="273">
        <f>'Key Inputs_New Techs'!AD123</f>
        <v>1</v>
      </c>
      <c r="AK194" s="273">
        <f>'Key Inputs_New Techs'!AE123</f>
        <v>1</v>
      </c>
      <c r="AL194" s="273">
        <f>'Key Inputs_New Techs'!AF123</f>
        <v>1</v>
      </c>
      <c r="AM194" s="273">
        <f>'Key Inputs_New Techs'!AG123</f>
        <v>1</v>
      </c>
      <c r="AN194" s="273">
        <f>'Key Inputs_New Techs'!AH123</f>
        <v>1</v>
      </c>
      <c r="AO194" s="273">
        <f>'Key Inputs_New Techs'!AI123</f>
        <v>1</v>
      </c>
      <c r="AP194" s="273">
        <f>'Key Inputs_New Techs'!AJ123</f>
        <v>1</v>
      </c>
      <c r="AQ194" s="273">
        <f>'Key Inputs_New Techs'!AK123</f>
        <v>1</v>
      </c>
      <c r="AR194" s="273">
        <f>'Key Inputs_New Techs'!AL123</f>
        <v>1</v>
      </c>
    </row>
    <row r="195" spans="1:44" ht="15.75" x14ac:dyDescent="0.25">
      <c r="J195" s="118"/>
      <c r="K195" s="201" t="str">
        <f>IF('Key Inputs_New Techs'!B124="","",'Key Inputs_New Techs'!B124)</f>
        <v>R-EAP_ELC03</v>
      </c>
      <c r="L195" s="109" t="str">
        <f>IFERROR(VLOOKUP(K$195,'Commodities &amp; Processes'!L:M,2,FALSE),"")</f>
        <v>RSD Electric Appliances technology: Electricity Appl. (Adv.) -New</v>
      </c>
      <c r="N195" s="109">
        <f>'Key Inputs_New Techs'!H124</f>
        <v>2030</v>
      </c>
      <c r="O195" s="114" t="s">
        <v>37</v>
      </c>
      <c r="P195" s="120" t="s">
        <v>174</v>
      </c>
      <c r="Q195" s="273">
        <f>'Key Inputs_New Techs'!K124</f>
        <v>1</v>
      </c>
      <c r="R195" s="273">
        <f>'Key Inputs_New Techs'!L124</f>
        <v>1</v>
      </c>
      <c r="S195" s="273">
        <f>'Key Inputs_New Techs'!M124</f>
        <v>1</v>
      </c>
      <c r="T195" s="273">
        <f>'Key Inputs_New Techs'!N124</f>
        <v>1</v>
      </c>
      <c r="U195" s="273">
        <f>'Key Inputs_New Techs'!O124</f>
        <v>1</v>
      </c>
      <c r="V195" s="273">
        <f>'Key Inputs_New Techs'!P124</f>
        <v>1</v>
      </c>
      <c r="W195" s="273">
        <f>'Key Inputs_New Techs'!Q124</f>
        <v>1</v>
      </c>
      <c r="X195" s="273">
        <f>'Key Inputs_New Techs'!R124</f>
        <v>1</v>
      </c>
      <c r="Y195" s="273">
        <f>'Key Inputs_New Techs'!S124</f>
        <v>1</v>
      </c>
      <c r="Z195" s="273">
        <f>'Key Inputs_New Techs'!T124</f>
        <v>1</v>
      </c>
      <c r="AA195" s="273">
        <f>'Key Inputs_New Techs'!U124</f>
        <v>1</v>
      </c>
      <c r="AB195" s="273">
        <f>'Key Inputs_New Techs'!V124</f>
        <v>1</v>
      </c>
      <c r="AC195" s="273">
        <f>'Key Inputs_New Techs'!W124</f>
        <v>1</v>
      </c>
      <c r="AD195" s="273">
        <f>'Key Inputs_New Techs'!X124</f>
        <v>1</v>
      </c>
      <c r="AE195" s="273">
        <f>'Key Inputs_New Techs'!Y124</f>
        <v>1</v>
      </c>
      <c r="AF195" s="273">
        <f>'Key Inputs_New Techs'!Z124</f>
        <v>1</v>
      </c>
      <c r="AG195" s="273">
        <f>'Key Inputs_New Techs'!AA124</f>
        <v>1</v>
      </c>
      <c r="AH195" s="273">
        <f>'Key Inputs_New Techs'!AB124</f>
        <v>1</v>
      </c>
      <c r="AI195" s="273">
        <f>'Key Inputs_New Techs'!AC124</f>
        <v>1</v>
      </c>
      <c r="AJ195" s="273">
        <f>'Key Inputs_New Techs'!AD124</f>
        <v>1</v>
      </c>
      <c r="AK195" s="273">
        <f>'Key Inputs_New Techs'!AE124</f>
        <v>1</v>
      </c>
      <c r="AL195" s="273">
        <f>'Key Inputs_New Techs'!AF124</f>
        <v>1</v>
      </c>
      <c r="AM195" s="273">
        <f>'Key Inputs_New Techs'!AG124</f>
        <v>1</v>
      </c>
      <c r="AN195" s="273">
        <f>'Key Inputs_New Techs'!AH124</f>
        <v>1</v>
      </c>
      <c r="AO195" s="273">
        <f>'Key Inputs_New Techs'!AI124</f>
        <v>1</v>
      </c>
      <c r="AP195" s="273">
        <f>'Key Inputs_New Techs'!AJ124</f>
        <v>1</v>
      </c>
      <c r="AQ195" s="273">
        <f>'Key Inputs_New Techs'!AK124</f>
        <v>1</v>
      </c>
      <c r="AR195" s="273">
        <f>'Key Inputs_New Techs'!AL124</f>
        <v>1</v>
      </c>
    </row>
    <row r="196" spans="1:44" ht="15.75" x14ac:dyDescent="0.25">
      <c r="J196" s="118"/>
      <c r="K196" s="201" t="str">
        <f>IF('Key Inputs_New Techs'!B125="","",'Key Inputs_New Techs'!B125)</f>
        <v/>
      </c>
      <c r="L196" s="109" t="str">
        <f>IFERROR(VLOOKUP(K$195,'Commodities &amp; Processes'!L:M,2,FALSE),"")</f>
        <v>RSD Electric Appliances technology: Electricity Appl. (Adv.) -New</v>
      </c>
      <c r="N196" s="109">
        <f>'Key Inputs_New Techs'!H125</f>
        <v>2050</v>
      </c>
      <c r="O196" s="114" t="s">
        <v>37</v>
      </c>
      <c r="P196" s="120" t="s">
        <v>174</v>
      </c>
      <c r="Q196" s="273">
        <f>'Key Inputs_New Techs'!K125</f>
        <v>1</v>
      </c>
      <c r="R196" s="273">
        <f>'Key Inputs_New Techs'!L125</f>
        <v>1</v>
      </c>
      <c r="S196" s="273">
        <f>'Key Inputs_New Techs'!M125</f>
        <v>1</v>
      </c>
      <c r="T196" s="273">
        <f>'Key Inputs_New Techs'!N125</f>
        <v>1</v>
      </c>
      <c r="U196" s="273">
        <f>'Key Inputs_New Techs'!O125</f>
        <v>1</v>
      </c>
      <c r="V196" s="273">
        <f>'Key Inputs_New Techs'!P125</f>
        <v>1</v>
      </c>
      <c r="W196" s="273">
        <f>'Key Inputs_New Techs'!Q125</f>
        <v>1</v>
      </c>
      <c r="X196" s="273">
        <f>'Key Inputs_New Techs'!R125</f>
        <v>1</v>
      </c>
      <c r="Y196" s="273">
        <f>'Key Inputs_New Techs'!S125</f>
        <v>1</v>
      </c>
      <c r="Z196" s="273">
        <f>'Key Inputs_New Techs'!T125</f>
        <v>1</v>
      </c>
      <c r="AA196" s="273">
        <f>'Key Inputs_New Techs'!U125</f>
        <v>1</v>
      </c>
      <c r="AB196" s="273">
        <f>'Key Inputs_New Techs'!V125</f>
        <v>1</v>
      </c>
      <c r="AC196" s="273">
        <f>'Key Inputs_New Techs'!W125</f>
        <v>1</v>
      </c>
      <c r="AD196" s="273">
        <f>'Key Inputs_New Techs'!X125</f>
        <v>1</v>
      </c>
      <c r="AE196" s="273">
        <f>'Key Inputs_New Techs'!Y125</f>
        <v>1</v>
      </c>
      <c r="AF196" s="273">
        <f>'Key Inputs_New Techs'!Z125</f>
        <v>1</v>
      </c>
      <c r="AG196" s="273">
        <f>'Key Inputs_New Techs'!AA125</f>
        <v>1</v>
      </c>
      <c r="AH196" s="273">
        <f>'Key Inputs_New Techs'!AB125</f>
        <v>1</v>
      </c>
      <c r="AI196" s="273">
        <f>'Key Inputs_New Techs'!AC125</f>
        <v>1</v>
      </c>
      <c r="AJ196" s="273">
        <f>'Key Inputs_New Techs'!AD125</f>
        <v>1</v>
      </c>
      <c r="AK196" s="273">
        <f>'Key Inputs_New Techs'!AE125</f>
        <v>1</v>
      </c>
      <c r="AL196" s="273">
        <f>'Key Inputs_New Techs'!AF125</f>
        <v>1</v>
      </c>
      <c r="AM196" s="273">
        <f>'Key Inputs_New Techs'!AG125</f>
        <v>1</v>
      </c>
      <c r="AN196" s="273">
        <f>'Key Inputs_New Techs'!AH125</f>
        <v>1</v>
      </c>
      <c r="AO196" s="273">
        <f>'Key Inputs_New Techs'!AI125</f>
        <v>1</v>
      </c>
      <c r="AP196" s="273">
        <f>'Key Inputs_New Techs'!AJ125</f>
        <v>1</v>
      </c>
      <c r="AQ196" s="273">
        <f>'Key Inputs_New Techs'!AK125</f>
        <v>1</v>
      </c>
      <c r="AR196" s="273">
        <f>'Key Inputs_New Techs'!AL125</f>
        <v>1</v>
      </c>
    </row>
    <row r="197" spans="1:44" x14ac:dyDescent="0.25">
      <c r="J197" s="118"/>
      <c r="K197" s="270" t="s">
        <v>259</v>
      </c>
      <c r="L197" s="271"/>
      <c r="M197" s="271"/>
      <c r="N197" s="271"/>
      <c r="O197" s="272"/>
      <c r="P197" s="272"/>
      <c r="Q197" s="272"/>
      <c r="R197" s="272"/>
      <c r="S197" s="272"/>
      <c r="T197" s="272"/>
      <c r="U197" s="272"/>
      <c r="V197" s="272"/>
      <c r="W197" s="272"/>
      <c r="X197" s="272"/>
      <c r="Y197" s="272"/>
      <c r="Z197" s="272"/>
      <c r="AA197" s="272"/>
      <c r="AB197" s="272"/>
      <c r="AC197" s="272"/>
      <c r="AD197" s="272"/>
      <c r="AE197" s="272"/>
      <c r="AF197" s="272"/>
      <c r="AG197" s="272"/>
      <c r="AH197" s="272"/>
      <c r="AI197" s="272"/>
      <c r="AJ197" s="272"/>
      <c r="AK197" s="272"/>
      <c r="AL197" s="272"/>
      <c r="AM197" s="272"/>
      <c r="AN197" s="272"/>
      <c r="AO197" s="272"/>
      <c r="AP197" s="272"/>
      <c r="AQ197" s="272"/>
      <c r="AR197" s="272"/>
    </row>
    <row r="198" spans="1:44" x14ac:dyDescent="0.25">
      <c r="J198" s="118"/>
      <c r="K198" s="201" t="str">
        <f>IF('Key Inputs_New Techs'!B133="","",'Key Inputs_New Techs'!B133)</f>
        <v>R-THL-STV_BIO01</v>
      </c>
      <c r="L198" s="109" t="str">
        <f>IFERROR(VLOOKUP(K198,'Commodities &amp; Processes'!L:M,2,FALSE),"")</f>
        <v>RSD Thermal uses technology: Biomass Wood Stove (Ord.) -New</v>
      </c>
      <c r="N198" s="109">
        <f>'Key Inputs_New Techs'!H133</f>
        <v>2020</v>
      </c>
      <c r="O198" s="206" t="s">
        <v>312</v>
      </c>
      <c r="P198" s="114" t="str">
        <f>'Key Inputs_New Techs'!J133</f>
        <v>USD/kW</v>
      </c>
      <c r="Q198" s="121">
        <f>'Key Inputs_New Techs'!K133</f>
        <v>423.95692097114613</v>
      </c>
      <c r="R198" s="121">
        <f>'Key Inputs_New Techs'!L133</f>
        <v>442.75489211883672</v>
      </c>
      <c r="S198" s="121">
        <f>'Key Inputs_New Techs'!M133</f>
        <v>426.13725555839773</v>
      </c>
      <c r="T198" s="121">
        <f>'Key Inputs_New Techs'!N133</f>
        <v>426.16551822016345</v>
      </c>
      <c r="U198" s="121">
        <f>'Key Inputs_New Techs'!O133</f>
        <v>523.00658095756899</v>
      </c>
      <c r="V198" s="121">
        <f>'Key Inputs_New Techs'!P133</f>
        <v>434.37842971942638</v>
      </c>
      <c r="W198" s="121">
        <f>'Key Inputs_New Techs'!Q133</f>
        <v>446.1711791938427</v>
      </c>
      <c r="X198" s="121">
        <f>'Key Inputs_New Techs'!R133</f>
        <v>430.92329363377007</v>
      </c>
      <c r="Y198" s="121">
        <f>'Key Inputs_New Techs'!S133</f>
        <v>450.38798815797395</v>
      </c>
      <c r="Z198" s="121">
        <f>'Key Inputs_New Techs'!T133</f>
        <v>525.31574844650493</v>
      </c>
      <c r="AA198" s="121">
        <f>'Key Inputs_New Techs'!U133</f>
        <v>443.98995672282757</v>
      </c>
      <c r="AB198" s="121">
        <f>'Key Inputs_New Techs'!V133</f>
        <v>451.40961626177005</v>
      </c>
      <c r="AC198" s="121">
        <f>'Key Inputs_New Techs'!W133</f>
        <v>447.90365650329369</v>
      </c>
      <c r="AD198" s="121">
        <f>'Key Inputs_New Techs'!X133</f>
        <v>568.90775982661444</v>
      </c>
      <c r="AE198" s="121">
        <f>'Key Inputs_New Techs'!Y133</f>
        <v>486.69686612136394</v>
      </c>
      <c r="AF198" s="121">
        <f>'Key Inputs_New Techs'!Z133</f>
        <v>522.76533400000005</v>
      </c>
      <c r="AG198" s="121">
        <f>'Key Inputs_New Techs'!AA133</f>
        <v>522.76533400000005</v>
      </c>
      <c r="AH198" s="121">
        <f>'Key Inputs_New Techs'!AB133</f>
        <v>443.15684576623056</v>
      </c>
      <c r="AI198" s="121">
        <f>'Key Inputs_New Techs'!AC133</f>
        <v>432.50113195324377</v>
      </c>
      <c r="AJ198" s="121">
        <f>'Key Inputs_New Techs'!AD133</f>
        <v>508.44174872722465</v>
      </c>
      <c r="AK198" s="121">
        <f>'Key Inputs_New Techs'!AE133</f>
        <v>443.98995672282757</v>
      </c>
      <c r="AL198" s="121">
        <f>'Key Inputs_New Techs'!AF133</f>
        <v>478.11530498217303</v>
      </c>
      <c r="AM198" s="121">
        <f>'Key Inputs_New Techs'!AG133</f>
        <v>456.24572414340315</v>
      </c>
      <c r="AN198" s="121">
        <f>'Key Inputs_New Techs'!AH133</f>
        <v>461.2658661466827</v>
      </c>
      <c r="AO198" s="121">
        <f>'Key Inputs_New Techs'!AI133</f>
        <v>426.13725555839773</v>
      </c>
      <c r="AP198" s="121">
        <f>'Key Inputs_New Techs'!AJ133</f>
        <v>480.96384274348537</v>
      </c>
      <c r="AQ198" s="121">
        <f>'Key Inputs_New Techs'!AK133</f>
        <v>510.42948596884571</v>
      </c>
      <c r="AR198" s="121">
        <f>'Key Inputs_New Techs'!AL133</f>
        <v>552.76497066826084</v>
      </c>
    </row>
    <row r="199" spans="1:44" x14ac:dyDescent="0.25">
      <c r="J199" s="118"/>
      <c r="K199" s="201" t="str">
        <f>IF('Key Inputs_New Techs'!B134="","",'Key Inputs_New Techs'!B134)</f>
        <v>R-THL-STV_BIO02</v>
      </c>
      <c r="L199" s="109" t="str">
        <f>IFERROR(VLOOKUP(K$199,'Commodities &amp; Processes'!L:M,2,FALSE),"")</f>
        <v>RSD Thermal uses technology: Biomass Wood Stove (Imp.) -New</v>
      </c>
      <c r="N199" s="109">
        <f>'Key Inputs_New Techs'!H134</f>
        <v>2030</v>
      </c>
      <c r="O199" s="206" t="s">
        <v>312</v>
      </c>
      <c r="P199" s="114" t="str">
        <f>'Key Inputs_New Techs'!J134</f>
        <v>USD/kW</v>
      </c>
      <c r="Q199" s="121">
        <f>'Key Inputs_New Techs'!K134</f>
        <v>486.75286632101614</v>
      </c>
      <c r="R199" s="121">
        <f>'Key Inputs_New Techs'!L134</f>
        <v>508.33516840066756</v>
      </c>
      <c r="S199" s="121">
        <f>'Key Inputs_New Techs'!M134</f>
        <v>489.25614921931748</v>
      </c>
      <c r="T199" s="121">
        <f>'Key Inputs_New Techs'!N134</f>
        <v>489.28859810962649</v>
      </c>
      <c r="U199" s="121">
        <f>'Key Inputs_New Techs'!O134</f>
        <v>600.47363256319454</v>
      </c>
      <c r="V199" s="121">
        <f>'Key Inputs_New Techs'!P134</f>
        <v>498.71799533222577</v>
      </c>
      <c r="W199" s="121">
        <f>'Key Inputs_New Techs'!Q134</f>
        <v>512.25747145477374</v>
      </c>
      <c r="X199" s="121">
        <f>'Key Inputs_New Techs'!R134</f>
        <v>494.75108900275734</v>
      </c>
      <c r="Y199" s="121">
        <f>'Key Inputs_New Techs'!S134</f>
        <v>517.09886865455849</v>
      </c>
      <c r="Z199" s="121">
        <f>'Key Inputs_New Techs'!T134</f>
        <v>603.1248309242925</v>
      </c>
      <c r="AA199" s="121">
        <f>'Key Inputs_New Techs'!U134</f>
        <v>509.7531691605256</v>
      </c>
      <c r="AB199" s="121">
        <f>'Key Inputs_New Techs'!V134</f>
        <v>518.27181897860964</v>
      </c>
      <c r="AC199" s="121">
        <f>'Key Inputs_New Techs'!W134</f>
        <v>514.24656104029032</v>
      </c>
      <c r="AD199" s="121">
        <f>'Key Inputs_New Techs'!X134</f>
        <v>653.17363408892072</v>
      </c>
      <c r="AE199" s="121">
        <f>'Key Inputs_New Techs'!Y134</f>
        <v>558.78577019421482</v>
      </c>
      <c r="AF199" s="121">
        <f>'Key Inputs_New Techs'!Z134</f>
        <v>600.19665242139399</v>
      </c>
      <c r="AG199" s="121">
        <f>'Key Inputs_New Techs'!AA134</f>
        <v>600.19665242139399</v>
      </c>
      <c r="AH199" s="121">
        <f>'Key Inputs_New Techs'!AB134</f>
        <v>508.79665889727028</v>
      </c>
      <c r="AI199" s="121">
        <f>'Key Inputs_New Techs'!AC134</f>
        <v>496.56263467309498</v>
      </c>
      <c r="AJ199" s="121">
        <f>'Key Inputs_New Techs'!AD134</f>
        <v>583.75147640788248</v>
      </c>
      <c r="AK199" s="121">
        <f>'Key Inputs_New Techs'!AE134</f>
        <v>509.7531691605256</v>
      </c>
      <c r="AL199" s="121">
        <f>'Key Inputs_New Techs'!AF134</f>
        <v>548.93311942856189</v>
      </c>
      <c r="AM199" s="121">
        <f>'Key Inputs_New Techs'!AG134</f>
        <v>523.82424484261105</v>
      </c>
      <c r="AN199" s="121">
        <f>'Key Inputs_New Techs'!AH134</f>
        <v>529.5879637219665</v>
      </c>
      <c r="AO199" s="121">
        <f>'Key Inputs_New Techs'!AI134</f>
        <v>489.25614921931748</v>
      </c>
      <c r="AP199" s="121">
        <f>'Key Inputs_New Techs'!AJ134</f>
        <v>552.20357888224021</v>
      </c>
      <c r="AQ199" s="121">
        <f>'Key Inputs_New Techs'!AK134</f>
        <v>586.03363469329452</v>
      </c>
      <c r="AR199" s="121">
        <f>'Key Inputs_New Techs'!AL134</f>
        <v>634.63979608659395</v>
      </c>
    </row>
    <row r="200" spans="1:44" x14ac:dyDescent="0.25">
      <c r="J200" s="118"/>
      <c r="K200" s="201" t="str">
        <f>IF('Key Inputs_New Techs'!B135="","",'Key Inputs_New Techs'!B135)</f>
        <v/>
      </c>
      <c r="L200" s="109" t="str">
        <f>IFERROR(VLOOKUP(K$199,'Commodities &amp; Processes'!L:M,2,FALSE),"")</f>
        <v>RSD Thermal uses technology: Biomass Wood Stove (Imp.) -New</v>
      </c>
      <c r="N200" s="109">
        <f>'Key Inputs_New Techs'!H135</f>
        <v>2050</v>
      </c>
      <c r="O200" s="206" t="s">
        <v>312</v>
      </c>
      <c r="P200" s="114" t="str">
        <f>'Key Inputs_New Techs'!J135</f>
        <v>USD/kW</v>
      </c>
      <c r="Q200" s="121">
        <f>'Key Inputs_New Techs'!K135</f>
        <v>456.56899181508044</v>
      </c>
      <c r="R200" s="121">
        <f>'Key Inputs_New Techs'!L135</f>
        <v>476.81296074336262</v>
      </c>
      <c r="S200" s="121">
        <f>'Key Inputs_New Techs'!M135</f>
        <v>458.91704444750519</v>
      </c>
      <c r="T200" s="121">
        <f>'Key Inputs_New Techs'!N135</f>
        <v>458.94748116017604</v>
      </c>
      <c r="U200" s="121">
        <f>'Key Inputs_New Techs'!O135</f>
        <v>563.23785641584345</v>
      </c>
      <c r="V200" s="121">
        <f>'Key Inputs_New Techs'!P135</f>
        <v>467.7921550824592</v>
      </c>
      <c r="W200" s="121">
        <f>'Key Inputs_New Techs'!Q135</f>
        <v>480.49203913183061</v>
      </c>
      <c r="X200" s="121">
        <f>'Key Inputs_New Techs'!R135</f>
        <v>464.07123929790617</v>
      </c>
      <c r="Y200" s="121">
        <f>'Key Inputs_New Techs'!S135</f>
        <v>485.03321801627965</v>
      </c>
      <c r="Z200" s="121">
        <f>'Key Inputs_New Techs'!T135</f>
        <v>565.72465217315914</v>
      </c>
      <c r="AA200" s="121">
        <f>'Key Inputs_New Techs'!U135</f>
        <v>478.14303031689121</v>
      </c>
      <c r="AB200" s="121">
        <f>'Key Inputs_New Techs'!V135</f>
        <v>486.13343289729085</v>
      </c>
      <c r="AC200" s="121">
        <f>'Key Inputs_New Techs'!W135</f>
        <v>482.35778392662394</v>
      </c>
      <c r="AD200" s="121">
        <f>'Key Inputs_New Techs'!X135</f>
        <v>612.66989519789252</v>
      </c>
      <c r="AE200" s="121">
        <f>'Key Inputs_New Techs'!Y135</f>
        <v>524.13508659223805</v>
      </c>
      <c r="AF200" s="121">
        <f>'Key Inputs_New Techs'!Z135</f>
        <v>562.97805200000005</v>
      </c>
      <c r="AG200" s="121">
        <f>'Key Inputs_New Techs'!AA135</f>
        <v>562.97805200000005</v>
      </c>
      <c r="AH200" s="121">
        <f>'Key Inputs_New Techs'!AB135</f>
        <v>477.24583390209443</v>
      </c>
      <c r="AI200" s="121">
        <f>'Key Inputs_New Techs'!AC135</f>
        <v>465.77044979580097</v>
      </c>
      <c r="AJ200" s="121">
        <f>'Key Inputs_New Techs'!AD135</f>
        <v>547.55265247547266</v>
      </c>
      <c r="AK200" s="121">
        <f>'Key Inputs_New Techs'!AE135</f>
        <v>478.14303031689121</v>
      </c>
      <c r="AL200" s="121">
        <f>'Key Inputs_New Techs'!AF135</f>
        <v>514.89340536541715</v>
      </c>
      <c r="AM200" s="121">
        <f>'Key Inputs_New Techs'!AG135</f>
        <v>491.3415490775111</v>
      </c>
      <c r="AN200" s="121">
        <f>'Key Inputs_New Techs'!AH135</f>
        <v>496.74785585027365</v>
      </c>
      <c r="AO200" s="121">
        <f>'Key Inputs_New Techs'!AI135</f>
        <v>458.91704444750519</v>
      </c>
      <c r="AP200" s="121">
        <f>'Key Inputs_New Techs'!AJ135</f>
        <v>517.96106141606117</v>
      </c>
      <c r="AQ200" s="121">
        <f>'Key Inputs_New Techs'!AK135</f>
        <v>549.69329258183382</v>
      </c>
      <c r="AR200" s="121">
        <f>'Key Inputs_New Techs'!AL135</f>
        <v>595.28535302735781</v>
      </c>
    </row>
    <row r="201" spans="1:44" x14ac:dyDescent="0.25">
      <c r="J201" s="118"/>
      <c r="K201" s="201" t="str">
        <f>IF('Key Inputs_New Techs'!B136="","",'Key Inputs_New Techs'!B136)</f>
        <v>R-THL-STV_BIO03</v>
      </c>
      <c r="L201" s="109" t="str">
        <f>IFERROR(VLOOKUP(K$201,'Commodities &amp; Processes'!L:M,2,FALSE),"")</f>
        <v>RSD Thermal uses technology: Biomass Wood Stove (Adv.)) -New</v>
      </c>
      <c r="N201" s="109">
        <f>'Key Inputs_New Techs'!H136</f>
        <v>2030</v>
      </c>
      <c r="O201" s="206" t="s">
        <v>312</v>
      </c>
      <c r="P201" s="114" t="str">
        <f>'Key Inputs_New Techs'!J136</f>
        <v>USD/kW</v>
      </c>
      <c r="Q201" s="121">
        <f>'Key Inputs_New Techs'!K136</f>
        <v>630.76517510341262</v>
      </c>
      <c r="R201" s="121">
        <f>'Key Inputs_New Techs'!L136</f>
        <v>658.73288827436693</v>
      </c>
      <c r="S201" s="121">
        <f>'Key Inputs_New Techs'!M136</f>
        <v>634.00908753810393</v>
      </c>
      <c r="T201" s="121">
        <f>'Key Inputs_New Techs'!N136</f>
        <v>634.05113686414575</v>
      </c>
      <c r="U201" s="121">
        <f>'Key Inputs_New Techs'!O136</f>
        <v>778.13174240028559</v>
      </c>
      <c r="V201" s="121">
        <f>'Key Inputs_New Techs'!P136</f>
        <v>646.27034665573206</v>
      </c>
      <c r="W201" s="121">
        <f>'Key Inputs_New Techs'!Q136</f>
        <v>663.81565684937573</v>
      </c>
      <c r="X201" s="121">
        <f>'Key Inputs_New Techs'!R136</f>
        <v>641.12977833317018</v>
      </c>
      <c r="Y201" s="121">
        <f>'Key Inputs_New Techs'!S136</f>
        <v>670.08944579601007</v>
      </c>
      <c r="Z201" s="121">
        <f>'Key Inputs_New Techs'!T136</f>
        <v>781.56733305455623</v>
      </c>
      <c r="AA201" s="121">
        <f>'Key Inputs_New Techs'!U136</f>
        <v>660.57042341688987</v>
      </c>
      <c r="AB201" s="121">
        <f>'Key Inputs_New Techs'!V136</f>
        <v>671.60942907238973</v>
      </c>
      <c r="AC201" s="121">
        <f>'Key Inputs_New Techs'!W136</f>
        <v>666.39324504148578</v>
      </c>
      <c r="AD201" s="121">
        <f>'Key Inputs_New Techs'!X136</f>
        <v>846.4237402298412</v>
      </c>
      <c r="AE201" s="121">
        <f>'Key Inputs_New Techs'!Y136</f>
        <v>724.10997154641962</v>
      </c>
      <c r="AF201" s="121">
        <f>'Key Inputs_New Techs'!Z136</f>
        <v>777.77281400000015</v>
      </c>
      <c r="AG201" s="121">
        <f>'Key Inputs_New Techs'!AA136</f>
        <v>777.77281400000015</v>
      </c>
      <c r="AH201" s="121">
        <f>'Key Inputs_New Techs'!AB136</f>
        <v>659.33091687170895</v>
      </c>
      <c r="AI201" s="121">
        <f>'Key Inputs_New Techs'!AC136</f>
        <v>643.47729388165544</v>
      </c>
      <c r="AJ201" s="121">
        <f>'Key Inputs_New Techs'!AD136</f>
        <v>756.46211396001729</v>
      </c>
      <c r="AK201" s="121">
        <f>'Key Inputs_New Techs'!AE136</f>
        <v>660.57042341688987</v>
      </c>
      <c r="AL201" s="121">
        <f>'Key Inputs_New Techs'!AF136</f>
        <v>711.34228302225756</v>
      </c>
      <c r="AM201" s="121">
        <f>'Key Inputs_New Techs'!AG136</f>
        <v>678.8046139694535</v>
      </c>
      <c r="AN201" s="121">
        <f>'Key Inputs_New Techs'!AH136</f>
        <v>686.2736057304304</v>
      </c>
      <c r="AO201" s="121">
        <f>'Key Inputs_New Techs'!AI136</f>
        <v>634.00908753810393</v>
      </c>
      <c r="AP201" s="121">
        <f>'Key Inputs_New Techs'!AJ136</f>
        <v>715.58035139884419</v>
      </c>
      <c r="AQ201" s="121">
        <f>'Key Inputs_New Techs'!AK136</f>
        <v>759.41947912438036</v>
      </c>
      <c r="AR201" s="121">
        <f>'Key Inputs_New Techs'!AL136</f>
        <v>822.40641977472967</v>
      </c>
    </row>
    <row r="202" spans="1:44" x14ac:dyDescent="0.25">
      <c r="J202" s="118"/>
      <c r="K202" s="201" t="str">
        <f>IF('Key Inputs_New Techs'!B137="","",'Key Inputs_New Techs'!B137)</f>
        <v/>
      </c>
      <c r="L202" s="109" t="str">
        <f>IFERROR(VLOOKUP(K$201,'Commodities &amp; Processes'!L:M,2,FALSE),"")</f>
        <v>RSD Thermal uses technology: Biomass Wood Stove (Adv.)) -New</v>
      </c>
      <c r="N202" s="109">
        <f>'Key Inputs_New Techs'!H137</f>
        <v>2050</v>
      </c>
      <c r="O202" s="206" t="s">
        <v>312</v>
      </c>
      <c r="P202" s="114" t="str">
        <f>'Key Inputs_New Techs'!J137</f>
        <v>USD/kW</v>
      </c>
      <c r="Q202" s="121">
        <f>'Key Inputs_New Techs'!K137</f>
        <v>610.08434969018595</v>
      </c>
      <c r="R202" s="121">
        <f>'Key Inputs_New Techs'!L137</f>
        <v>637.13508865881386</v>
      </c>
      <c r="S202" s="121">
        <f>'Key Inputs_New Techs'!M137</f>
        <v>613.22190434013328</v>
      </c>
      <c r="T202" s="121">
        <f>'Key Inputs_New Techs'!N137</f>
        <v>613.26257499974747</v>
      </c>
      <c r="U202" s="121">
        <f>'Key Inputs_New Techs'!O137</f>
        <v>752.61922625601392</v>
      </c>
      <c r="V202" s="121">
        <f>'Key Inputs_New Techs'!P137</f>
        <v>625.08115496210144</v>
      </c>
      <c r="W202" s="121">
        <f>'Key Inputs_New Techs'!Q137</f>
        <v>642.05120908382241</v>
      </c>
      <c r="X202" s="121">
        <f>'Key Inputs_New Techs'!R137</f>
        <v>620.10912986323012</v>
      </c>
      <c r="Y202" s="121">
        <f>'Key Inputs_New Techs'!S137</f>
        <v>648.11930003220641</v>
      </c>
      <c r="Z202" s="121">
        <f>'Key Inputs_New Techs'!T137</f>
        <v>755.94217459375102</v>
      </c>
      <c r="AA202" s="121">
        <f>'Key Inputs_New Techs'!U137</f>
        <v>638.91237674748356</v>
      </c>
      <c r="AB202" s="121">
        <f>'Key Inputs_New Techs'!V137</f>
        <v>649.58944779132764</v>
      </c>
      <c r="AC202" s="121">
        <f>'Key Inputs_New Techs'!W137</f>
        <v>644.54428618766656</v>
      </c>
      <c r="AD202" s="121">
        <f>'Key Inputs_New Techs'!X137</f>
        <v>818.67214218951847</v>
      </c>
      <c r="AE202" s="121">
        <f>'Key Inputs_New Techs'!Y137</f>
        <v>700.36866100391399</v>
      </c>
      <c r="AF202" s="121">
        <f>'Key Inputs_New Techs'!Z137</f>
        <v>752.27206600000011</v>
      </c>
      <c r="AG202" s="121">
        <f>'Key Inputs_New Techs'!AA137</f>
        <v>752.27206600000011</v>
      </c>
      <c r="AH202" s="121">
        <f>'Key Inputs_New Techs'!AB137</f>
        <v>637.71350976116105</v>
      </c>
      <c r="AI202" s="121">
        <f>'Key Inputs_New Techs'!AC137</f>
        <v>622.37967768881424</v>
      </c>
      <c r="AJ202" s="121">
        <f>'Key Inputs_New Techs'!AD137</f>
        <v>731.66007743673799</v>
      </c>
      <c r="AK202" s="121">
        <f>'Key Inputs_New Techs'!AE137</f>
        <v>638.91237674748356</v>
      </c>
      <c r="AL202" s="121">
        <f>'Key Inputs_New Techs'!AF137</f>
        <v>688.01958521824906</v>
      </c>
      <c r="AM202" s="121">
        <f>'Key Inputs_New Techs'!AG137</f>
        <v>656.54872498684847</v>
      </c>
      <c r="AN202" s="121">
        <f>'Key Inputs_New Techs'!AH137</f>
        <v>663.77283177205561</v>
      </c>
      <c r="AO202" s="121">
        <f>'Key Inputs_New Techs'!AI137</f>
        <v>613.22190434013328</v>
      </c>
      <c r="AP202" s="121">
        <f>'Key Inputs_New Techs'!AJ137</f>
        <v>692.11870053330824</v>
      </c>
      <c r="AQ202" s="121">
        <f>'Key Inputs_New Techs'!AK137</f>
        <v>734.52047980882685</v>
      </c>
      <c r="AR202" s="121">
        <f>'Key Inputs_New Techs'!AL137</f>
        <v>795.44227486408272</v>
      </c>
    </row>
    <row r="203" spans="1:44" x14ac:dyDescent="0.25">
      <c r="J203" s="118"/>
      <c r="K203" s="201" t="str">
        <f>IF('Key Inputs_New Techs'!B138="","",'Key Inputs_New Techs'!B138)</f>
        <v>R-THL-HPA_ELC01</v>
      </c>
      <c r="L203" s="109" t="str">
        <f>IFERROR(VLOOKUP(K203,'Commodities &amp; Processes'!L:M,2,FALSE),"")</f>
        <v>RSD Thermal uses technology: Electricity Heat Pump Air (Ord.) -New</v>
      </c>
      <c r="N203" s="109">
        <f>'Key Inputs_New Techs'!H138</f>
        <v>2020</v>
      </c>
      <c r="O203" s="206" t="s">
        <v>312</v>
      </c>
      <c r="P203" s="114" t="str">
        <f>'Key Inputs_New Techs'!J138</f>
        <v>USD/kW</v>
      </c>
      <c r="Q203" s="121">
        <f>'Key Inputs_New Techs'!K138</f>
        <v>810.68835619848426</v>
      </c>
      <c r="R203" s="121">
        <f>'Key Inputs_New Techs'!L138</f>
        <v>846.63374492967796</v>
      </c>
      <c r="S203" s="121">
        <f>'Key Inputs_New Techs'!M138</f>
        <v>814.85758136044819</v>
      </c>
      <c r="T203" s="121">
        <f>'Key Inputs_New Techs'!N138</f>
        <v>814.91162508441005</v>
      </c>
      <c r="U203" s="121">
        <f>'Key Inputs_New Techs'!O138</f>
        <v>1000.0906328554489</v>
      </c>
      <c r="V203" s="121">
        <f>'Key Inputs_New Techs'!P138</f>
        <v>830.61631439031771</v>
      </c>
      <c r="W203" s="121">
        <f>'Key Inputs_New Techs'!Q138</f>
        <v>853.16635240968935</v>
      </c>
      <c r="X203" s="121">
        <f>'Key Inputs_New Techs'!R138</f>
        <v>824.009420021648</v>
      </c>
      <c r="Y203" s="121">
        <f>'Key Inputs_New Techs'!S138</f>
        <v>861.22971394110129</v>
      </c>
      <c r="Z203" s="121">
        <f>'Key Inputs_New Techs'!T138</f>
        <v>1004.5062116635605</v>
      </c>
      <c r="AA203" s="121">
        <f>'Key Inputs_New Techs'!U138</f>
        <v>848.9954294407238</v>
      </c>
      <c r="AB203" s="121">
        <f>'Key Inputs_New Techs'!V138</f>
        <v>863.18326621762856</v>
      </c>
      <c r="AC203" s="121">
        <f>'Key Inputs_New Techs'!W138</f>
        <v>856.47918706971268</v>
      </c>
      <c r="AD203" s="121">
        <f>'Key Inputs_New Techs'!X138</f>
        <v>1087.8626431806481</v>
      </c>
      <c r="AE203" s="121">
        <f>'Key Inputs_New Techs'!Y138</f>
        <v>930.65937326621781</v>
      </c>
      <c r="AF203" s="121">
        <f>'Key Inputs_New Techs'!Z138</f>
        <v>999.62932160000003</v>
      </c>
      <c r="AG203" s="121">
        <f>'Key Inputs_New Techs'!AA138</f>
        <v>999.62932160000003</v>
      </c>
      <c r="AH203" s="121">
        <f>'Key Inputs_New Techs'!AB138</f>
        <v>847.4023587334749</v>
      </c>
      <c r="AI203" s="121">
        <f>'Key Inputs_New Techs'!AC138</f>
        <v>827.02655475937331</v>
      </c>
      <c r="AJ203" s="121">
        <f>'Key Inputs_New Techs'!AD138</f>
        <v>972.23983171254656</v>
      </c>
      <c r="AK203" s="121">
        <f>'Key Inputs_New Techs'!AE138</f>
        <v>848.9954294407238</v>
      </c>
      <c r="AL203" s="121">
        <f>'Key Inputs_New Techs'!AF138</f>
        <v>914.24975391713087</v>
      </c>
      <c r="AM203" s="121">
        <f>'Key Inputs_New Techs'!AG138</f>
        <v>872.43084811811718</v>
      </c>
      <c r="AN203" s="121">
        <f>'Key Inputs_New Techs'!AH138</f>
        <v>882.03033916829077</v>
      </c>
      <c r="AO203" s="121">
        <f>'Key Inputs_New Techs'!AI138</f>
        <v>814.85758136044819</v>
      </c>
      <c r="AP203" s="121">
        <f>'Key Inputs_New Techs'!AJ138</f>
        <v>919.69671392900614</v>
      </c>
      <c r="AQ203" s="121">
        <f>'Key Inputs_New Techs'!AK138</f>
        <v>976.04077316969517</v>
      </c>
      <c r="AR203" s="121">
        <f>'Key Inputs_New Techs'!AL138</f>
        <v>1056.9944804973572</v>
      </c>
    </row>
    <row r="204" spans="1:44" x14ac:dyDescent="0.25">
      <c r="A204" s="267"/>
      <c r="B204" s="267"/>
      <c r="C204" s="267"/>
      <c r="D204" s="267"/>
      <c r="E204" s="267"/>
      <c r="F204" s="267"/>
      <c r="K204" s="201" t="str">
        <f>IF('Key Inputs_New Techs'!B139="","",'Key Inputs_New Techs'!B139)</f>
        <v>R-THL-HPA_ELC02</v>
      </c>
      <c r="L204" s="109" t="str">
        <f>IFERROR(VLOOKUP(K$204,'Commodities &amp; Processes'!L:M,2,FALSE),"")</f>
        <v>RSD Thermal uses technology: Electricity Heat Pump Air (Imp.) -New</v>
      </c>
      <c r="N204" s="109">
        <f>'Key Inputs_New Techs'!H139</f>
        <v>2030</v>
      </c>
      <c r="O204" s="206" t="s">
        <v>312</v>
      </c>
      <c r="P204" s="114" t="str">
        <f>'Key Inputs_New Techs'!J139</f>
        <v>USD/kW</v>
      </c>
      <c r="Q204" s="121">
        <f>'Key Inputs_New Techs'!K139</f>
        <v>863.42446100221207</v>
      </c>
      <c r="R204" s="121">
        <f>'Key Inputs_New Techs'!L139</f>
        <v>901.70813394933805</v>
      </c>
      <c r="S204" s="121">
        <f>'Key Inputs_New Techs'!M139</f>
        <v>867.86489851527324</v>
      </c>
      <c r="T204" s="121">
        <f>'Key Inputs_New Techs'!N139</f>
        <v>867.92245783862541</v>
      </c>
      <c r="U204" s="121">
        <f>'Key Inputs_New Techs'!O139</f>
        <v>1065.1475490233415</v>
      </c>
      <c r="V204" s="121">
        <f>'Key Inputs_New Techs'!P139</f>
        <v>884.64875320907549</v>
      </c>
      <c r="W204" s="121">
        <f>'Key Inputs_New Techs'!Q139</f>
        <v>908.66569421185022</v>
      </c>
      <c r="X204" s="121">
        <f>'Key Inputs_New Techs'!R139</f>
        <v>877.61207361999493</v>
      </c>
      <c r="Y204" s="121">
        <f>'Key Inputs_New Techs'!S139</f>
        <v>917.25358563880047</v>
      </c>
      <c r="Z204" s="121">
        <f>'Key Inputs_New Techs'!T139</f>
        <v>1069.8503657386136</v>
      </c>
      <c r="AA204" s="121">
        <f>'Key Inputs_New Techs'!U139</f>
        <v>904.22344844770964</v>
      </c>
      <c r="AB204" s="121">
        <f>'Key Inputs_New Techs'!V139</f>
        <v>919.33421848433647</v>
      </c>
      <c r="AC204" s="121">
        <f>'Key Inputs_New Techs'!W139</f>
        <v>912.1940321469516</v>
      </c>
      <c r="AD204" s="121">
        <f>'Key Inputs_New Techs'!X139</f>
        <v>1158.6292181834708</v>
      </c>
      <c r="AE204" s="121">
        <f>'Key Inputs_New Techs'!Y139</f>
        <v>991.19971514960685</v>
      </c>
      <c r="AF204" s="121">
        <f>'Key Inputs_New Techs'!Z139</f>
        <v>1064.6562289999999</v>
      </c>
      <c r="AG204" s="121">
        <f>'Key Inputs_New Techs'!AA139</f>
        <v>1064.6562289999999</v>
      </c>
      <c r="AH204" s="121">
        <f>'Key Inputs_New Techs'!AB139</f>
        <v>902.52674686537182</v>
      </c>
      <c r="AI204" s="121">
        <f>'Key Inputs_New Techs'!AC139</f>
        <v>880.82547605111824</v>
      </c>
      <c r="AJ204" s="121">
        <f>'Key Inputs_New Techs'!AD139</f>
        <v>1035.4850248469086</v>
      </c>
      <c r="AK204" s="121">
        <f>'Key Inputs_New Techs'!AE139</f>
        <v>904.22344844770964</v>
      </c>
      <c r="AL204" s="121">
        <f>'Key Inputs_New Techs'!AF139</f>
        <v>973.72263331735223</v>
      </c>
      <c r="AM204" s="121">
        <f>'Key Inputs_New Techs'!AG139</f>
        <v>929.18336502375996</v>
      </c>
      <c r="AN204" s="121">
        <f>'Key Inputs_New Techs'!AH139</f>
        <v>939.40731276214626</v>
      </c>
      <c r="AO204" s="121">
        <f>'Key Inputs_New Techs'!AI139</f>
        <v>867.86489851527324</v>
      </c>
      <c r="AP204" s="121">
        <f>'Key Inputs_New Techs'!AJ139</f>
        <v>979.5239236361225</v>
      </c>
      <c r="AQ204" s="121">
        <f>'Key Inputs_New Techs'!AK139</f>
        <v>1039.5332214243565</v>
      </c>
      <c r="AR204" s="121">
        <f>'Key Inputs_New Techs'!AL139</f>
        <v>1125.7530500195066</v>
      </c>
    </row>
    <row r="205" spans="1:44" x14ac:dyDescent="0.25">
      <c r="K205" s="201" t="str">
        <f>IF('Key Inputs_New Techs'!B140="","",'Key Inputs_New Techs'!B140)</f>
        <v/>
      </c>
      <c r="L205" s="109" t="str">
        <f>IFERROR(VLOOKUP(K$204,'Commodities &amp; Processes'!L:M,2,FALSE),"")</f>
        <v>RSD Thermal uses technology: Electricity Heat Pump Air (Imp.) -New</v>
      </c>
      <c r="N205" s="109">
        <f>'Key Inputs_New Techs'!H140</f>
        <v>2050</v>
      </c>
      <c r="O205" s="206" t="s">
        <v>312</v>
      </c>
      <c r="P205" s="114" t="str">
        <f>'Key Inputs_New Techs'!J140</f>
        <v>USD/kW</v>
      </c>
      <c r="Q205" s="121">
        <f>'Key Inputs_New Techs'!K140</f>
        <v>695.90977515507632</v>
      </c>
      <c r="R205" s="121">
        <f>'Key Inputs_New Techs'!L140</f>
        <v>726.76595706335877</v>
      </c>
      <c r="S205" s="121">
        <f>'Key Inputs_New Techs'!M140</f>
        <v>699.48871461171132</v>
      </c>
      <c r="T205" s="121">
        <f>'Key Inputs_New Techs'!N140</f>
        <v>699.53510673699998</v>
      </c>
      <c r="U205" s="121">
        <f>'Key Inputs_New Techs'!O140</f>
        <v>858.49616825474118</v>
      </c>
      <c r="V205" s="121">
        <f>'Key Inputs_New Techs'!P140</f>
        <v>713.01630049066807</v>
      </c>
      <c r="W205" s="121">
        <f>'Key Inputs_New Techs'!Q140</f>
        <v>732.37366731086854</v>
      </c>
      <c r="X205" s="121">
        <f>'Key Inputs_New Techs'!R140</f>
        <v>707.34482101348101</v>
      </c>
      <c r="Y205" s="121">
        <f>'Key Inputs_New Techs'!S140</f>
        <v>739.29540495199126</v>
      </c>
      <c r="Z205" s="121">
        <f>'Key Inputs_New Techs'!T140</f>
        <v>862.28658220609213</v>
      </c>
      <c r="AA205" s="121">
        <f>'Key Inputs_New Techs'!U140</f>
        <v>728.79327042551927</v>
      </c>
      <c r="AB205" s="121">
        <f>'Key Inputs_New Techs'!V140</f>
        <v>740.97237010773472</v>
      </c>
      <c r="AC205" s="121">
        <f>'Key Inputs_New Techs'!W140</f>
        <v>735.21746543101608</v>
      </c>
      <c r="AD205" s="121">
        <f>'Key Inputs_New Techs'!X140</f>
        <v>933.84127405685729</v>
      </c>
      <c r="AE205" s="121">
        <f>'Key Inputs_New Techs'!Y140</f>
        <v>798.89509975531189</v>
      </c>
      <c r="AF205" s="121">
        <f>'Key Inputs_New Techs'!Z140</f>
        <v>858.10017019999998</v>
      </c>
      <c r="AG205" s="121">
        <f>'Key Inputs_New Techs'!AA140</f>
        <v>858.10017019999998</v>
      </c>
      <c r="AH205" s="121">
        <f>'Key Inputs_New Techs'!AB140</f>
        <v>727.4257492699345</v>
      </c>
      <c r="AI205" s="121">
        <f>'Key Inputs_New Techs'!AC140</f>
        <v>709.93478488910489</v>
      </c>
      <c r="AJ205" s="121">
        <f>'Key Inputs_New Techs'!AD140</f>
        <v>834.58852900834677</v>
      </c>
      <c r="AK205" s="121">
        <f>'Key Inputs_New Techs'!AE140</f>
        <v>728.79327042551927</v>
      </c>
      <c r="AL205" s="121">
        <f>'Key Inputs_New Techs'!AF140</f>
        <v>784.80878110488391</v>
      </c>
      <c r="AM205" s="121">
        <f>'Key Inputs_New Techs'!AG140</f>
        <v>748.9106642646592</v>
      </c>
      <c r="AN205" s="121">
        <f>'Key Inputs_New Techs'!AH140</f>
        <v>757.15104369931078</v>
      </c>
      <c r="AO205" s="121">
        <f>'Key Inputs_New Techs'!AI140</f>
        <v>699.48871461171132</v>
      </c>
      <c r="AP205" s="121">
        <f>'Key Inputs_New Techs'!AJ140</f>
        <v>789.48455162528194</v>
      </c>
      <c r="AQ205" s="121">
        <f>'Key Inputs_New Techs'!AK140</f>
        <v>837.85132696837354</v>
      </c>
      <c r="AR205" s="121">
        <f>'Key Inputs_New Techs'!AL140</f>
        <v>907.34347624326711</v>
      </c>
    </row>
    <row r="206" spans="1:44" x14ac:dyDescent="0.25">
      <c r="K206" s="201" t="str">
        <f>IF('Key Inputs_New Techs'!B141="","",'Key Inputs_New Techs'!B141)</f>
        <v>R-THL-HPA_ELC03</v>
      </c>
      <c r="L206" s="109" t="str">
        <f>IFERROR(VLOOKUP(K$206,'Commodities &amp; Processes'!L:M,2,FALSE),"")</f>
        <v>RSD Thermal uses technology: Electricity Heat Pump Air (Adv.) -New</v>
      </c>
      <c r="N206" s="109">
        <f>'Key Inputs_New Techs'!H141</f>
        <v>2030</v>
      </c>
      <c r="O206" s="206" t="s">
        <v>312</v>
      </c>
      <c r="P206" s="114" t="str">
        <f>'Key Inputs_New Techs'!J141</f>
        <v>USD/kW</v>
      </c>
      <c r="Q206" s="121">
        <f>'Key Inputs_New Techs'!K141</f>
        <v>1116.7645723142386</v>
      </c>
      <c r="R206" s="121">
        <f>'Key Inputs_New Techs'!L141</f>
        <v>1166.2811792398625</v>
      </c>
      <c r="S206" s="121">
        <f>'Key Inputs_New Techs'!M141</f>
        <v>1122.5078926904134</v>
      </c>
      <c r="T206" s="121">
        <f>'Key Inputs_New Techs'!N141</f>
        <v>1122.5823406775037</v>
      </c>
      <c r="U206" s="121">
        <f>'Key Inputs_New Techs'!O141</f>
        <v>1377.6758717906694</v>
      </c>
      <c r="V206" s="121">
        <f>'Key Inputs_New Techs'!P141</f>
        <v>1144.21635145605</v>
      </c>
      <c r="W206" s="121">
        <f>'Key Inputs_New Techs'!Q141</f>
        <v>1175.2801793398783</v>
      </c>
      <c r="X206" s="121">
        <f>'Key Inputs_New Techs'!R141</f>
        <v>1135.1150173767601</v>
      </c>
      <c r="Y206" s="121">
        <f>'Key Inputs_New Techs'!S141</f>
        <v>1186.3878712453948</v>
      </c>
      <c r="Z206" s="121">
        <f>'Key Inputs_New Techs'!T141</f>
        <v>1383.7585568834763</v>
      </c>
      <c r="AA206" s="121">
        <f>'Key Inputs_New Techs'!U141</f>
        <v>1169.5345201479361</v>
      </c>
      <c r="AB206" s="121">
        <f>'Key Inputs_New Techs'!V141</f>
        <v>1189.0789891773454</v>
      </c>
      <c r="AC206" s="121">
        <f>'Key Inputs_New Techs'!W141</f>
        <v>1179.8437781062371</v>
      </c>
      <c r="AD206" s="121">
        <f>'Key Inputs_New Techs'!X141</f>
        <v>1498.5862941774235</v>
      </c>
      <c r="AE206" s="121">
        <f>'Key Inputs_New Techs'!Y141</f>
        <v>1282.0307692953002</v>
      </c>
      <c r="AF206" s="121">
        <f>'Key Inputs_New Techs'!Z141</f>
        <v>1377.0403920000001</v>
      </c>
      <c r="AG206" s="121">
        <f>'Key Inputs_New Techs'!AA141</f>
        <v>1377.0403920000001</v>
      </c>
      <c r="AH206" s="121">
        <f>'Key Inputs_New Techs'!AB141</f>
        <v>1167.3399839695828</v>
      </c>
      <c r="AI206" s="121">
        <f>'Key Inputs_New Techs'!AC141</f>
        <v>1139.2712744134226</v>
      </c>
      <c r="AJ206" s="121">
        <f>'Key Inputs_New Techs'!AD141</f>
        <v>1339.3099722570796</v>
      </c>
      <c r="AK206" s="121">
        <f>'Key Inputs_New Techs'!AE141</f>
        <v>1169.5345201479361</v>
      </c>
      <c r="AL206" s="121">
        <f>'Key Inputs_New Techs'!AF141</f>
        <v>1259.4256814164557</v>
      </c>
      <c r="AM206" s="121">
        <f>'Key Inputs_New Techs'!AG141</f>
        <v>1201.8180050606718</v>
      </c>
      <c r="AN206" s="121">
        <f>'Key Inputs_New Techs'!AH141</f>
        <v>1215.0417937522373</v>
      </c>
      <c r="AO206" s="121">
        <f>'Key Inputs_New Techs'!AI141</f>
        <v>1122.5078926904134</v>
      </c>
      <c r="AP206" s="121">
        <f>'Key Inputs_New Techs'!AJ141</f>
        <v>1266.9291467389371</v>
      </c>
      <c r="AQ206" s="121">
        <f>'Key Inputs_New Techs'!AK141</f>
        <v>1344.5459630398864</v>
      </c>
      <c r="AR206" s="121">
        <f>'Key Inputs_New Techs'!AL141</f>
        <v>1456.063825174931</v>
      </c>
    </row>
    <row r="207" spans="1:44" x14ac:dyDescent="0.25">
      <c r="K207" s="201" t="str">
        <f>IF('Key Inputs_New Techs'!B142="","",'Key Inputs_New Techs'!B142)</f>
        <v/>
      </c>
      <c r="L207" s="109" t="str">
        <f>IFERROR(VLOOKUP(K$206,'Commodities &amp; Processes'!L:M,2,FALSE),"")</f>
        <v>RSD Thermal uses technology: Electricity Heat Pump Air (Adv.) -New</v>
      </c>
      <c r="N207" s="109">
        <f>'Key Inputs_New Techs'!H142</f>
        <v>2050</v>
      </c>
      <c r="O207" s="206" t="s">
        <v>312</v>
      </c>
      <c r="P207" s="114" t="str">
        <f>'Key Inputs_New Techs'!J142</f>
        <v>USD/kW</v>
      </c>
      <c r="Q207" s="121">
        <f>'Key Inputs_New Techs'!K142</f>
        <v>1065.0625087811718</v>
      </c>
      <c r="R207" s="121">
        <f>'Key Inputs_New Techs'!L142</f>
        <v>1112.2866802009801</v>
      </c>
      <c r="S207" s="121">
        <f>'Key Inputs_New Techs'!M142</f>
        <v>1070.5399346954869</v>
      </c>
      <c r="T207" s="121">
        <f>'Key Inputs_New Techs'!N142</f>
        <v>1070.610936016508</v>
      </c>
      <c r="U207" s="121">
        <f>'Key Inputs_New Techs'!O142</f>
        <v>1313.8945814299902</v>
      </c>
      <c r="V207" s="121">
        <f>'Key Inputs_New Techs'!P142</f>
        <v>1091.2433722219735</v>
      </c>
      <c r="W207" s="121">
        <f>'Key Inputs_New Techs'!Q142</f>
        <v>1120.8690599259951</v>
      </c>
      <c r="X207" s="121">
        <f>'Key Inputs_New Techs'!R142</f>
        <v>1082.5633962019101</v>
      </c>
      <c r="Y207" s="121">
        <f>'Key Inputs_New Techs'!S142</f>
        <v>1131.4625068358857</v>
      </c>
      <c r="Z207" s="121">
        <f>'Key Inputs_New Techs'!T142</f>
        <v>1319.6956607314635</v>
      </c>
      <c r="AA207" s="121">
        <f>'Key Inputs_New Techs'!U142</f>
        <v>1115.3894034744203</v>
      </c>
      <c r="AB207" s="121">
        <f>'Key Inputs_New Techs'!V142</f>
        <v>1134.0290359746905</v>
      </c>
      <c r="AC207" s="121">
        <f>'Key Inputs_New Techs'!W142</f>
        <v>1125.2213809716889</v>
      </c>
      <c r="AD207" s="121">
        <f>'Key Inputs_New Techs'!X142</f>
        <v>1429.2072990766169</v>
      </c>
      <c r="AE207" s="121">
        <f>'Key Inputs_New Techs'!Y142</f>
        <v>1222.677492939036</v>
      </c>
      <c r="AF207" s="121">
        <f>'Key Inputs_New Techs'!Z142</f>
        <v>1313.2885220000001</v>
      </c>
      <c r="AG207" s="121">
        <f>'Key Inputs_New Techs'!AA142</f>
        <v>1313.2885220000001</v>
      </c>
      <c r="AH207" s="121">
        <f>'Key Inputs_New Techs'!AB142</f>
        <v>1113.2964661932133</v>
      </c>
      <c r="AI207" s="121">
        <f>'Key Inputs_New Techs'!AC142</f>
        <v>1086.5272339313196</v>
      </c>
      <c r="AJ207" s="121">
        <f>'Key Inputs_New Techs'!AD142</f>
        <v>1277.3048809488814</v>
      </c>
      <c r="AK207" s="121">
        <f>'Key Inputs_New Techs'!AE142</f>
        <v>1115.3894034744203</v>
      </c>
      <c r="AL207" s="121">
        <f>'Key Inputs_New Techs'!AF142</f>
        <v>1201.1189369064346</v>
      </c>
      <c r="AM207" s="121">
        <f>'Key Inputs_New Techs'!AG142</f>
        <v>1146.178282604159</v>
      </c>
      <c r="AN207" s="121">
        <f>'Key Inputs_New Techs'!AH142</f>
        <v>1158.7898588563003</v>
      </c>
      <c r="AO207" s="121">
        <f>'Key Inputs_New Techs'!AI142</f>
        <v>1070.5399346954869</v>
      </c>
      <c r="AP207" s="121">
        <f>'Key Inputs_New Techs'!AJ142</f>
        <v>1208.2750195750973</v>
      </c>
      <c r="AQ207" s="121">
        <f>'Key Inputs_New Techs'!AK142</f>
        <v>1282.2984647510027</v>
      </c>
      <c r="AR207" s="121">
        <f>'Key Inputs_New Techs'!AL142</f>
        <v>1388.6534628983138</v>
      </c>
    </row>
    <row r="208" spans="1:44" x14ac:dyDescent="0.25">
      <c r="K208" s="201" t="str">
        <f>IF('Key Inputs_New Techs'!B143="","",'Key Inputs_New Techs'!B143)</f>
        <v>R-THL-HPA_ELC04</v>
      </c>
      <c r="L208" s="109" t="str">
        <f>IFERROR(VLOOKUP(K208,'Commodities &amp; Processes'!L:M,2,FALSE),"")</f>
        <v>RSD Thermal uses technology: Electricity Heat Pump Wat. (Ord.) -New</v>
      </c>
      <c r="N208" s="109">
        <f>'Key Inputs_New Techs'!H143</f>
        <v>2020</v>
      </c>
      <c r="O208" s="206" t="s">
        <v>312</v>
      </c>
      <c r="P208" s="114" t="str">
        <f>'Key Inputs_New Techs'!J143</f>
        <v>USD/kW</v>
      </c>
      <c r="Q208" s="121">
        <f>'Key Inputs_New Techs'!K143</f>
        <v>1071.2667564051399</v>
      </c>
      <c r="R208" s="121">
        <f>'Key Inputs_New Techs'!L143</f>
        <v>1118.7660200856458</v>
      </c>
      <c r="S208" s="121">
        <f>'Key Inputs_New Techs'!M143</f>
        <v>1076.776089654878</v>
      </c>
      <c r="T208" s="121">
        <f>'Key Inputs_New Techs'!N143</f>
        <v>1076.8475045758275</v>
      </c>
      <c r="U208" s="121">
        <f>'Key Inputs_New Techs'!O143</f>
        <v>1321.5483362732716</v>
      </c>
      <c r="V208" s="121">
        <f>'Key Inputs_New Techs'!P143</f>
        <v>1097.6001297300625</v>
      </c>
      <c r="W208" s="121">
        <f>'Key Inputs_New Techs'!Q143</f>
        <v>1127.3983942556608</v>
      </c>
      <c r="X208" s="121">
        <f>'Key Inputs_New Techs'!R143</f>
        <v>1088.8695907428919</v>
      </c>
      <c r="Y208" s="121">
        <f>'Key Inputs_New Techs'!S143</f>
        <v>1138.0535505650266</v>
      </c>
      <c r="Z208" s="121">
        <f>'Key Inputs_New Techs'!T143</f>
        <v>1327.3832082697049</v>
      </c>
      <c r="AA208" s="121">
        <f>'Key Inputs_New Techs'!U143</f>
        <v>1121.8868174752422</v>
      </c>
      <c r="AB208" s="121">
        <f>'Key Inputs_New Techs'!V143</f>
        <v>1140.6350303590091</v>
      </c>
      <c r="AC208" s="121">
        <f>'Key Inputs_New Techs'!W143</f>
        <v>1131.7760686278345</v>
      </c>
      <c r="AD208" s="121">
        <f>'Key Inputs_New Techs'!X143</f>
        <v>1437.5327784887133</v>
      </c>
      <c r="AE208" s="121">
        <f>'Key Inputs_New Techs'!Y143</f>
        <v>1229.7998861017877</v>
      </c>
      <c r="AF208" s="121">
        <f>'Key Inputs_New Techs'!Z143</f>
        <v>1320.9387463999999</v>
      </c>
      <c r="AG208" s="121">
        <f>'Key Inputs_New Techs'!AA143</f>
        <v>1320.9387463999999</v>
      </c>
      <c r="AH208" s="121">
        <f>'Key Inputs_New Techs'!AB143</f>
        <v>1119.7816883263774</v>
      </c>
      <c r="AI208" s="121">
        <f>'Key Inputs_New Techs'!AC143</f>
        <v>1092.8565187891718</v>
      </c>
      <c r="AJ208" s="121">
        <f>'Key Inputs_New Techs'!AD143</f>
        <v>1284.745491905865</v>
      </c>
      <c r="AK208" s="121">
        <f>'Key Inputs_New Techs'!AE143</f>
        <v>1121.8868174752422</v>
      </c>
      <c r="AL208" s="121">
        <f>'Key Inputs_New Techs'!AF143</f>
        <v>1208.1157462476369</v>
      </c>
      <c r="AM208" s="121">
        <f>'Key Inputs_New Techs'!AG143</f>
        <v>1152.8550492989405</v>
      </c>
      <c r="AN208" s="121">
        <f>'Key Inputs_New Techs'!AH143</f>
        <v>1165.5400910438127</v>
      </c>
      <c r="AO208" s="121">
        <f>'Key Inputs_New Techs'!AI143</f>
        <v>1076.776089654878</v>
      </c>
      <c r="AP208" s="121">
        <f>'Key Inputs_New Techs'!AJ143</f>
        <v>1215.3135148347581</v>
      </c>
      <c r="AQ208" s="121">
        <f>'Key Inputs_New Techs'!AK143</f>
        <v>1289.7681645456685</v>
      </c>
      <c r="AR208" s="121">
        <f>'Key Inputs_New Techs'!AL143</f>
        <v>1396.7427063715077</v>
      </c>
    </row>
    <row r="209" spans="1:44" x14ac:dyDescent="0.25">
      <c r="A209" s="267"/>
      <c r="B209" s="267"/>
      <c r="C209" s="267"/>
      <c r="D209" s="267"/>
      <c r="E209" s="267"/>
      <c r="F209" s="267"/>
      <c r="K209" s="201" t="str">
        <f>IF('Key Inputs_New Techs'!B144="","",'Key Inputs_New Techs'!B144)</f>
        <v>R-THL-HPA_ELC05</v>
      </c>
      <c r="L209" s="109" t="str">
        <f>IFERROR(VLOOKUP(K$209,'Commodities &amp; Processes'!L:M,2,FALSE),"")</f>
        <v>RSD Thermal uses technology: Electricity Heat Pump Wat. (Imp.) -New</v>
      </c>
      <c r="N209" s="109">
        <f>'Key Inputs_New Techs'!H144</f>
        <v>2030</v>
      </c>
      <c r="O209" s="206" t="s">
        <v>312</v>
      </c>
      <c r="P209" s="114" t="str">
        <f>'Key Inputs_New Techs'!J144</f>
        <v>USD/kW</v>
      </c>
      <c r="Q209" s="121">
        <f>'Key Inputs_New Techs'!K144</f>
        <v>1141.3526332750655</v>
      </c>
      <c r="R209" s="121">
        <f>'Key Inputs_New Techs'!L144</f>
        <v>1191.9594586584058</v>
      </c>
      <c r="S209" s="121">
        <f>'Key Inputs_New Techs'!M144</f>
        <v>1147.222405649296</v>
      </c>
      <c r="T209" s="121">
        <f>'Key Inputs_New Techs'!N144</f>
        <v>1147.2984927747423</v>
      </c>
      <c r="U209" s="121">
        <f>'Key Inputs_New Techs'!O144</f>
        <v>1408.0084764950366</v>
      </c>
      <c r="V209" s="121">
        <f>'Key Inputs_New Techs'!P144</f>
        <v>1169.4088245156806</v>
      </c>
      <c r="W209" s="121">
        <f>'Key Inputs_New Techs'!Q144</f>
        <v>1201.156591801438</v>
      </c>
      <c r="X209" s="121">
        <f>'Key Inputs_New Techs'!R144</f>
        <v>1160.1071042827516</v>
      </c>
      <c r="Y209" s="121">
        <f>'Key Inputs_New Techs'!S144</f>
        <v>1212.5088442996503</v>
      </c>
      <c r="Z209" s="121">
        <f>'Key Inputs_New Techs'!T144</f>
        <v>1414.2250854564682</v>
      </c>
      <c r="AA209" s="121">
        <f>'Key Inputs_New Techs'!U144</f>
        <v>1195.2844291171984</v>
      </c>
      <c r="AB209" s="121">
        <f>'Key Inputs_New Techs'!V144</f>
        <v>1215.2592131904908</v>
      </c>
      <c r="AC209" s="121">
        <f>'Key Inputs_New Techs'!W144</f>
        <v>1205.8206683654005</v>
      </c>
      <c r="AD209" s="121">
        <f>'Key Inputs_New Techs'!X144</f>
        <v>1531.5810113002426</v>
      </c>
      <c r="AE209" s="121">
        <f>'Key Inputs_New Techs'!Y144</f>
        <v>1310.2575339067214</v>
      </c>
      <c r="AF209" s="121">
        <f>'Key Inputs_New Techs'!Z144</f>
        <v>1407.3590052005</v>
      </c>
      <c r="AG209" s="121">
        <f>'Key Inputs_New Techs'!AA144</f>
        <v>1407.3590052005</v>
      </c>
      <c r="AH209" s="121">
        <f>'Key Inputs_New Techs'!AB144</f>
        <v>1193.0415753339787</v>
      </c>
      <c r="AI209" s="121">
        <f>'Key Inputs_New Techs'!AC144</f>
        <v>1164.3548705810076</v>
      </c>
      <c r="AJ209" s="121">
        <f>'Key Inputs_New Techs'!AD144</f>
        <v>1368.7978661782295</v>
      </c>
      <c r="AK209" s="121">
        <f>'Key Inputs_New Techs'!AE144</f>
        <v>1195.2844291171984</v>
      </c>
      <c r="AL209" s="121">
        <f>'Key Inputs_New Techs'!AF144</f>
        <v>1287.1547446389102</v>
      </c>
      <c r="AM209" s="121">
        <f>'Key Inputs_New Techs'!AG144</f>
        <v>1228.2787068995694</v>
      </c>
      <c r="AN209" s="121">
        <f>'Key Inputs_New Techs'!AH144</f>
        <v>1241.7936467706602</v>
      </c>
      <c r="AO209" s="121">
        <f>'Key Inputs_New Techs'!AI144</f>
        <v>1147.222405649296</v>
      </c>
      <c r="AP209" s="121">
        <f>'Key Inputs_New Techs'!AJ144</f>
        <v>1294.8234154732249</v>
      </c>
      <c r="AQ209" s="121">
        <f>'Key Inputs_New Techs'!AK144</f>
        <v>1374.1491389674229</v>
      </c>
      <c r="AR209" s="121">
        <f>'Key Inputs_New Techs'!AL144</f>
        <v>1488.122315374047</v>
      </c>
    </row>
    <row r="210" spans="1:44" x14ac:dyDescent="0.25">
      <c r="K210" s="201" t="str">
        <f>IF('Key Inputs_New Techs'!B145="","",'Key Inputs_New Techs'!B145)</f>
        <v/>
      </c>
      <c r="L210" s="109" t="str">
        <f>IFERROR(VLOOKUP(K$209,'Commodities &amp; Processes'!L:M,2,FALSE),"")</f>
        <v>RSD Thermal uses technology: Electricity Heat Pump Wat. (Imp.) -New</v>
      </c>
      <c r="N210" s="109">
        <f>'Key Inputs_New Techs'!H145</f>
        <v>2050</v>
      </c>
      <c r="O210" s="206" t="s">
        <v>312</v>
      </c>
      <c r="P210" s="114" t="str">
        <f>'Key Inputs_New Techs'!J145</f>
        <v>USD/kW</v>
      </c>
      <c r="Q210" s="121">
        <f>'Key Inputs_New Techs'!K145</f>
        <v>992.37809340035381</v>
      </c>
      <c r="R210" s="121">
        <f>'Key Inputs_New Techs'!L145</f>
        <v>1036.3794856281497</v>
      </c>
      <c r="S210" s="121">
        <f>'Key Inputs_New Techs'!M145</f>
        <v>997.48171637156327</v>
      </c>
      <c r="T210" s="121">
        <f>'Key Inputs_New Techs'!N145</f>
        <v>997.54787225913151</v>
      </c>
      <c r="U210" s="121">
        <f>'Key Inputs_New Techs'!O145</f>
        <v>1224.228802439656</v>
      </c>
      <c r="V210" s="121">
        <f>'Key Inputs_New Techs'!P145</f>
        <v>1016.7722628793734</v>
      </c>
      <c r="W210" s="121">
        <f>'Key Inputs_New Techs'!Q145</f>
        <v>1044.3761670981366</v>
      </c>
      <c r="X210" s="121">
        <f>'Key Inputs_New Techs'!R145</f>
        <v>1008.6846455024283</v>
      </c>
      <c r="Y210" s="121">
        <f>'Key Inputs_New Techs'!S145</f>
        <v>1054.2466719373369</v>
      </c>
      <c r="Z210" s="121">
        <f>'Key Inputs_New Techs'!T145</f>
        <v>1229.633991308287</v>
      </c>
      <c r="AA210" s="121">
        <f>'Key Inputs_New Techs'!U145</f>
        <v>1039.2704658110586</v>
      </c>
      <c r="AB210" s="121">
        <f>'Key Inputs_New Techs'!V145</f>
        <v>1056.638050163896</v>
      </c>
      <c r="AC210" s="121">
        <f>'Key Inputs_New Techs'!W145</f>
        <v>1048.431467163233</v>
      </c>
      <c r="AD210" s="121">
        <f>'Key Inputs_New Techs'!X145</f>
        <v>1331.6720876360596</v>
      </c>
      <c r="AE210" s="121">
        <f>'Key Inputs_New Techs'!Y145</f>
        <v>1139.236757732557</v>
      </c>
      <c r="AF210" s="121">
        <f>'Key Inputs_New Techs'!Z145</f>
        <v>1223.6641030941601</v>
      </c>
      <c r="AG210" s="121">
        <f>'Key Inputs_New Techs'!AA145</f>
        <v>1223.6641030941601</v>
      </c>
      <c r="AH210" s="121">
        <f>'Key Inputs_New Techs'!AB145</f>
        <v>1037.320359510624</v>
      </c>
      <c r="AI210" s="121">
        <f>'Key Inputs_New Techs'!AC145</f>
        <v>1012.377974012284</v>
      </c>
      <c r="AJ210" s="121">
        <f>'Key Inputs_New Techs'!AD145</f>
        <v>1190.1361394248947</v>
      </c>
      <c r="AK210" s="121">
        <f>'Key Inputs_New Techs'!AE145</f>
        <v>1039.2704658110586</v>
      </c>
      <c r="AL210" s="121">
        <f>'Key Inputs_New Techs'!AF145</f>
        <v>1119.1494496584226</v>
      </c>
      <c r="AM210" s="121">
        <f>'Key Inputs_New Techs'!AG145</f>
        <v>1067.9581803036751</v>
      </c>
      <c r="AN210" s="121">
        <f>'Key Inputs_New Techs'!AH145</f>
        <v>1079.7090887176755</v>
      </c>
      <c r="AO210" s="121">
        <f>'Key Inputs_New Techs'!AI145</f>
        <v>997.48171637156327</v>
      </c>
      <c r="AP210" s="121">
        <f>'Key Inputs_New Techs'!AJ145</f>
        <v>1125.8171706761023</v>
      </c>
      <c r="AQ210" s="121">
        <f>'Key Inputs_New Techs'!AK145</f>
        <v>1194.7889397365448</v>
      </c>
      <c r="AR210" s="121">
        <f>'Key Inputs_New Techs'!AL145</f>
        <v>1293.8858184782525</v>
      </c>
    </row>
    <row r="211" spans="1:44" x14ac:dyDescent="0.25">
      <c r="K211" s="201" t="str">
        <f>IF('Key Inputs_New Techs'!B146="","",'Key Inputs_New Techs'!B146)</f>
        <v>R-THL-HPA_ELC06</v>
      </c>
      <c r="L211" s="109" t="str">
        <f>IFERROR(VLOOKUP(K$211,'Commodities &amp; Processes'!L:M,2,FALSE),"")</f>
        <v>RSD Thermal uses technology: Electricity Heat Pump Wat. (Adv.) -New</v>
      </c>
      <c r="N211" s="109">
        <f>'Key Inputs_New Techs'!H146</f>
        <v>2020</v>
      </c>
      <c r="O211" s="206" t="s">
        <v>312</v>
      </c>
      <c r="P211" s="114" t="str">
        <f>'Key Inputs_New Techs'!J146</f>
        <v>USD/kW</v>
      </c>
      <c r="Q211" s="121">
        <f>'Key Inputs_New Techs'!K146</f>
        <v>1476.2405316611644</v>
      </c>
      <c r="R211" s="121">
        <f>'Key Inputs_New Techs'!L146</f>
        <v>1541.6960662887184</v>
      </c>
      <c r="S211" s="121">
        <f>'Key Inputs_New Techs'!M146</f>
        <v>1483.832572576337</v>
      </c>
      <c r="T211" s="121">
        <f>'Key Inputs_New Techs'!N146</f>
        <v>1483.9309846667345</v>
      </c>
      <c r="U211" s="121">
        <f>'Key Inputs_New Techs'!O146</f>
        <v>1821.136712113343</v>
      </c>
      <c r="V211" s="121">
        <f>'Key Inputs_New Techs'!P146</f>
        <v>1512.5287790142954</v>
      </c>
      <c r="W211" s="121">
        <f>'Key Inputs_New Techs'!Q146</f>
        <v>1553.5917594557541</v>
      </c>
      <c r="X211" s="121">
        <f>'Key Inputs_New Techs'!R146</f>
        <v>1500.4978115273932</v>
      </c>
      <c r="Y211" s="121">
        <f>'Key Inputs_New Techs'!S146</f>
        <v>1568.2749123875737</v>
      </c>
      <c r="Z211" s="121">
        <f>'Key Inputs_New Techs'!T146</f>
        <v>1829.1773560395061</v>
      </c>
      <c r="AA211" s="121">
        <f>'Key Inputs_New Techs'!U146</f>
        <v>1545.996626882127</v>
      </c>
      <c r="AB211" s="121">
        <f>'Key Inputs_New Techs'!V146</f>
        <v>1571.8322757433912</v>
      </c>
      <c r="AC211" s="121">
        <f>'Key Inputs_New Techs'!W146</f>
        <v>1559.6243375265078</v>
      </c>
      <c r="AD211" s="121">
        <f>'Key Inputs_New Techs'!X146</f>
        <v>1980.9670565320528</v>
      </c>
      <c r="AE211" s="121">
        <f>'Key Inputs_New Techs'!Y146</f>
        <v>1694.7043552326479</v>
      </c>
      <c r="AF211" s="121">
        <f>'Key Inputs_New Techs'!Z146</f>
        <v>1820.2966773850801</v>
      </c>
      <c r="AG211" s="121">
        <f>'Key Inputs_New Techs'!AA146</f>
        <v>1820.2966773850801</v>
      </c>
      <c r="AH211" s="121">
        <f>'Key Inputs_New Techs'!AB146</f>
        <v>1543.0956902523337</v>
      </c>
      <c r="AI211" s="121">
        <f>'Key Inputs_New Techs'!AC146</f>
        <v>1505.9919284161556</v>
      </c>
      <c r="AJ211" s="121">
        <f>'Key Inputs_New Techs'!AD146</f>
        <v>1770.4211921826222</v>
      </c>
      <c r="AK211" s="121">
        <f>'Key Inputs_New Techs'!AE146</f>
        <v>1545.996626882127</v>
      </c>
      <c r="AL211" s="121">
        <f>'Key Inputs_New Techs'!AF146</f>
        <v>1664.8229032455388</v>
      </c>
      <c r="AM211" s="121">
        <f>'Key Inputs_New Techs'!AG146</f>
        <v>1588.6718604210021</v>
      </c>
      <c r="AN211" s="121">
        <f>'Key Inputs_New Techs'!AH146</f>
        <v>1606.1522616913951</v>
      </c>
      <c r="AO211" s="121">
        <f>'Key Inputs_New Techs'!AI146</f>
        <v>1483.832572576337</v>
      </c>
      <c r="AP211" s="121">
        <f>'Key Inputs_New Techs'!AJ146</f>
        <v>1674.7416631270476</v>
      </c>
      <c r="AQ211" s="121">
        <f>'Key Inputs_New Techs'!AK146</f>
        <v>1777.3425989039742</v>
      </c>
      <c r="AR211" s="121">
        <f>'Key Inputs_New Techs'!AL146</f>
        <v>1924.7570067113447</v>
      </c>
    </row>
    <row r="212" spans="1:44" x14ac:dyDescent="0.25">
      <c r="K212" s="201" t="str">
        <f>IF('Key Inputs_New Techs'!B147="","",'Key Inputs_New Techs'!B147)</f>
        <v/>
      </c>
      <c r="L212" s="109" t="str">
        <f>IFERROR(VLOOKUP(K$211,'Commodities &amp; Processes'!L:M,2,FALSE),"")</f>
        <v>RSD Thermal uses technology: Electricity Heat Pump Wat. (Adv.) -New</v>
      </c>
      <c r="N212" s="109">
        <f>'Key Inputs_New Techs'!H147</f>
        <v>2020</v>
      </c>
      <c r="O212" s="206" t="s">
        <v>312</v>
      </c>
      <c r="P212" s="114" t="str">
        <f>'Key Inputs_New Techs'!J147</f>
        <v>USD/kW</v>
      </c>
      <c r="Q212" s="121">
        <f>'Key Inputs_New Techs'!K147</f>
        <v>1330.8000813253566</v>
      </c>
      <c r="R212" s="121">
        <f>'Key Inputs_New Techs'!L147</f>
        <v>1389.8068820040533</v>
      </c>
      <c r="S212" s="121">
        <f>'Key Inputs_New Techs'!M147</f>
        <v>1337.6441480276628</v>
      </c>
      <c r="T212" s="121">
        <f>'Key Inputs_New Techs'!N147</f>
        <v>1337.7328644767072</v>
      </c>
      <c r="U212" s="121">
        <f>'Key Inputs_New Techs'!O147</f>
        <v>1641.7168019752633</v>
      </c>
      <c r="V212" s="121">
        <f>'Key Inputs_New Techs'!P147</f>
        <v>1363.5131802363853</v>
      </c>
      <c r="W212" s="121">
        <f>'Key Inputs_New Techs'!Q147</f>
        <v>1400.5306015433744</v>
      </c>
      <c r="X212" s="121">
        <f>'Key Inputs_New Techs'!R147</f>
        <v>1352.6675137161906</v>
      </c>
      <c r="Y212" s="121">
        <f>'Key Inputs_New Techs'!S147</f>
        <v>1413.767157982988</v>
      </c>
      <c r="Z212" s="121">
        <f>'Key Inputs_New Techs'!T147</f>
        <v>1648.9652749451832</v>
      </c>
      <c r="AA212" s="121">
        <f>'Key Inputs_New Techs'!U147</f>
        <v>1393.6837477753868</v>
      </c>
      <c r="AB212" s="121">
        <f>'Key Inputs_New Techs'!V147</f>
        <v>1416.9740469293972</v>
      </c>
      <c r="AC212" s="121">
        <f>'Key Inputs_New Techs'!W147</f>
        <v>1405.9688449833691</v>
      </c>
      <c r="AD212" s="121">
        <f>'Key Inputs_New Techs'!X147</f>
        <v>1785.8005273498347</v>
      </c>
      <c r="AE212" s="121">
        <f>'Key Inputs_New Techs'!Y147</f>
        <v>1527.740666507927</v>
      </c>
      <c r="AF212" s="121">
        <f>'Key Inputs_New Techs'!Z147</f>
        <v>1640.9595281701399</v>
      </c>
      <c r="AG212" s="121">
        <f>'Key Inputs_New Techs'!AA147</f>
        <v>1640.9595281701399</v>
      </c>
      <c r="AH212" s="121">
        <f>'Key Inputs_New Techs'!AB147</f>
        <v>1391.0686138456172</v>
      </c>
      <c r="AI212" s="121">
        <f>'Key Inputs_New Techs'!AC147</f>
        <v>1357.6203456196395</v>
      </c>
      <c r="AJ212" s="121">
        <f>'Key Inputs_New Techs'!AD147</f>
        <v>1595.9978174326061</v>
      </c>
      <c r="AK212" s="121">
        <f>'Key Inputs_New Techs'!AE147</f>
        <v>1393.6837477753868</v>
      </c>
      <c r="AL212" s="121">
        <f>'Key Inputs_New Techs'!AF147</f>
        <v>1500.8031601316341</v>
      </c>
      <c r="AM212" s="121">
        <f>'Key Inputs_New Techs'!AG147</f>
        <v>1432.1545816578623</v>
      </c>
      <c r="AN212" s="121">
        <f>'Key Inputs_New Techs'!AH147</f>
        <v>1447.9127991930911</v>
      </c>
      <c r="AO212" s="121">
        <f>'Key Inputs_New Techs'!AI147</f>
        <v>1337.6441480276628</v>
      </c>
      <c r="AP212" s="121">
        <f>'Key Inputs_New Techs'!AJ147</f>
        <v>1509.7447155041216</v>
      </c>
      <c r="AQ212" s="121">
        <f>'Key Inputs_New Techs'!AK147</f>
        <v>1602.2373213820717</v>
      </c>
      <c r="AR212" s="121">
        <f>'Key Inputs_New Techs'!AL147</f>
        <v>1735.1283385917295</v>
      </c>
    </row>
    <row r="213" spans="1:44" x14ac:dyDescent="0.25">
      <c r="K213" s="201" t="str">
        <f>IF('Key Inputs_New Techs'!B148="","",'Key Inputs_New Techs'!B148)</f>
        <v>R-THL-RST_ELC07</v>
      </c>
      <c r="L213" s="109" t="str">
        <f>IFERROR(VLOOKUP(K$213,'Commodities &amp; Processes'!L:M,2,FALSE),"")</f>
        <v>RSD Thermal uses technology: Electricity Electr. Resist. (Ord.) -New</v>
      </c>
      <c r="N213" s="109">
        <f>'Key Inputs_New Techs'!H148</f>
        <v>2020</v>
      </c>
      <c r="O213" s="206" t="s">
        <v>312</v>
      </c>
      <c r="P213" s="114" t="str">
        <f>'Key Inputs_New Techs'!J148</f>
        <v>USD/kW</v>
      </c>
      <c r="Q213" s="121">
        <f>'Key Inputs_New Techs'!K148</f>
        <v>62.042476239679928</v>
      </c>
      <c r="R213" s="121">
        <f>'Key Inputs_New Techs'!L148</f>
        <v>64.793398846659045</v>
      </c>
      <c r="S213" s="121">
        <f>'Key Inputs_New Techs'!M148</f>
        <v>62.361549593911867</v>
      </c>
      <c r="T213" s="121">
        <f>'Key Inputs_New Techs'!N148</f>
        <v>62.365685593194662</v>
      </c>
      <c r="U213" s="121">
        <f>'Key Inputs_New Techs'!O148</f>
        <v>76.537548432814987</v>
      </c>
      <c r="V213" s="121">
        <f>'Key Inputs_New Techs'!P148</f>
        <v>63.567575080891672</v>
      </c>
      <c r="W213" s="121">
        <f>'Key Inputs_New Techs'!Q148</f>
        <v>65.293343296659913</v>
      </c>
      <c r="X213" s="121">
        <f>'Key Inputs_New Techs'!R148</f>
        <v>63.061945409820019</v>
      </c>
      <c r="Y213" s="121">
        <f>'Key Inputs_New Techs'!S148</f>
        <v>65.91043729141083</v>
      </c>
      <c r="Z213" s="121">
        <f>'Key Inputs_New Techs'!T148</f>
        <v>76.87547538241536</v>
      </c>
      <c r="AA213" s="121">
        <f>'Key Inputs_New Techs'!U148</f>
        <v>64.974140008218683</v>
      </c>
      <c r="AB213" s="121">
        <f>'Key Inputs_New Techs'!V148</f>
        <v>66.059943843185877</v>
      </c>
      <c r="AC213" s="121">
        <f>'Key Inputs_New Techs'!W148</f>
        <v>65.546876561457623</v>
      </c>
      <c r="AD213" s="121">
        <f>'Key Inputs_New Techs'!X148</f>
        <v>83.254794120967986</v>
      </c>
      <c r="AE213" s="121">
        <f>'Key Inputs_New Techs'!Y148</f>
        <v>71.223931627516677</v>
      </c>
      <c r="AF213" s="121">
        <f>'Key Inputs_New Techs'!Z148</f>
        <v>76.502244000000019</v>
      </c>
      <c r="AG213" s="121">
        <f>'Key Inputs_New Techs'!AA148</f>
        <v>76.502244000000019</v>
      </c>
      <c r="AH213" s="121">
        <f>'Key Inputs_New Techs'!AB148</f>
        <v>64.852221331643506</v>
      </c>
      <c r="AI213" s="121">
        <f>'Key Inputs_New Techs'!AC148</f>
        <v>63.292848578523483</v>
      </c>
      <c r="AJ213" s="121">
        <f>'Key Inputs_New Techs'!AD148</f>
        <v>74.406109569837767</v>
      </c>
      <c r="AK213" s="121">
        <f>'Key Inputs_New Techs'!AE148</f>
        <v>64.974140008218683</v>
      </c>
      <c r="AL213" s="121">
        <f>'Key Inputs_New Techs'!AF148</f>
        <v>69.96809341202534</v>
      </c>
      <c r="AM213" s="121">
        <f>'Key Inputs_New Techs'!AG148</f>
        <v>66.767666947815101</v>
      </c>
      <c r="AN213" s="121">
        <f>'Key Inputs_New Techs'!AH148</f>
        <v>67.502321875124309</v>
      </c>
      <c r="AO213" s="121">
        <f>'Key Inputs_New Techs'!AI148</f>
        <v>62.361549593911867</v>
      </c>
      <c r="AP213" s="121">
        <f>'Key Inputs_New Techs'!AJ148</f>
        <v>70.384952596607633</v>
      </c>
      <c r="AQ213" s="121">
        <f>'Key Inputs_New Techs'!AK148</f>
        <v>74.69699794666036</v>
      </c>
      <c r="AR213" s="121">
        <f>'Key Inputs_New Techs'!AL148</f>
        <v>80.892434731940625</v>
      </c>
    </row>
    <row r="214" spans="1:44" x14ac:dyDescent="0.25">
      <c r="A214" s="267"/>
      <c r="B214" s="267"/>
      <c r="C214" s="267"/>
      <c r="D214" s="267"/>
      <c r="E214" s="267"/>
      <c r="F214" s="267"/>
      <c r="K214" s="201" t="str">
        <f>IF('Key Inputs_New Techs'!B149="","",'Key Inputs_New Techs'!B149)</f>
        <v/>
      </c>
      <c r="L214" s="109" t="str">
        <f>IFERROR(VLOOKUP(K$213,'Commodities &amp; Processes'!L:M,2,FALSE),"")</f>
        <v>RSD Thermal uses technology: Electricity Electr. Resist. (Ord.) -New</v>
      </c>
      <c r="N214" s="109">
        <f>'Key Inputs_New Techs'!H149</f>
        <v>2030</v>
      </c>
      <c r="O214" s="206" t="s">
        <v>312</v>
      </c>
      <c r="P214" s="114" t="str">
        <f>'Key Inputs_New Techs'!J149</f>
        <v>USD/kW</v>
      </c>
      <c r="Q214" s="121">
        <f>'Key Inputs_New Techs'!K149</f>
        <v>78.18121647998349</v>
      </c>
      <c r="R214" s="121">
        <f>'Key Inputs_New Techs'!L149</f>
        <v>81.64772021889074</v>
      </c>
      <c r="S214" s="121">
        <f>'Key Inputs_New Techs'!M149</f>
        <v>78.583288487616343</v>
      </c>
      <c r="T214" s="121">
        <f>'Key Inputs_New Techs'!N149</f>
        <v>78.588500359786636</v>
      </c>
      <c r="U214" s="121">
        <f>'Key Inputs_New Techs'!O149</f>
        <v>96.446805568442585</v>
      </c>
      <c r="V214" s="121">
        <f>'Key Inputs_New Techs'!P149</f>
        <v>80.103030209621352</v>
      </c>
      <c r="W214" s="121">
        <f>'Key Inputs_New Techs'!Q149</f>
        <v>82.277712244394166</v>
      </c>
      <c r="X214" s="121">
        <f>'Key Inputs_New Techs'!R149</f>
        <v>79.465874100312575</v>
      </c>
      <c r="Y214" s="121">
        <f>'Key Inputs_New Techs'!S149</f>
        <v>83.055327228775852</v>
      </c>
      <c r="Z214" s="121">
        <f>'Key Inputs_New Techs'!T149</f>
        <v>96.872635445043016</v>
      </c>
      <c r="AA214" s="121">
        <f>'Key Inputs_New Techs'!U149</f>
        <v>81.875476503539161</v>
      </c>
      <c r="AB214" s="121">
        <f>'Key Inputs_New Techs'!V149</f>
        <v>83.243724030417766</v>
      </c>
      <c r="AC214" s="121">
        <f>'Key Inputs_New Techs'!W149</f>
        <v>82.597195609040241</v>
      </c>
      <c r="AD214" s="121">
        <f>'Key Inputs_New Techs'!X149</f>
        <v>104.9113684151275</v>
      </c>
      <c r="AE214" s="121">
        <f>'Key Inputs_New Techs'!Y149</f>
        <v>89.75098923542177</v>
      </c>
      <c r="AF214" s="121">
        <f>'Key Inputs_New Techs'!Z149</f>
        <v>96.402317603553072</v>
      </c>
      <c r="AG214" s="121">
        <f>'Key Inputs_New Techs'!AA149</f>
        <v>96.402317603553072</v>
      </c>
      <c r="AH214" s="121">
        <f>'Key Inputs_New Techs'!AB149</f>
        <v>81.721843846946697</v>
      </c>
      <c r="AI214" s="121">
        <f>'Key Inputs_New Techs'!AC149</f>
        <v>79.756840736598676</v>
      </c>
      <c r="AJ214" s="121">
        <f>'Key Inputs_New Techs'!AD149</f>
        <v>93.760928194423528</v>
      </c>
      <c r="AK214" s="121">
        <f>'Key Inputs_New Techs'!AE149</f>
        <v>81.875476503539161</v>
      </c>
      <c r="AL214" s="121">
        <f>'Key Inputs_New Techs'!AF149</f>
        <v>88.168477296184065</v>
      </c>
      <c r="AM214" s="121">
        <f>'Key Inputs_New Techs'!AG149</f>
        <v>84.135542935858496</v>
      </c>
      <c r="AN214" s="121">
        <f>'Key Inputs_New Techs'!AH149</f>
        <v>85.061299278789775</v>
      </c>
      <c r="AO214" s="121">
        <f>'Key Inputs_New Techs'!AI149</f>
        <v>78.583288487616343</v>
      </c>
      <c r="AP214" s="121">
        <f>'Key Inputs_New Techs'!AJ149</f>
        <v>88.693771580467555</v>
      </c>
      <c r="AQ214" s="121">
        <f>'Key Inputs_New Techs'!AK149</f>
        <v>94.127483634151986</v>
      </c>
      <c r="AR214" s="121">
        <f>'Key Inputs_New Techs'!AL149</f>
        <v>101.93450253241232</v>
      </c>
    </row>
    <row r="215" spans="1:44" x14ac:dyDescent="0.25">
      <c r="K215" s="201" t="str">
        <f>IF('Key Inputs_New Techs'!B150="","",'Key Inputs_New Techs'!B150)</f>
        <v/>
      </c>
      <c r="L215" s="109" t="str">
        <f>IFERROR(VLOOKUP(K$213,'Commodities &amp; Processes'!L:M,2,FALSE),"")</f>
        <v>RSD Thermal uses technology: Electricity Electr. Resist. (Ord.) -New</v>
      </c>
      <c r="N215" s="109">
        <f>'Key Inputs_New Techs'!H150</f>
        <v>2050</v>
      </c>
      <c r="O215" s="206" t="s">
        <v>312</v>
      </c>
      <c r="P215" s="114" t="str">
        <f>'Key Inputs_New Techs'!J150</f>
        <v>USD/kW</v>
      </c>
      <c r="Q215" s="121">
        <f>'Key Inputs_New Techs'!K150</f>
        <v>71.348847675631916</v>
      </c>
      <c r="R215" s="121">
        <f>'Key Inputs_New Techs'!L150</f>
        <v>74.512408673657887</v>
      </c>
      <c r="S215" s="121">
        <f>'Key Inputs_New Techs'!M150</f>
        <v>71.715782032998646</v>
      </c>
      <c r="T215" s="121">
        <f>'Key Inputs_New Techs'!N150</f>
        <v>71.720538432173853</v>
      </c>
      <c r="U215" s="121">
        <f>'Key Inputs_New Techs'!O150</f>
        <v>88.018180697737222</v>
      </c>
      <c r="V215" s="121">
        <f>'Key Inputs_New Techs'!P150</f>
        <v>73.102711343025419</v>
      </c>
      <c r="W215" s="121">
        <f>'Key Inputs_New Techs'!Q150</f>
        <v>75.087344791158898</v>
      </c>
      <c r="X215" s="121">
        <f>'Key Inputs_New Techs'!R150</f>
        <v>72.521237221293006</v>
      </c>
      <c r="Y215" s="121">
        <f>'Key Inputs_New Techs'!S150</f>
        <v>75.797002885122453</v>
      </c>
      <c r="Z215" s="121">
        <f>'Key Inputs_New Techs'!T150</f>
        <v>88.406796689777664</v>
      </c>
      <c r="AA215" s="121">
        <f>'Key Inputs_New Techs'!U150</f>
        <v>74.720261009451463</v>
      </c>
      <c r="AB215" s="121">
        <f>'Key Inputs_New Techs'!V150</f>
        <v>75.968935419663751</v>
      </c>
      <c r="AC215" s="121">
        <f>'Key Inputs_New Techs'!W150</f>
        <v>75.378908045676255</v>
      </c>
      <c r="AD215" s="121">
        <f>'Key Inputs_New Techs'!X150</f>
        <v>95.743013239113168</v>
      </c>
      <c r="AE215" s="121">
        <f>'Key Inputs_New Techs'!Y150</f>
        <v>81.907521371644179</v>
      </c>
      <c r="AF215" s="121">
        <f>'Key Inputs_New Techs'!Z150</f>
        <v>87.97758060000001</v>
      </c>
      <c r="AG215" s="121">
        <f>'Key Inputs_New Techs'!AA150</f>
        <v>87.97758060000001</v>
      </c>
      <c r="AH215" s="121">
        <f>'Key Inputs_New Techs'!AB150</f>
        <v>74.580054531390019</v>
      </c>
      <c r="AI215" s="121">
        <f>'Key Inputs_New Techs'!AC150</f>
        <v>72.786775865302005</v>
      </c>
      <c r="AJ215" s="121">
        <f>'Key Inputs_New Techs'!AD150</f>
        <v>85.567026005313423</v>
      </c>
      <c r="AK215" s="121">
        <f>'Key Inputs_New Techs'!AE150</f>
        <v>74.720261009451463</v>
      </c>
      <c r="AL215" s="121">
        <f>'Key Inputs_New Techs'!AF150</f>
        <v>80.463307423829121</v>
      </c>
      <c r="AM215" s="121">
        <f>'Key Inputs_New Techs'!AG150</f>
        <v>76.782816989987367</v>
      </c>
      <c r="AN215" s="121">
        <f>'Key Inputs_New Techs'!AH150</f>
        <v>77.627670156392938</v>
      </c>
      <c r="AO215" s="121">
        <f>'Key Inputs_New Techs'!AI150</f>
        <v>71.715782032998646</v>
      </c>
      <c r="AP215" s="121">
        <f>'Key Inputs_New Techs'!AJ150</f>
        <v>80.942695486098756</v>
      </c>
      <c r="AQ215" s="121">
        <f>'Key Inputs_New Techs'!AK150</f>
        <v>85.901547638659409</v>
      </c>
      <c r="AR215" s="121">
        <f>'Key Inputs_New Techs'!AL150</f>
        <v>93.026299941731708</v>
      </c>
    </row>
    <row r="216" spans="1:44" x14ac:dyDescent="0.25">
      <c r="K216" s="201" t="str">
        <f>IF('Key Inputs_New Techs'!B151="","",'Key Inputs_New Techs'!B151)</f>
        <v>R-THL-BLR_GAS01</v>
      </c>
      <c r="L216" s="109" t="str">
        <f>IFERROR(VLOOKUP(K216,'Commodities &amp; Processes'!L:M,2,FALSE),"")</f>
        <v>RSD Thermal uses technology: Natural gas,Biogas Boiler (Ord.) -New</v>
      </c>
      <c r="N216" s="109">
        <f>'Key Inputs_New Techs'!H151</f>
        <v>2020</v>
      </c>
      <c r="O216" s="206" t="s">
        <v>312</v>
      </c>
      <c r="P216" s="114" t="str">
        <f>'Key Inputs_New Techs'!J151</f>
        <v>USD/kW</v>
      </c>
      <c r="Q216" s="121">
        <f>'Key Inputs_New Techs'!K151</f>
        <v>162.34447949382914</v>
      </c>
      <c r="R216" s="121">
        <f>'Key Inputs_New Techs'!L151</f>
        <v>169.54272698209115</v>
      </c>
      <c r="S216" s="121">
        <f>'Key Inputs_New Techs'!M151</f>
        <v>163.17938810406937</v>
      </c>
      <c r="T216" s="121">
        <f>'Key Inputs_New Techs'!N151</f>
        <v>163.19021063552603</v>
      </c>
      <c r="U216" s="121">
        <f>'Key Inputs_New Techs'!O151</f>
        <v>200.27325173253251</v>
      </c>
      <c r="V216" s="121">
        <f>'Key Inputs_New Techs'!P151</f>
        <v>166.33515479499988</v>
      </c>
      <c r="W216" s="121">
        <f>'Key Inputs_New Techs'!Q151</f>
        <v>170.85091495959344</v>
      </c>
      <c r="X216" s="121">
        <f>'Key Inputs_New Techs'!R151</f>
        <v>165.01209048902902</v>
      </c>
      <c r="Y216" s="121">
        <f>'Key Inputs_New Techs'!S151</f>
        <v>172.46564424585833</v>
      </c>
      <c r="Z216" s="121">
        <f>'Key Inputs_New Techs'!T151</f>
        <v>201.15749391732018</v>
      </c>
      <c r="AA216" s="121">
        <f>'Key Inputs_New Techs'!U151</f>
        <v>170.01566635483886</v>
      </c>
      <c r="AB216" s="121">
        <f>'Key Inputs_New Techs'!V151</f>
        <v>172.85685305633635</v>
      </c>
      <c r="AC216" s="121">
        <f>'Key Inputs_New Techs'!W151</f>
        <v>171.51432700248077</v>
      </c>
      <c r="AD216" s="121">
        <f>'Key Inputs_New Techs'!X151</f>
        <v>217.85004461653287</v>
      </c>
      <c r="AE216" s="121">
        <f>'Key Inputs_New Techs'!Y151</f>
        <v>186.36928775866863</v>
      </c>
      <c r="AF216" s="121">
        <f>'Key Inputs_New Techs'!Z151</f>
        <v>200.18087180000003</v>
      </c>
      <c r="AG216" s="121">
        <f>'Key Inputs_New Techs'!AA151</f>
        <v>200.18087180000003</v>
      </c>
      <c r="AH216" s="121">
        <f>'Key Inputs_New Techs'!AB151</f>
        <v>169.69664581780049</v>
      </c>
      <c r="AI216" s="121">
        <f>'Key Inputs_New Techs'!AC151</f>
        <v>165.61628711380311</v>
      </c>
      <c r="AJ216" s="121">
        <f>'Key Inputs_New Techs'!AD151</f>
        <v>194.69598670774215</v>
      </c>
      <c r="AK216" s="121">
        <f>'Key Inputs_New Techs'!AE151</f>
        <v>170.01566635483886</v>
      </c>
      <c r="AL216" s="121">
        <f>'Key Inputs_New Techs'!AF151</f>
        <v>183.08317776146629</v>
      </c>
      <c r="AM216" s="121">
        <f>'Key Inputs_New Techs'!AG151</f>
        <v>174.70872851344953</v>
      </c>
      <c r="AN216" s="121">
        <f>'Key Inputs_New Techs'!AH151</f>
        <v>176.63107557324193</v>
      </c>
      <c r="AO216" s="121">
        <f>'Key Inputs_New Techs'!AI151</f>
        <v>163.17938810406937</v>
      </c>
      <c r="AP216" s="121">
        <f>'Key Inputs_New Techs'!AJ151</f>
        <v>184.17395929445661</v>
      </c>
      <c r="AQ216" s="121">
        <f>'Key Inputs_New Techs'!AK151</f>
        <v>195.45714462709461</v>
      </c>
      <c r="AR216" s="121">
        <f>'Key Inputs_New Techs'!AL151</f>
        <v>211.66853754857794</v>
      </c>
    </row>
    <row r="217" spans="1:44" x14ac:dyDescent="0.25">
      <c r="K217" s="201" t="str">
        <f>IF('Key Inputs_New Techs'!B152="","",'Key Inputs_New Techs'!B152)</f>
        <v>R-THL-BLR_GAS02</v>
      </c>
      <c r="L217" s="109" t="str">
        <f>IFERROR(VLOOKUP(K217,'Commodities &amp; Processes'!L:M,2,FALSE),"")</f>
        <v>RSD Thermal uses technology: Natural gas,Biogas Boiler cond. (Ord.) -New</v>
      </c>
      <c r="N217" s="109">
        <f>'Key Inputs_New Techs'!H152</f>
        <v>2020</v>
      </c>
      <c r="O217" s="206" t="s">
        <v>312</v>
      </c>
      <c r="P217" s="114" t="str">
        <f>'Key Inputs_New Techs'!J152</f>
        <v>USD/kW</v>
      </c>
      <c r="Q217" s="121">
        <f>'Key Inputs_New Techs'!K152</f>
        <v>183.02530490705578</v>
      </c>
      <c r="R217" s="121">
        <f>'Key Inputs_New Techs'!L152</f>
        <v>191.14052659764417</v>
      </c>
      <c r="S217" s="121">
        <f>'Key Inputs_New Techs'!M152</f>
        <v>183.96657130203999</v>
      </c>
      <c r="T217" s="121">
        <f>'Key Inputs_New Techs'!N152</f>
        <v>183.97877249992425</v>
      </c>
      <c r="U217" s="121">
        <f>'Key Inputs_New Techs'!O152</f>
        <v>225.78576787680419</v>
      </c>
      <c r="V217" s="121">
        <f>'Key Inputs_New Techs'!P152</f>
        <v>187.52434648863044</v>
      </c>
      <c r="W217" s="121">
        <f>'Key Inputs_New Techs'!Q152</f>
        <v>192.61536272514675</v>
      </c>
      <c r="X217" s="121">
        <f>'Key Inputs_New Techs'!R152</f>
        <v>186.03273895896905</v>
      </c>
      <c r="Y217" s="121">
        <f>'Key Inputs_New Techs'!S152</f>
        <v>194.43579000966196</v>
      </c>
      <c r="Z217" s="121">
        <f>'Key Inputs_New Techs'!T152</f>
        <v>226.78265237812533</v>
      </c>
      <c r="AA217" s="121">
        <f>'Key Inputs_New Techs'!U152</f>
        <v>191.6737130242451</v>
      </c>
      <c r="AB217" s="121">
        <f>'Key Inputs_New Techs'!V152</f>
        <v>194.87683433739832</v>
      </c>
      <c r="AC217" s="121">
        <f>'Key Inputs_New Techs'!W152</f>
        <v>193.36328585629997</v>
      </c>
      <c r="AD217" s="121">
        <f>'Key Inputs_New Techs'!X152</f>
        <v>245.60164265685555</v>
      </c>
      <c r="AE217" s="121">
        <f>'Key Inputs_New Techs'!Y152</f>
        <v>210.11059830117421</v>
      </c>
      <c r="AF217" s="121">
        <f>'Key Inputs_New Techs'!Z152</f>
        <v>225.68161980000005</v>
      </c>
      <c r="AG217" s="121">
        <f>'Key Inputs_New Techs'!AA152</f>
        <v>225.68161980000005</v>
      </c>
      <c r="AH217" s="121">
        <f>'Key Inputs_New Techs'!AB152</f>
        <v>191.31405292834833</v>
      </c>
      <c r="AI217" s="121">
        <f>'Key Inputs_New Techs'!AC152</f>
        <v>186.71390330664428</v>
      </c>
      <c r="AJ217" s="121">
        <f>'Key Inputs_New Techs'!AD152</f>
        <v>219.49802323102142</v>
      </c>
      <c r="AK217" s="121">
        <f>'Key Inputs_New Techs'!AE152</f>
        <v>191.6737130242451</v>
      </c>
      <c r="AL217" s="121">
        <f>'Key Inputs_New Techs'!AF152</f>
        <v>206.40587556547473</v>
      </c>
      <c r="AM217" s="121">
        <f>'Key Inputs_New Techs'!AG152</f>
        <v>196.96461749605456</v>
      </c>
      <c r="AN217" s="121">
        <f>'Key Inputs_New Techs'!AH152</f>
        <v>199.13184953161669</v>
      </c>
      <c r="AO217" s="121">
        <f>'Key Inputs_New Techs'!AI152</f>
        <v>183.96657130203999</v>
      </c>
      <c r="AP217" s="121">
        <f>'Key Inputs_New Techs'!AJ152</f>
        <v>207.6356101599925</v>
      </c>
      <c r="AQ217" s="121">
        <f>'Key Inputs_New Techs'!AK152</f>
        <v>220.35614394264806</v>
      </c>
      <c r="AR217" s="121">
        <f>'Key Inputs_New Techs'!AL152</f>
        <v>238.63268245922484</v>
      </c>
    </row>
    <row r="218" spans="1:44" x14ac:dyDescent="0.25">
      <c r="K218" s="201" t="str">
        <f>IF('Key Inputs_New Techs'!B153="","",'Key Inputs_New Techs'!B153)</f>
        <v>R-THL-BLR_GAS03</v>
      </c>
      <c r="L218" s="109" t="str">
        <f>IFERROR(VLOOKUP(K$218,'Commodities &amp; Processes'!L:M,2,FALSE),"")</f>
        <v>RSD Thermal uses technology: Natural gas,Biogas Boiler (Imp.) -New</v>
      </c>
      <c r="N218" s="109">
        <f>'Key Inputs_New Techs'!H153</f>
        <v>2030</v>
      </c>
      <c r="O218" s="206" t="s">
        <v>312</v>
      </c>
      <c r="P218" s="114" t="str">
        <f>'Key Inputs_New Techs'!J153</f>
        <v>USD/kW</v>
      </c>
      <c r="Q218" s="121">
        <f>'Key Inputs_New Techs'!K153</f>
        <v>186.39073173755986</v>
      </c>
      <c r="R218" s="121">
        <f>'Key Inputs_New Techs'!L153</f>
        <v>194.65517424123124</v>
      </c>
      <c r="S218" s="121">
        <f>'Key Inputs_New Techs'!M153</f>
        <v>187.34930592056793</v>
      </c>
      <c r="T218" s="121">
        <f>'Key Inputs_New Techs'!N153</f>
        <v>187.36173147124725</v>
      </c>
      <c r="U218" s="121">
        <f>'Key Inputs_New Techs'!O153</f>
        <v>229.93746417663792</v>
      </c>
      <c r="V218" s="121">
        <f>'Key Inputs_New Techs'!P153</f>
        <v>190.97250065160841</v>
      </c>
      <c r="W218" s="121">
        <f>'Key Inputs_New Techs'!Q153</f>
        <v>196.15712931316949</v>
      </c>
      <c r="X218" s="121">
        <f>'Key Inputs_New Techs'!R153</f>
        <v>189.45346578886074</v>
      </c>
      <c r="Y218" s="121">
        <f>'Key Inputs_New Techs'!S153</f>
        <v>198.01103019211143</v>
      </c>
      <c r="Z218" s="121">
        <f>'Key Inputs_New Techs'!T153</f>
        <v>230.95267915881448</v>
      </c>
      <c r="AA218" s="121">
        <f>'Key Inputs_New Techs'!U153</f>
        <v>195.19816477610374</v>
      </c>
      <c r="AB218" s="121">
        <f>'Key Inputs_New Techs'!V153</f>
        <v>198.46018434058956</v>
      </c>
      <c r="AC218" s="121">
        <f>'Key Inputs_New Techs'!W153</f>
        <v>196.91880508128193</v>
      </c>
      <c r="AD218" s="121">
        <f>'Key Inputs_New Techs'!X153</f>
        <v>250.11770866331844</v>
      </c>
      <c r="AE218" s="121">
        <f>'Key Inputs_New Techs'!Y153</f>
        <v>213.97406322071154</v>
      </c>
      <c r="AF218" s="121">
        <f>'Key Inputs_New Techs'!Z153</f>
        <v>229.83140104916797</v>
      </c>
      <c r="AG218" s="121">
        <f>'Key Inputs_New Techs'!AA153</f>
        <v>229.83140104916797</v>
      </c>
      <c r="AH218" s="121">
        <f>'Key Inputs_New Techs'!AB153</f>
        <v>194.83189133383277</v>
      </c>
      <c r="AI218" s="121">
        <f>'Key Inputs_New Techs'!AC153</f>
        <v>190.14715522847786</v>
      </c>
      <c r="AJ218" s="121">
        <f>'Key Inputs_New Techs'!AD153</f>
        <v>223.53410194155501</v>
      </c>
      <c r="AK218" s="121">
        <f>'Key Inputs_New Techs'!AE153</f>
        <v>195.19816477610374</v>
      </c>
      <c r="AL218" s="121">
        <f>'Key Inputs_New Techs'!AF153</f>
        <v>210.20121890313226</v>
      </c>
      <c r="AM218" s="121">
        <f>'Key Inputs_New Techs'!AG153</f>
        <v>200.58635717143886</v>
      </c>
      <c r="AN218" s="121">
        <f>'Key Inputs_New Techs'!AH153</f>
        <v>202.7934397667043</v>
      </c>
      <c r="AO218" s="121">
        <f>'Key Inputs_New Techs'!AI153</f>
        <v>187.34930592056793</v>
      </c>
      <c r="AP218" s="121">
        <f>'Key Inputs_New Techs'!AJ153</f>
        <v>211.45356557197982</v>
      </c>
      <c r="AQ218" s="121">
        <f>'Key Inputs_New Techs'!AK153</f>
        <v>224.4080015776762</v>
      </c>
      <c r="AR218" s="121">
        <f>'Key Inputs_New Techs'!AL153</f>
        <v>243.02060484291528</v>
      </c>
    </row>
    <row r="219" spans="1:44" x14ac:dyDescent="0.25">
      <c r="K219" s="201" t="str">
        <f>IF('Key Inputs_New Techs'!B154="","",'Key Inputs_New Techs'!B154)</f>
        <v/>
      </c>
      <c r="L219" s="109" t="str">
        <f>IFERROR(VLOOKUP(K$218,'Commodities &amp; Processes'!L:M,2,FALSE),"")</f>
        <v>RSD Thermal uses technology: Natural gas,Biogas Boiler (Imp.) -New</v>
      </c>
      <c r="N219" s="109">
        <f>'Key Inputs_New Techs'!H154</f>
        <v>2050</v>
      </c>
      <c r="O219" s="206" t="s">
        <v>312</v>
      </c>
      <c r="P219" s="114" t="str">
        <f>'Key Inputs_New Techs'!J154</f>
        <v>USD/kW</v>
      </c>
      <c r="Q219" s="121">
        <f>'Key Inputs_New Techs'!K154</f>
        <v>185.09531615198381</v>
      </c>
      <c r="R219" s="121">
        <f>'Key Inputs_New Techs'!L154</f>
        <v>193.30232078025469</v>
      </c>
      <c r="S219" s="121">
        <f>'Key Inputs_New Techs'!M154</f>
        <v>186.04722824441998</v>
      </c>
      <c r="T219" s="121">
        <f>'Key Inputs_New Techs'!N154</f>
        <v>186.05956743752208</v>
      </c>
      <c r="U219" s="121">
        <f>'Key Inputs_New Techs'!O154</f>
        <v>228.33939880061027</v>
      </c>
      <c r="V219" s="121">
        <f>'Key Inputs_New Techs'!P154</f>
        <v>189.64524177207974</v>
      </c>
      <c r="W219" s="121">
        <f>'Key Inputs_New Techs'!Q154</f>
        <v>194.79383726444294</v>
      </c>
      <c r="X219" s="121">
        <f>'Key Inputs_New Techs'!R154</f>
        <v>188.13676420162815</v>
      </c>
      <c r="Y219" s="121">
        <f>'Key Inputs_New Techs'!S154</f>
        <v>196.63485353227625</v>
      </c>
      <c r="Z219" s="121">
        <f>'Key Inputs_New Techs'!T154</f>
        <v>229.34755803866074</v>
      </c>
      <c r="AA219" s="121">
        <f>'Key Inputs_New Techs'!U154</f>
        <v>193.84153753090979</v>
      </c>
      <c r="AB219" s="121">
        <f>'Key Inputs_New Techs'!V154</f>
        <v>197.08088605942248</v>
      </c>
      <c r="AC219" s="121">
        <f>'Key Inputs_New Techs'!W154</f>
        <v>195.55021938596701</v>
      </c>
      <c r="AD219" s="121">
        <f>'Key Inputs_New Techs'!X154</f>
        <v>248.37939058810835</v>
      </c>
      <c r="AE219" s="121">
        <f>'Key Inputs_New Techs'!Y154</f>
        <v>212.48694348132761</v>
      </c>
      <c r="AF219" s="121">
        <f>'Key Inputs_New Techs'!Z154</f>
        <v>228.23407281187625</v>
      </c>
      <c r="AG219" s="121">
        <f>'Key Inputs_New Techs'!AA154</f>
        <v>228.23407281187625</v>
      </c>
      <c r="AH219" s="121">
        <f>'Key Inputs_New Techs'!AB154</f>
        <v>193.47780968906264</v>
      </c>
      <c r="AI219" s="121">
        <f>'Key Inputs_New Techs'!AC154</f>
        <v>188.82563249963994</v>
      </c>
      <c r="AJ219" s="121">
        <f>'Key Inputs_New Techs'!AD154</f>
        <v>221.98053993306118</v>
      </c>
      <c r="AK219" s="121">
        <f>'Key Inputs_New Techs'!AE154</f>
        <v>193.84153753090979</v>
      </c>
      <c r="AL219" s="121">
        <f>'Key Inputs_New Techs'!AF154</f>
        <v>208.74032043175549</v>
      </c>
      <c r="AM219" s="121">
        <f>'Key Inputs_New Techs'!AG154</f>
        <v>199.19228198909738</v>
      </c>
      <c r="AN219" s="121">
        <f>'Key Inputs_New Techs'!AH154</f>
        <v>201.38402536032569</v>
      </c>
      <c r="AO219" s="121">
        <f>'Key Inputs_New Techs'!AI154</f>
        <v>186.04722824441998</v>
      </c>
      <c r="AP219" s="121">
        <f>'Key Inputs_New Techs'!AJ154</f>
        <v>209.98396329125455</v>
      </c>
      <c r="AQ219" s="121">
        <f>'Key Inputs_New Techs'!AK154</f>
        <v>222.84836596671136</v>
      </c>
      <c r="AR219" s="121">
        <f>'Key Inputs_New Techs'!AL154</f>
        <v>241.33161163925701</v>
      </c>
    </row>
    <row r="220" spans="1:44" x14ac:dyDescent="0.25">
      <c r="K220" s="201" t="str">
        <f>IF('Key Inputs_New Techs'!B155="","",'Key Inputs_New Techs'!B155)</f>
        <v>R-THL-BLR_GAS04</v>
      </c>
      <c r="L220" s="109" t="str">
        <f>IFERROR(VLOOKUP(K$220,'Commodities &amp; Processes'!L:M,2,FALSE),"")</f>
        <v>RSD Thermal uses technology: Natural gas,Biogas Boiler cond. (Imp.) -New</v>
      </c>
      <c r="N220" s="109">
        <f>'Key Inputs_New Techs'!H155</f>
        <v>2030</v>
      </c>
      <c r="O220" s="206" t="s">
        <v>312</v>
      </c>
      <c r="P220" s="114" t="str">
        <f>'Key Inputs_New Techs'!J155</f>
        <v>USD/kW</v>
      </c>
      <c r="Q220" s="121">
        <f>'Key Inputs_New Techs'!K155</f>
        <v>231.50441203072725</v>
      </c>
      <c r="R220" s="121">
        <f>'Key Inputs_New Techs'!L155</f>
        <v>241.76916545885413</v>
      </c>
      <c r="S220" s="121">
        <f>'Key Inputs_New Techs'!M155</f>
        <v>232.69499779943155</v>
      </c>
      <c r="T220" s="121">
        <f>'Key Inputs_New Techs'!N155</f>
        <v>232.71043080823705</v>
      </c>
      <c r="U220" s="121">
        <f>'Key Inputs_New Techs'!O155</f>
        <v>285.59111792639743</v>
      </c>
      <c r="V220" s="121">
        <f>'Key Inputs_New Techs'!P155</f>
        <v>237.19514412142451</v>
      </c>
      <c r="W220" s="121">
        <f>'Key Inputs_New Techs'!Q155</f>
        <v>243.6346510577583</v>
      </c>
      <c r="X220" s="121">
        <f>'Key Inputs_New Techs'!R155</f>
        <v>235.30844476960414</v>
      </c>
      <c r="Y220" s="121">
        <f>'Key Inputs_New Techs'!S155</f>
        <v>245.93726679911933</v>
      </c>
      <c r="Z220" s="121">
        <f>'Key Inputs_New Techs'!T155</f>
        <v>286.85205373228553</v>
      </c>
      <c r="AA220" s="121">
        <f>'Key Inputs_New Techs'!U155</f>
        <v>242.4435804543964</v>
      </c>
      <c r="AB220" s="121">
        <f>'Key Inputs_New Techs'!V155</f>
        <v>246.49513341665588</v>
      </c>
      <c r="AC220" s="121">
        <f>'Key Inputs_New Techs'!W155</f>
        <v>244.58068147038207</v>
      </c>
      <c r="AD220" s="121">
        <f>'Key Inputs_New Techs'!X155</f>
        <v>310.65575279838919</v>
      </c>
      <c r="AE220" s="121">
        <f>'Key Inputs_New Techs'!Y155</f>
        <v>265.76396387285831</v>
      </c>
      <c r="AF220" s="121">
        <f>'Key Inputs_New Techs'!Z155</f>
        <v>285.45938346871185</v>
      </c>
      <c r="AG220" s="121">
        <f>'Key Inputs_New Techs'!AA155</f>
        <v>285.45938346871185</v>
      </c>
      <c r="AH220" s="121">
        <f>'Key Inputs_New Techs'!AB155</f>
        <v>241.98865484138469</v>
      </c>
      <c r="AI220" s="121">
        <f>'Key Inputs_New Techs'!AC155</f>
        <v>236.17003356403302</v>
      </c>
      <c r="AJ220" s="121">
        <f>'Key Inputs_New Techs'!AD155</f>
        <v>277.63789731594414</v>
      </c>
      <c r="AK220" s="121">
        <f>'Key Inputs_New Techs'!AE155</f>
        <v>242.4435804543964</v>
      </c>
      <c r="AL220" s="121">
        <f>'Key Inputs_New Techs'!AF155</f>
        <v>261.07794704529169</v>
      </c>
      <c r="AM220" s="121">
        <f>'Key Inputs_New Techs'!AG155</f>
        <v>249.13592132758336</v>
      </c>
      <c r="AN220" s="121">
        <f>'Key Inputs_New Techs'!AH155</f>
        <v>251.87720225800854</v>
      </c>
      <c r="AO220" s="121">
        <f>'Key Inputs_New Techs'!AI155</f>
        <v>232.69499779943155</v>
      </c>
      <c r="AP220" s="121">
        <f>'Key Inputs_New Techs'!AJ155</f>
        <v>262.63340946838264</v>
      </c>
      <c r="AQ220" s="121">
        <f>'Key Inputs_New Techs'!AK155</f>
        <v>278.72331406144502</v>
      </c>
      <c r="AR220" s="121">
        <f>'Key Inputs_New Techs'!AL155</f>
        <v>301.84087862655088</v>
      </c>
    </row>
    <row r="221" spans="1:44" x14ac:dyDescent="0.25">
      <c r="K221" s="201" t="str">
        <f>IF('Key Inputs_New Techs'!B156="","",'Key Inputs_New Techs'!B156)</f>
        <v/>
      </c>
      <c r="L221" s="109" t="str">
        <f>IFERROR(VLOOKUP(K$220,'Commodities &amp; Processes'!L:M,2,FALSE),"")</f>
        <v>RSD Thermal uses technology: Natural gas,Biogas Boiler cond. (Imp.) -New</v>
      </c>
      <c r="N221" s="109">
        <f>'Key Inputs_New Techs'!H156</f>
        <v>2050</v>
      </c>
      <c r="O221" s="206" t="s">
        <v>312</v>
      </c>
      <c r="P221" s="114" t="str">
        <f>'Key Inputs_New Techs'!J156</f>
        <v>USD/kW</v>
      </c>
      <c r="Q221" s="121">
        <f>'Key Inputs_New Techs'!K156</f>
        <v>217.14866683887976</v>
      </c>
      <c r="R221" s="121">
        <f>'Key Inputs_New Techs'!L156</f>
        <v>226.77689596330666</v>
      </c>
      <c r="S221" s="121">
        <f>'Key Inputs_New Techs'!M156</f>
        <v>218.26542357869155</v>
      </c>
      <c r="T221" s="121">
        <f>'Key Inputs_New Techs'!N156</f>
        <v>218.27989957618132</v>
      </c>
      <c r="U221" s="121">
        <f>'Key Inputs_New Techs'!O156</f>
        <v>267.88141951485244</v>
      </c>
      <c r="V221" s="121">
        <f>'Key Inputs_New Techs'!P156</f>
        <v>222.48651278312087</v>
      </c>
      <c r="W221" s="121">
        <f>'Key Inputs_New Techs'!Q156</f>
        <v>228.52670153830971</v>
      </c>
      <c r="X221" s="121">
        <f>'Key Inputs_New Techs'!R156</f>
        <v>220.71680893437005</v>
      </c>
      <c r="Y221" s="121">
        <f>'Key Inputs_New Techs'!S156</f>
        <v>230.68653051993792</v>
      </c>
      <c r="Z221" s="121">
        <f>'Key Inputs_New Techs'!T156</f>
        <v>269.06416383845379</v>
      </c>
      <c r="AA221" s="121">
        <f>'Key Inputs_New Techs'!U156</f>
        <v>227.40949002876536</v>
      </c>
      <c r="AB221" s="121">
        <f>'Key Inputs_New Techs'!V156</f>
        <v>231.20980345115055</v>
      </c>
      <c r="AC221" s="121">
        <f>'Key Inputs_New Techs'!W156</f>
        <v>229.41406796510168</v>
      </c>
      <c r="AD221" s="121">
        <f>'Key Inputs_New Techs'!X156</f>
        <v>291.39177942338796</v>
      </c>
      <c r="AE221" s="121">
        <f>'Key Inputs_New Techs'!Y156</f>
        <v>249.28376069630838</v>
      </c>
      <c r="AF221" s="121">
        <f>'Key Inputs_New Techs'!Z156</f>
        <v>267.75785400000007</v>
      </c>
      <c r="AG221" s="121">
        <f>'Key Inputs_New Techs'!AA156</f>
        <v>267.75785400000007</v>
      </c>
      <c r="AH221" s="121">
        <f>'Key Inputs_New Techs'!AB156</f>
        <v>226.98277466075226</v>
      </c>
      <c r="AI221" s="121">
        <f>'Key Inputs_New Techs'!AC156</f>
        <v>221.52497002483219</v>
      </c>
      <c r="AJ221" s="121">
        <f>'Key Inputs_New Techs'!AD156</f>
        <v>260.42138349443218</v>
      </c>
      <c r="AK221" s="121">
        <f>'Key Inputs_New Techs'!AE156</f>
        <v>227.40949002876536</v>
      </c>
      <c r="AL221" s="121">
        <f>'Key Inputs_New Techs'!AF156</f>
        <v>244.88832694208867</v>
      </c>
      <c r="AM221" s="121">
        <f>'Key Inputs_New Techs'!AG156</f>
        <v>233.68683431735286</v>
      </c>
      <c r="AN221" s="121">
        <f>'Key Inputs_New Techs'!AH156</f>
        <v>236.25812656293508</v>
      </c>
      <c r="AO221" s="121">
        <f>'Key Inputs_New Techs'!AI156</f>
        <v>218.26542357869155</v>
      </c>
      <c r="AP221" s="121">
        <f>'Key Inputs_New Techs'!AJ156</f>
        <v>246.3473340881267</v>
      </c>
      <c r="AQ221" s="121">
        <f>'Key Inputs_New Techs'!AK156</f>
        <v>261.43949281331129</v>
      </c>
      <c r="AR221" s="121">
        <f>'Key Inputs_New Techs'!AL156</f>
        <v>283.12352156179219</v>
      </c>
    </row>
    <row r="222" spans="1:44" x14ac:dyDescent="0.25">
      <c r="K222" s="201" t="str">
        <f>IF('Key Inputs_New Techs'!B157="","",'Key Inputs_New Techs'!B157)</f>
        <v>R-THL-HPA_GAS05</v>
      </c>
      <c r="L222" s="109" t="str">
        <f>IFERROR(VLOOKUP(K222,'Commodities &amp; Processes'!L:M,2,FALSE),"")</f>
        <v>RSD Thermal uses technology: Natural gas,Biogas Heat Pump (Ord.) -New</v>
      </c>
      <c r="N222" s="109">
        <f>'Key Inputs_New Techs'!H157</f>
        <v>2020</v>
      </c>
      <c r="O222" s="206" t="s">
        <v>312</v>
      </c>
      <c r="P222" s="114" t="str">
        <f>'Key Inputs_New Techs'!J157</f>
        <v>USD/kW</v>
      </c>
      <c r="Q222" s="121">
        <f>'Key Inputs_New Techs'!K157</f>
        <v>1215.8774281071269</v>
      </c>
      <c r="R222" s="121">
        <f>'Key Inputs_New Techs'!L157</f>
        <v>1269.7886338974001</v>
      </c>
      <c r="S222" s="121">
        <f>'Key Inputs_New Techs'!M157</f>
        <v>1222.1304681666873</v>
      </c>
      <c r="T222" s="121">
        <f>'Key Inputs_New Techs'!N157</f>
        <v>1222.211523412632</v>
      </c>
      <c r="U222" s="121">
        <f>'Key Inputs_New Techs'!O157</f>
        <v>1499.9446054120911</v>
      </c>
      <c r="V222" s="121">
        <f>'Key Inputs_New Techs'!P157</f>
        <v>1245.765552647774</v>
      </c>
      <c r="W222" s="121">
        <f>'Key Inputs_New Techs'!Q157</f>
        <v>1279.5862952562923</v>
      </c>
      <c r="X222" s="121">
        <f>'Key Inputs_New Techs'!R157</f>
        <v>1235.8564751689473</v>
      </c>
      <c r="Y222" s="121">
        <f>'Key Inputs_New Techs'!S157</f>
        <v>1291.6797948184233</v>
      </c>
      <c r="Z222" s="121">
        <f>'Key Inputs_New Techs'!T157</f>
        <v>1506.5671288068845</v>
      </c>
      <c r="AA222" s="121">
        <f>'Key Inputs_New Techs'!U157</f>
        <v>1273.3307088110651</v>
      </c>
      <c r="AB222" s="121">
        <f>'Key Inputs_New Techs'!V157</f>
        <v>1294.6097494668347</v>
      </c>
      <c r="AC222" s="121">
        <f>'Key Inputs_New Techs'!W157</f>
        <v>1284.5549134131652</v>
      </c>
      <c r="AD222" s="121">
        <f>'Key Inputs_New Techs'!X157</f>
        <v>1631.5858277856694</v>
      </c>
      <c r="AE222" s="121">
        <f>'Key Inputs_New Techs'!Y157</f>
        <v>1395.8110000702577</v>
      </c>
      <c r="AF222" s="121">
        <f>'Key Inputs_New Techs'!Z157</f>
        <v>1499.2527267899998</v>
      </c>
      <c r="AG222" s="121">
        <f>'Key Inputs_New Techs'!AA157</f>
        <v>1499.2527267899998</v>
      </c>
      <c r="AH222" s="121">
        <f>'Key Inputs_New Techs'!AB157</f>
        <v>1270.9414075468831</v>
      </c>
      <c r="AI222" s="121">
        <f>'Key Inputs_New Techs'!AC157</f>
        <v>1240.3816000176134</v>
      </c>
      <c r="AJ222" s="121">
        <f>'Key Inputs_New Techs'!AD157</f>
        <v>1458.173732294895</v>
      </c>
      <c r="AK222" s="121">
        <f>'Key Inputs_New Techs'!AE157</f>
        <v>1273.3307088110651</v>
      </c>
      <c r="AL222" s="121">
        <f>'Key Inputs_New Techs'!AF157</f>
        <v>1371.1997106421659</v>
      </c>
      <c r="AM222" s="121">
        <f>'Key Inputs_New Techs'!AG157</f>
        <v>1308.4793530098061</v>
      </c>
      <c r="AN222" s="121">
        <f>'Key Inputs_New Techs'!AH157</f>
        <v>1322.8767529477479</v>
      </c>
      <c r="AO222" s="121">
        <f>'Key Inputs_New Techs'!AI157</f>
        <v>1222.1304681666873</v>
      </c>
      <c r="AP222" s="121">
        <f>'Key Inputs_New Techs'!AJ157</f>
        <v>1379.3691085120174</v>
      </c>
      <c r="AQ222" s="121">
        <f>'Key Inputs_New Techs'!AK157</f>
        <v>1463.874417259676</v>
      </c>
      <c r="AR222" s="121">
        <f>'Key Inputs_New Techs'!AL157</f>
        <v>1585.2894896592059</v>
      </c>
    </row>
    <row r="223" spans="1:44" x14ac:dyDescent="0.25">
      <c r="K223" s="201" t="str">
        <f>IF('Key Inputs_New Techs'!B158="","",'Key Inputs_New Techs'!B158)</f>
        <v>R-THL-HPA_GAS06</v>
      </c>
      <c r="L223" s="109" t="str">
        <f>IFERROR(VLOOKUP(K$223,'Commodities &amp; Processes'!L:M,2,FALSE),"")</f>
        <v>RSD Thermal uses technology: Natural gas,Biogas Heat Pump (Imp.) -New</v>
      </c>
      <c r="N223" s="109">
        <f>'Key Inputs_New Techs'!H158</f>
        <v>2030</v>
      </c>
      <c r="O223" s="206" t="s">
        <v>312</v>
      </c>
      <c r="P223" s="114" t="str">
        <f>'Key Inputs_New Techs'!J158</f>
        <v>USD/kW</v>
      </c>
      <c r="Q223" s="121">
        <f>'Key Inputs_New Techs'!K158</f>
        <v>1234.6969792331633</v>
      </c>
      <c r="R223" s="121">
        <f>'Key Inputs_New Techs'!L158</f>
        <v>1289.4426315475537</v>
      </c>
      <c r="S223" s="121">
        <f>'Key Inputs_New Techs'!M158</f>
        <v>1241.046804876841</v>
      </c>
      <c r="T223" s="121">
        <f>'Key Inputs_New Techs'!N158</f>
        <v>1241.1291147092345</v>
      </c>
      <c r="U223" s="121">
        <f>'Key Inputs_New Techs'!O158</f>
        <v>1523.1609951033786</v>
      </c>
      <c r="V223" s="121">
        <f>'Key Inputs_New Techs'!P158</f>
        <v>1265.0477170889783</v>
      </c>
      <c r="W223" s="121">
        <f>'Key Inputs_New Techs'!Q158</f>
        <v>1299.3919427229459</v>
      </c>
      <c r="X223" s="121">
        <f>'Key Inputs_New Techs'!R158</f>
        <v>1254.9852652765931</v>
      </c>
      <c r="Y223" s="121">
        <f>'Key Inputs_New Techs'!S158</f>
        <v>1311.6726274634848</v>
      </c>
      <c r="Z223" s="121">
        <f>'Key Inputs_New Techs'!T158</f>
        <v>1529.8860230062176</v>
      </c>
      <c r="AA223" s="121">
        <f>'Key Inputs_New Techs'!U158</f>
        <v>1293.039531280225</v>
      </c>
      <c r="AB223" s="121">
        <f>'Key Inputs_New Techs'!V158</f>
        <v>1314.6479324326012</v>
      </c>
      <c r="AC223" s="121">
        <f>'Key Inputs_New Techs'!W158</f>
        <v>1304.4374659701409</v>
      </c>
      <c r="AD223" s="121">
        <f>'Key Inputs_New Techs'!X158</f>
        <v>1656.8397820023636</v>
      </c>
      <c r="AE223" s="121">
        <f>'Key Inputs_New Techs'!Y158</f>
        <v>1417.415592663938</v>
      </c>
      <c r="AF223" s="121">
        <f>'Key Inputs_New Techs'!Z158</f>
        <v>1522.4584074700001</v>
      </c>
      <c r="AG223" s="121">
        <f>'Key Inputs_New Techs'!AA158</f>
        <v>1522.4584074700001</v>
      </c>
      <c r="AH223" s="121">
        <f>'Key Inputs_New Techs'!AB158</f>
        <v>1290.613248017482</v>
      </c>
      <c r="AI223" s="121">
        <f>'Key Inputs_New Techs'!AC158</f>
        <v>1259.5804307530993</v>
      </c>
      <c r="AJ223" s="121">
        <f>'Key Inputs_New Techs'!AD158</f>
        <v>1480.7435855310796</v>
      </c>
      <c r="AK223" s="121">
        <f>'Key Inputs_New Techs'!AE158</f>
        <v>1293.039531280225</v>
      </c>
      <c r="AL223" s="121">
        <f>'Key Inputs_New Techs'!AF158</f>
        <v>1392.4233656438139</v>
      </c>
      <c r="AM223" s="121">
        <f>'Key Inputs_New Techs'!AG158</f>
        <v>1328.7322119839769</v>
      </c>
      <c r="AN223" s="121">
        <f>'Key Inputs_New Techs'!AH158</f>
        <v>1343.3524572498693</v>
      </c>
      <c r="AO223" s="121">
        <f>'Key Inputs_New Techs'!AI158</f>
        <v>1241.046804876841</v>
      </c>
      <c r="AP223" s="121">
        <f>'Key Inputs_New Techs'!AJ158</f>
        <v>1400.7192107996555</v>
      </c>
      <c r="AQ223" s="121">
        <f>'Key Inputs_New Techs'!AK158</f>
        <v>1486.5325066368298</v>
      </c>
      <c r="AR223" s="121">
        <f>'Key Inputs_New Techs'!AL158</f>
        <v>1609.8268615278948</v>
      </c>
    </row>
    <row r="224" spans="1:44" x14ac:dyDescent="0.25">
      <c r="K224" s="201" t="str">
        <f>IF('Key Inputs_New Techs'!B159="","",'Key Inputs_New Techs'!B159)</f>
        <v/>
      </c>
      <c r="L224" s="109" t="str">
        <f>IFERROR(VLOOKUP(K$223,'Commodities &amp; Processes'!L:M,2,FALSE),"")</f>
        <v>RSD Thermal uses technology: Natural gas,Biogas Heat Pump (Imp.) -New</v>
      </c>
      <c r="N224" s="109">
        <f>'Key Inputs_New Techs'!H159</f>
        <v>2050</v>
      </c>
      <c r="O224" s="206" t="s">
        <v>312</v>
      </c>
      <c r="P224" s="114" t="str">
        <f>'Key Inputs_New Techs'!J159</f>
        <v>USD/kW</v>
      </c>
      <c r="Q224" s="121">
        <f>'Key Inputs_New Techs'!K159</f>
        <v>973.54985632764397</v>
      </c>
      <c r="R224" s="121">
        <f>'Key Inputs_New Techs'!L159</f>
        <v>1016.7164169021579</v>
      </c>
      <c r="S224" s="121">
        <f>'Key Inputs_New Techs'!M159</f>
        <v>978.55664904446678</v>
      </c>
      <c r="T224" s="121">
        <f>'Key Inputs_New Techs'!N159</f>
        <v>978.62154976654597</v>
      </c>
      <c r="U224" s="121">
        <f>'Key Inputs_New Techs'!O159</f>
        <v>1201.0016974915882</v>
      </c>
      <c r="V224" s="121">
        <f>'Key Inputs_New Techs'!P159</f>
        <v>997.48119897765832</v>
      </c>
      <c r="W224" s="121">
        <f>'Key Inputs_New Techs'!Q159</f>
        <v>1024.5613785634216</v>
      </c>
      <c r="X224" s="121">
        <f>'Key Inputs_New Techs'!R159</f>
        <v>989.54702672242547</v>
      </c>
      <c r="Y224" s="121">
        <f>'Key Inputs_New Techs'!S159</f>
        <v>1034.2446118310547</v>
      </c>
      <c r="Z224" s="121">
        <f>'Key Inputs_New Techs'!T159</f>
        <v>1206.3043345424007</v>
      </c>
      <c r="AA224" s="121">
        <f>'Key Inputs_New Techs'!U159</f>
        <v>1019.5525469622978</v>
      </c>
      <c r="AB224" s="121">
        <f>'Key Inputs_New Techs'!V159</f>
        <v>1036.5906188059914</v>
      </c>
      <c r="AC224" s="121">
        <f>'Key Inputs_New Techs'!W159</f>
        <v>1028.5397380435388</v>
      </c>
      <c r="AD224" s="121">
        <f>'Key Inputs_New Techs'!X159</f>
        <v>1306.406477748189</v>
      </c>
      <c r="AE224" s="121">
        <f>'Key Inputs_New Techs'!Y159</f>
        <v>1117.6221937884491</v>
      </c>
      <c r="AF224" s="121">
        <f>'Key Inputs_New Techs'!Z159</f>
        <v>1200.4477121</v>
      </c>
      <c r="AG224" s="121">
        <f>'Key Inputs_New Techs'!AA159</f>
        <v>1200.4477121</v>
      </c>
      <c r="AH224" s="121">
        <f>'Key Inputs_New Techs'!AB159</f>
        <v>1017.6394397290391</v>
      </c>
      <c r="AI224" s="121">
        <f>'Key Inputs_New Techs'!AC159</f>
        <v>993.17028227799744</v>
      </c>
      <c r="AJ224" s="121">
        <f>'Key Inputs_New Techs'!AD159</f>
        <v>1167.5558693333708</v>
      </c>
      <c r="AK224" s="121">
        <f>'Key Inputs_New Techs'!AE159</f>
        <v>1019.5525469622978</v>
      </c>
      <c r="AL224" s="121">
        <f>'Key Inputs_New Techs'!AF159</f>
        <v>1097.9159991236972</v>
      </c>
      <c r="AM224" s="121">
        <f>'Key Inputs_New Techs'!AG159</f>
        <v>1047.6959738561318</v>
      </c>
      <c r="AN224" s="121">
        <f>'Key Inputs_New Techs'!AH159</f>
        <v>1059.2239340904919</v>
      </c>
      <c r="AO224" s="121">
        <f>'Key Inputs_New Techs'!AI159</f>
        <v>978.55664904446678</v>
      </c>
      <c r="AP224" s="121">
        <f>'Key Inputs_New Techs'!AJ159</f>
        <v>1104.457214495101</v>
      </c>
      <c r="AQ224" s="121">
        <f>'Key Inputs_New Techs'!AK159</f>
        <v>1172.1203927796785</v>
      </c>
      <c r="AR224" s="121">
        <f>'Key Inputs_New Techs'!AL159</f>
        <v>1269.3371216687015</v>
      </c>
    </row>
    <row r="225" spans="1:44" x14ac:dyDescent="0.25">
      <c r="K225" s="201" t="str">
        <f>IF('Key Inputs_New Techs'!B160="","",'Key Inputs_New Techs'!B160)</f>
        <v>R-THL-HPA_GAS07</v>
      </c>
      <c r="L225" s="109" t="str">
        <f>IFERROR(VLOOKUP(K$225,'Commodities &amp; Processes'!L:M,2,FALSE),"")</f>
        <v>RSD Thermal uses technology: Natural gas,Biogas Heat Pump (Adv.) -New</v>
      </c>
      <c r="N225" s="109">
        <f>'Key Inputs_New Techs'!H160</f>
        <v>2030</v>
      </c>
      <c r="O225" s="206" t="s">
        <v>312</v>
      </c>
      <c r="P225" s="114" t="str">
        <f>'Key Inputs_New Techs'!J160</f>
        <v>USD/kW</v>
      </c>
      <c r="Q225" s="121">
        <f>'Key Inputs_New Techs'!K160</f>
        <v>1563.4704012399341</v>
      </c>
      <c r="R225" s="121">
        <f>'Key Inputs_New Techs'!L160</f>
        <v>1632.7936509358078</v>
      </c>
      <c r="S225" s="121">
        <f>'Key Inputs_New Techs'!M160</f>
        <v>1571.5110497665789</v>
      </c>
      <c r="T225" s="121">
        <f>'Key Inputs_New Techs'!N160</f>
        <v>1571.6152769485054</v>
      </c>
      <c r="U225" s="121">
        <f>'Key Inputs_New Techs'!O160</f>
        <v>1928.7462205069376</v>
      </c>
      <c r="V225" s="121">
        <f>'Key Inputs_New Techs'!P160</f>
        <v>1601.9028920384701</v>
      </c>
      <c r="W225" s="121">
        <f>'Key Inputs_New Techs'!Q160</f>
        <v>1645.3922510758298</v>
      </c>
      <c r="X225" s="121">
        <f>'Key Inputs_New Techs'!R160</f>
        <v>1589.1610243274642</v>
      </c>
      <c r="Y225" s="121">
        <f>'Key Inputs_New Techs'!S160</f>
        <v>1660.9430197435529</v>
      </c>
      <c r="Z225" s="121">
        <f>'Key Inputs_New Techs'!T160</f>
        <v>1937.2619796368672</v>
      </c>
      <c r="AA225" s="121">
        <f>'Key Inputs_New Techs'!U160</f>
        <v>1637.3483282071106</v>
      </c>
      <c r="AB225" s="121">
        <f>'Key Inputs_New Techs'!V160</f>
        <v>1664.7105848482838</v>
      </c>
      <c r="AC225" s="121">
        <f>'Key Inputs_New Techs'!W160</f>
        <v>1651.7812893487319</v>
      </c>
      <c r="AD225" s="121">
        <f>'Key Inputs_New Techs'!X160</f>
        <v>2098.0208118483934</v>
      </c>
      <c r="AE225" s="121">
        <f>'Key Inputs_New Techs'!Y160</f>
        <v>1794.8430770134203</v>
      </c>
      <c r="AF225" s="121">
        <f>'Key Inputs_New Techs'!Z160</f>
        <v>1927.8565488000004</v>
      </c>
      <c r="AG225" s="121">
        <f>'Key Inputs_New Techs'!AA160</f>
        <v>1927.8565488000004</v>
      </c>
      <c r="AH225" s="121">
        <f>'Key Inputs_New Techs'!AB160</f>
        <v>1634.2759775574164</v>
      </c>
      <c r="AI225" s="121">
        <f>'Key Inputs_New Techs'!AC160</f>
        <v>1594.9797841787918</v>
      </c>
      <c r="AJ225" s="121">
        <f>'Key Inputs_New Techs'!AD160</f>
        <v>1875.0339611599115</v>
      </c>
      <c r="AK225" s="121">
        <f>'Key Inputs_New Techs'!AE160</f>
        <v>1637.3483282071106</v>
      </c>
      <c r="AL225" s="121">
        <f>'Key Inputs_New Techs'!AF160</f>
        <v>1763.1959539830384</v>
      </c>
      <c r="AM225" s="121">
        <f>'Key Inputs_New Techs'!AG160</f>
        <v>1682.5452070849406</v>
      </c>
      <c r="AN225" s="121">
        <f>'Key Inputs_New Techs'!AH160</f>
        <v>1701.0585112531323</v>
      </c>
      <c r="AO225" s="121">
        <f>'Key Inputs_New Techs'!AI160</f>
        <v>1571.5110497665789</v>
      </c>
      <c r="AP225" s="121">
        <f>'Key Inputs_New Techs'!AJ160</f>
        <v>1773.7008054345122</v>
      </c>
      <c r="AQ225" s="121">
        <f>'Key Inputs_New Techs'!AK160</f>
        <v>1882.3643482558409</v>
      </c>
      <c r="AR225" s="121">
        <f>'Key Inputs_New Techs'!AL160</f>
        <v>2038.4893552449037</v>
      </c>
    </row>
    <row r="226" spans="1:44" x14ac:dyDescent="0.25">
      <c r="K226" s="201" t="str">
        <f>IF('Key Inputs_New Techs'!B161="","",'Key Inputs_New Techs'!B161)</f>
        <v/>
      </c>
      <c r="L226" s="109" t="str">
        <f>IFERROR(VLOOKUP(K$225,'Commodities &amp; Processes'!L:M,2,FALSE),"")</f>
        <v>RSD Thermal uses technology: Natural gas,Biogas Heat Pump (Adv.) -New</v>
      </c>
      <c r="N226" s="109">
        <f>'Key Inputs_New Techs'!H161</f>
        <v>2050</v>
      </c>
      <c r="O226" s="206" t="s">
        <v>312</v>
      </c>
      <c r="P226" s="114" t="str">
        <f>'Key Inputs_New Techs'!J161</f>
        <v>USD/kW</v>
      </c>
      <c r="Q226" s="121">
        <f>'Key Inputs_New Techs'!K161</f>
        <v>1384.2956075145032</v>
      </c>
      <c r="R226" s="121">
        <f>'Key Inputs_New Techs'!L161</f>
        <v>1445.6743646540842</v>
      </c>
      <c r="S226" s="121">
        <f>'Key Inputs_New Techs'!M161</f>
        <v>1391.414792136211</v>
      </c>
      <c r="T226" s="121">
        <f>'Key Inputs_New Techs'!N161</f>
        <v>1391.5070748107087</v>
      </c>
      <c r="U226" s="121">
        <f>'Key Inputs_New Techs'!O161</f>
        <v>1707.7105642297447</v>
      </c>
      <c r="V226" s="121">
        <f>'Key Inputs_New Techs'!P161</f>
        <v>1418.3237081782975</v>
      </c>
      <c r="W226" s="121">
        <f>'Key Inputs_New Techs'!Q161</f>
        <v>1456.8291564690319</v>
      </c>
      <c r="X226" s="121">
        <f>'Key Inputs_New Techs'!R161</f>
        <v>1407.042067355492</v>
      </c>
      <c r="Y226" s="121">
        <f>'Key Inputs_New Techs'!S161</f>
        <v>1470.5977962482889</v>
      </c>
      <c r="Z226" s="121">
        <f>'Key Inputs_New Techs'!T161</f>
        <v>1715.2504114496628</v>
      </c>
      <c r="AA226" s="121">
        <f>'Key Inputs_New Techs'!U161</f>
        <v>1449.7070727471253</v>
      </c>
      <c r="AB226" s="121">
        <f>'Key Inputs_New Techs'!V161</f>
        <v>1473.9335957756532</v>
      </c>
      <c r="AC226" s="121">
        <f>'Key Inputs_New Techs'!W161</f>
        <v>1462.4860065190273</v>
      </c>
      <c r="AD226" s="121">
        <f>'Key Inputs_New Techs'!X161</f>
        <v>1857.5861698516699</v>
      </c>
      <c r="AE226" s="121">
        <f>'Key Inputs_New Techs'!Y161</f>
        <v>1589.1528139688787</v>
      </c>
      <c r="AF226" s="121">
        <f>'Key Inputs_New Techs'!Z161</f>
        <v>1706.9228495182501</v>
      </c>
      <c r="AG226" s="121">
        <f>'Key Inputs_New Techs'!AA161</f>
        <v>1706.9228495182501</v>
      </c>
      <c r="AH226" s="121">
        <f>'Key Inputs_New Techs'!AB161</f>
        <v>1446.9868156154628</v>
      </c>
      <c r="AI226" s="121">
        <f>'Key Inputs_New Techs'!AC161</f>
        <v>1412.1939932870519</v>
      </c>
      <c r="AJ226" s="121">
        <f>'Key Inputs_New Techs'!AD161</f>
        <v>1660.153767104068</v>
      </c>
      <c r="AK226" s="121">
        <f>'Key Inputs_New Techs'!AE161</f>
        <v>1449.7070727471253</v>
      </c>
      <c r="AL226" s="121">
        <f>'Key Inputs_New Techs'!AF161</f>
        <v>1561.1324732149471</v>
      </c>
      <c r="AM226" s="121">
        <f>'Key Inputs_New Techs'!AG161</f>
        <v>1489.7243579188346</v>
      </c>
      <c r="AN226" s="121">
        <f>'Key Inputs_New Techs'!AH161</f>
        <v>1506.1160245728904</v>
      </c>
      <c r="AO226" s="121">
        <f>'Key Inputs_New Techs'!AI161</f>
        <v>1391.414792136211</v>
      </c>
      <c r="AP226" s="121">
        <f>'Key Inputs_New Techs'!AJ161</f>
        <v>1570.4334613950464</v>
      </c>
      <c r="AQ226" s="121">
        <f>'Key Inputs_New Techs'!AK161</f>
        <v>1666.6440867482575</v>
      </c>
      <c r="AR226" s="121">
        <f>'Key Inputs_New Techs'!AL161</f>
        <v>1804.8770595162298</v>
      </c>
    </row>
    <row r="227" spans="1:44" x14ac:dyDescent="0.25">
      <c r="K227" s="201" t="str">
        <f>IF('Key Inputs_New Techs'!B162="","",'Key Inputs_New Techs'!B162)</f>
        <v>R-THL-HPG_ELC01</v>
      </c>
      <c r="L227" s="109" t="str">
        <f>IFERROR(VLOOKUP(K227,'Commodities &amp; Processes'!L:M,2,FALSE),"")</f>
        <v>RSD Thermal uses technology: Electricity Ground Heat Pump (Ord.) -New</v>
      </c>
      <c r="N227" s="109">
        <f>'Key Inputs_New Techs'!H162</f>
        <v>2020</v>
      </c>
      <c r="O227" s="206" t="s">
        <v>312</v>
      </c>
      <c r="P227" s="114" t="str">
        <f>'Key Inputs_New Techs'!J162</f>
        <v>USD/kW</v>
      </c>
      <c r="Q227" s="121">
        <f>'Key Inputs_New Techs'!K162</f>
        <v>1752.6999537709578</v>
      </c>
      <c r="R227" s="121">
        <f>'Key Inputs_New Techs'!L162</f>
        <v>1830.4135174181179</v>
      </c>
      <c r="S227" s="121">
        <f>'Key Inputs_New Techs'!M162</f>
        <v>1761.7137760280102</v>
      </c>
      <c r="T227" s="121">
        <f>'Key Inputs_New Techs'!N162</f>
        <v>1761.8306180077491</v>
      </c>
      <c r="U227" s="121">
        <f>'Key Inputs_New Techs'!O162</f>
        <v>2162.1857432270231</v>
      </c>
      <c r="V227" s="121">
        <f>'Key Inputs_New Techs'!P162</f>
        <v>1795.7839960351896</v>
      </c>
      <c r="W227" s="121">
        <f>'Key Inputs_New Techs'!Q162</f>
        <v>1844.5369481306425</v>
      </c>
      <c r="X227" s="121">
        <f>'Key Inputs_New Techs'!R162</f>
        <v>1781.4999578274153</v>
      </c>
      <c r="Y227" s="121">
        <f>'Key Inputs_New Techs'!S162</f>
        <v>1861.9698534823558</v>
      </c>
      <c r="Z227" s="121">
        <f>'Key Inputs_New Techs'!T162</f>
        <v>2171.7321795532339</v>
      </c>
      <c r="AA227" s="121">
        <f>'Key Inputs_New Techs'!U162</f>
        <v>1835.5194552321775</v>
      </c>
      <c r="AB227" s="121">
        <f>'Key Inputs_New Techs'!V162</f>
        <v>1866.1934135700008</v>
      </c>
      <c r="AC227" s="121">
        <f>'Key Inputs_New Techs'!W162</f>
        <v>1851.6992628611777</v>
      </c>
      <c r="AD227" s="121">
        <f>'Key Inputs_New Techs'!X162</f>
        <v>2351.9479339173454</v>
      </c>
      <c r="AE227" s="121">
        <f>'Key Inputs_New Techs'!Y162</f>
        <v>2012.0760684773461</v>
      </c>
      <c r="AF227" s="121">
        <f>'Key Inputs_New Techs'!Z162</f>
        <v>2161.1883930000004</v>
      </c>
      <c r="AG227" s="121">
        <f>'Key Inputs_New Techs'!AA162</f>
        <v>2161.1883930000004</v>
      </c>
      <c r="AH227" s="121">
        <f>'Key Inputs_New Techs'!AB162</f>
        <v>1832.075252618929</v>
      </c>
      <c r="AI227" s="121">
        <f>'Key Inputs_New Techs'!AC162</f>
        <v>1788.0229723432883</v>
      </c>
      <c r="AJ227" s="121">
        <f>'Key Inputs_New Techs'!AD162</f>
        <v>2101.9725953479169</v>
      </c>
      <c r="AK227" s="121">
        <f>'Key Inputs_New Techs'!AE162</f>
        <v>1835.5194552321775</v>
      </c>
      <c r="AL227" s="121">
        <f>'Key Inputs_New Techs'!AF162</f>
        <v>1976.5986388897154</v>
      </c>
      <c r="AM227" s="121">
        <f>'Key Inputs_New Techs'!AG162</f>
        <v>1886.1865912757767</v>
      </c>
      <c r="AN227" s="121">
        <f>'Key Inputs_New Techs'!AH162</f>
        <v>1906.9405929722614</v>
      </c>
      <c r="AO227" s="121">
        <f>'Key Inputs_New Techs'!AI162</f>
        <v>1761.7137760280102</v>
      </c>
      <c r="AP227" s="121">
        <f>'Key Inputs_New Techs'!AJ162</f>
        <v>1988.3749108541654</v>
      </c>
      <c r="AQ227" s="121">
        <f>'Key Inputs_New Techs'!AK162</f>
        <v>2110.1901919931552</v>
      </c>
      <c r="AR227" s="121">
        <f>'Key Inputs_New Techs'!AL162</f>
        <v>2285.2112811773227</v>
      </c>
    </row>
    <row r="228" spans="1:44" x14ac:dyDescent="0.25">
      <c r="K228" s="201" t="str">
        <f>IF('Key Inputs_New Techs'!B163="","",'Key Inputs_New Techs'!B163)</f>
        <v>R-THL-HPG_ELC02</v>
      </c>
      <c r="L228" s="109" t="str">
        <f>IFERROR(VLOOKUP(K$228,'Commodities &amp; Processes'!L:M,2,FALSE),"")</f>
        <v>RSD Thermal uses technology: Electricity Ground Heat Pump (Imp.) -New</v>
      </c>
      <c r="N228" s="109">
        <f>'Key Inputs_New Techs'!H163</f>
        <v>2030</v>
      </c>
      <c r="O228" s="206" t="s">
        <v>312</v>
      </c>
      <c r="P228" s="114" t="str">
        <f>'Key Inputs_New Techs'!J163</f>
        <v>USD/kW</v>
      </c>
      <c r="Q228" s="121">
        <f>'Key Inputs_New Techs'!K163</f>
        <v>1866.953005994068</v>
      </c>
      <c r="R228" s="121">
        <f>'Key Inputs_New Techs'!L163</f>
        <v>1949.7324748617534</v>
      </c>
      <c r="S228" s="121">
        <f>'Key Inputs_New Techs'!M163</f>
        <v>1876.5544112557579</v>
      </c>
      <c r="T228" s="121">
        <f>'Key Inputs_New Techs'!N163</f>
        <v>1876.6788698003197</v>
      </c>
      <c r="U228" s="121">
        <f>'Key Inputs_New Techs'!O163</f>
        <v>2303.1318989597708</v>
      </c>
      <c r="V228" s="121">
        <f>'Key Inputs_New Techs'!P163</f>
        <v>1912.8455628133481</v>
      </c>
      <c r="W228" s="121">
        <f>'Key Inputs_New Techs'!Q163</f>
        <v>1964.7765680432283</v>
      </c>
      <c r="X228" s="121">
        <f>'Key Inputs_New Techs'!R163</f>
        <v>1897.6303926341268</v>
      </c>
      <c r="Y228" s="121">
        <f>'Key Inputs_New Techs'!S163</f>
        <v>1983.3458702101891</v>
      </c>
      <c r="Z228" s="121">
        <f>'Key Inputs_New Techs'!T163</f>
        <v>2313.3006377432716</v>
      </c>
      <c r="AA228" s="121">
        <f>'Key Inputs_New Techs'!U163</f>
        <v>1955.1712528624421</v>
      </c>
      <c r="AB228" s="121">
        <f>'Key Inputs_New Techs'!V163</f>
        <v>1987.8447510281296</v>
      </c>
      <c r="AC228" s="121">
        <f>'Key Inputs_New Techs'!W163</f>
        <v>1972.4057717681892</v>
      </c>
      <c r="AD228" s="121">
        <f>'Key Inputs_New Techs'!X163</f>
        <v>2505.2640959573719</v>
      </c>
      <c r="AE228" s="121">
        <f>'Key Inputs_New Techs'!Y163</f>
        <v>2143.2370419423196</v>
      </c>
      <c r="AF228" s="121">
        <f>'Key Inputs_New Techs'!Z163</f>
        <v>2302.0695345771151</v>
      </c>
      <c r="AG228" s="121">
        <f>'Key Inputs_New Techs'!AA163</f>
        <v>2302.0695345771151</v>
      </c>
      <c r="AH228" s="121">
        <f>'Key Inputs_New Techs'!AB163</f>
        <v>1951.5025334057989</v>
      </c>
      <c r="AI228" s="121">
        <f>'Key Inputs_New Techs'!AC163</f>
        <v>1904.5786221541598</v>
      </c>
      <c r="AJ228" s="121">
        <f>'Key Inputs_New Techs'!AD163</f>
        <v>2238.9936434692063</v>
      </c>
      <c r="AK228" s="121">
        <f>'Key Inputs_New Techs'!AE163</f>
        <v>1955.1712528624421</v>
      </c>
      <c r="AL228" s="121">
        <f>'Key Inputs_New Techs'!AF163</f>
        <v>2105.4469491936634</v>
      </c>
      <c r="AM228" s="121">
        <f>'Key Inputs_New Techs'!AG163</f>
        <v>2009.1412217314373</v>
      </c>
      <c r="AN228" s="121">
        <f>'Key Inputs_New Techs'!AH163</f>
        <v>2031.2481121722649</v>
      </c>
      <c r="AO228" s="121">
        <f>'Key Inputs_New Techs'!AI163</f>
        <v>1876.5544112557579</v>
      </c>
      <c r="AP228" s="121">
        <f>'Key Inputs_New Techs'!AJ163</f>
        <v>2117.9908796571349</v>
      </c>
      <c r="AQ228" s="121">
        <f>'Key Inputs_New Techs'!AK163</f>
        <v>2247.7469196508287</v>
      </c>
      <c r="AR228" s="121">
        <f>'Key Inputs_New Techs'!AL163</f>
        <v>2434.1770886376635</v>
      </c>
    </row>
    <row r="229" spans="1:44" x14ac:dyDescent="0.25">
      <c r="K229" s="201" t="str">
        <f>IF('Key Inputs_New Techs'!B164="","",'Key Inputs_New Techs'!B164)</f>
        <v/>
      </c>
      <c r="L229" s="109" t="str">
        <f>IFERROR(VLOOKUP(K$228,'Commodities &amp; Processes'!L:M,2,FALSE),"")</f>
        <v>RSD Thermal uses technology: Electricity Ground Heat Pump (Imp.) -New</v>
      </c>
      <c r="N229" s="109">
        <f>'Key Inputs_New Techs'!H164</f>
        <v>2050</v>
      </c>
      <c r="O229" s="206" t="s">
        <v>312</v>
      </c>
      <c r="P229" s="114" t="str">
        <f>'Key Inputs_New Techs'!J164</f>
        <v>USD/kW</v>
      </c>
      <c r="Q229" s="121">
        <f>'Key Inputs_New Techs'!K164</f>
        <v>1623.2698033386409</v>
      </c>
      <c r="R229" s="121">
        <f>'Key Inputs_New Techs'!L164</f>
        <v>1695.2445192087798</v>
      </c>
      <c r="S229" s="121">
        <f>'Key Inputs_New Techs'!M164</f>
        <v>1631.6179894905572</v>
      </c>
      <c r="T229" s="121">
        <f>'Key Inputs_New Techs'!N164</f>
        <v>1631.7262031394846</v>
      </c>
      <c r="U229" s="121">
        <f>'Key Inputs_New Techs'!O164</f>
        <v>2002.5166421887197</v>
      </c>
      <c r="V229" s="121">
        <f>'Key Inputs_New Techs'!P164</f>
        <v>1663.1722547895142</v>
      </c>
      <c r="W229" s="121">
        <f>'Key Inputs_New Techs'!Q164</f>
        <v>1708.3249888840719</v>
      </c>
      <c r="X229" s="121">
        <f>'Key Inputs_New Techs'!R164</f>
        <v>1649.9430378647753</v>
      </c>
      <c r="Y229" s="121">
        <f>'Key Inputs_New Techs'!S164</f>
        <v>1724.4705412251972</v>
      </c>
      <c r="Z229" s="121">
        <f>'Key Inputs_New Techs'!T164</f>
        <v>2011.3581109093027</v>
      </c>
      <c r="AA229" s="121">
        <f>'Key Inputs_New Techs'!U164</f>
        <v>1699.9734031534936</v>
      </c>
      <c r="AB229" s="121">
        <f>'Key Inputs_New Techs'!V164</f>
        <v>1728.3822076448314</v>
      </c>
      <c r="AC229" s="121">
        <f>'Key Inputs_New Techs'!W164</f>
        <v>1714.9583942191214</v>
      </c>
      <c r="AD229" s="121">
        <f>'Key Inputs_New Techs'!X164</f>
        <v>2178.2656249511415</v>
      </c>
      <c r="AE229" s="121">
        <f>'Key Inputs_New Techs'!Y164</f>
        <v>1863.4919895744035</v>
      </c>
      <c r="AF229" s="121">
        <f>'Key Inputs_New Techs'!Z164</f>
        <v>2001.5929424400003</v>
      </c>
      <c r="AG229" s="121">
        <f>'Key Inputs_New Techs'!AA164</f>
        <v>2001.5929424400003</v>
      </c>
      <c r="AH229" s="121">
        <f>'Key Inputs_New Techs'!AB164</f>
        <v>1696.7835416563003</v>
      </c>
      <c r="AI229" s="121">
        <f>'Key Inputs_New Techs'!AC164</f>
        <v>1655.9843528471686</v>
      </c>
      <c r="AJ229" s="121">
        <f>'Key Inputs_New Techs'!AD164</f>
        <v>1946.7500036914553</v>
      </c>
      <c r="AK229" s="121">
        <f>'Key Inputs_New Techs'!AE164</f>
        <v>1699.9734031534936</v>
      </c>
      <c r="AL229" s="121">
        <f>'Key Inputs_New Techs'!AF164</f>
        <v>1830.6344317101673</v>
      </c>
      <c r="AM229" s="121">
        <f>'Key Inputs_New Techs'!AG164</f>
        <v>1746.8989660738732</v>
      </c>
      <c r="AN229" s="121">
        <f>'Key Inputs_New Techs'!AH164</f>
        <v>1766.120364568156</v>
      </c>
      <c r="AO229" s="121">
        <f>'Key Inputs_New Techs'!AI164</f>
        <v>1631.6179894905572</v>
      </c>
      <c r="AP229" s="121">
        <f>'Key Inputs_New Techs'!AJ164</f>
        <v>1841.5410712833961</v>
      </c>
      <c r="AQ229" s="121">
        <f>'Key Inputs_New Techs'!AK164</f>
        <v>1954.3607624305837</v>
      </c>
      <c r="AR229" s="121">
        <f>'Key Inputs_New Techs'!AL164</f>
        <v>2116.4572173365355</v>
      </c>
    </row>
    <row r="230" spans="1:44" x14ac:dyDescent="0.25">
      <c r="K230" s="201" t="str">
        <f>IF('Key Inputs_New Techs'!B165="","",'Key Inputs_New Techs'!B165)</f>
        <v>R-THL-HPG_ELC03</v>
      </c>
      <c r="L230" s="109" t="str">
        <f>IFERROR(VLOOKUP(K$230,'Commodities &amp; Processes'!L:M,2,FALSE),"")</f>
        <v>RSD Thermal uses technology: Electricity Ground Heat Pump (Adv.) -New</v>
      </c>
      <c r="N230" s="109">
        <f>'Key Inputs_New Techs'!H165</f>
        <v>2030</v>
      </c>
      <c r="O230" s="206" t="s">
        <v>312</v>
      </c>
      <c r="P230" s="114" t="str">
        <f>'Key Inputs_New Techs'!J165</f>
        <v>USD/kW</v>
      </c>
      <c r="Q230" s="121">
        <f>'Key Inputs_New Techs'!K165</f>
        <v>2414.7416125432264</v>
      </c>
      <c r="R230" s="121">
        <f>'Key Inputs_New Techs'!L165</f>
        <v>2521.8096680846638</v>
      </c>
      <c r="S230" s="121">
        <f>'Key Inputs_New Techs'!M165</f>
        <v>2427.1601965942741</v>
      </c>
      <c r="T230" s="121">
        <f>'Key Inputs_New Techs'!N165</f>
        <v>2427.3211729153841</v>
      </c>
      <c r="U230" s="121">
        <f>'Key Inputs_New Techs'!O165</f>
        <v>2978.9011387743153</v>
      </c>
      <c r="V230" s="121">
        <f>'Key Inputs_New Techs'!P165</f>
        <v>2474.0996501058876</v>
      </c>
      <c r="W230" s="121">
        <f>'Key Inputs_New Techs'!Q165</f>
        <v>2541.2678963912417</v>
      </c>
      <c r="X230" s="121">
        <f>'Key Inputs_New Techs'!R165</f>
        <v>2454.4201485567155</v>
      </c>
      <c r="Y230" s="121">
        <f>'Key Inputs_New Techs'!S165</f>
        <v>2565.2856764395265</v>
      </c>
      <c r="Z230" s="121">
        <f>'Key Inputs_New Techs'!T165</f>
        <v>2992.0535194763279</v>
      </c>
      <c r="AA230" s="121">
        <f>'Key Inputs_New Techs'!U165</f>
        <v>2528.8442551993267</v>
      </c>
      <c r="AB230" s="121">
        <f>'Key Inputs_New Techs'!V165</f>
        <v>2571.104588156144</v>
      </c>
      <c r="AC230" s="121">
        <f>'Key Inputs_New Techs'!W165</f>
        <v>2551.1356089935866</v>
      </c>
      <c r="AD230" s="121">
        <f>'Key Inputs_New Techs'!X165</f>
        <v>3240.3415851903737</v>
      </c>
      <c r="AE230" s="121">
        <f>'Key Inputs_New Techs'!Y165</f>
        <v>2772.0910243086291</v>
      </c>
      <c r="AF230" s="121">
        <f>'Key Inputs_New Techs'!Z165</f>
        <v>2977.5270626865686</v>
      </c>
      <c r="AG230" s="121">
        <f>'Key Inputs_New Techs'!AA165</f>
        <v>2977.5270626865686</v>
      </c>
      <c r="AH230" s="121">
        <f>'Key Inputs_New Techs'!AB165</f>
        <v>2524.0990851236684</v>
      </c>
      <c r="AI230" s="121">
        <f>'Key Inputs_New Techs'!AC165</f>
        <v>2463.4070801514886</v>
      </c>
      <c r="AJ230" s="121">
        <f>'Key Inputs_New Techs'!AD165</f>
        <v>2895.9438741877161</v>
      </c>
      <c r="AK230" s="121">
        <f>'Key Inputs_New Techs'!AE165</f>
        <v>2528.8442551993267</v>
      </c>
      <c r="AL230" s="121">
        <f>'Key Inputs_New Techs'!AF165</f>
        <v>2723.2128205139602</v>
      </c>
      <c r="AM230" s="121">
        <f>'Key Inputs_New Techs'!AG165</f>
        <v>2598.6497239161108</v>
      </c>
      <c r="AN230" s="121">
        <f>'Key Inputs_New Techs'!AH165</f>
        <v>2627.2430672407745</v>
      </c>
      <c r="AO230" s="121">
        <f>'Key Inputs_New Techs'!AI165</f>
        <v>2427.1601965942741</v>
      </c>
      <c r="AP230" s="121">
        <f>'Key Inputs_New Techs'!AJ165</f>
        <v>2739.4373054247981</v>
      </c>
      <c r="AQ230" s="121">
        <f>'Key Inputs_New Techs'!AK165</f>
        <v>2907.2654769136475</v>
      </c>
      <c r="AR230" s="121">
        <f>'Key Inputs_New Techs'!AL165</f>
        <v>3148.3967134475179</v>
      </c>
    </row>
    <row r="231" spans="1:44" x14ac:dyDescent="0.25">
      <c r="A231" s="265"/>
      <c r="B231" s="265"/>
      <c r="C231" s="265"/>
      <c r="D231" s="265"/>
      <c r="E231" s="265"/>
      <c r="F231" s="265"/>
      <c r="G231" s="265"/>
      <c r="H231" s="265"/>
      <c r="I231" s="265"/>
      <c r="K231" s="201" t="str">
        <f>IF('Key Inputs_New Techs'!B166="","",'Key Inputs_New Techs'!B166)</f>
        <v/>
      </c>
      <c r="L231" s="109" t="str">
        <f>IFERROR(VLOOKUP(K$230,'Commodities &amp; Processes'!L:M,2,FALSE),"")</f>
        <v>RSD Thermal uses technology: Electricity Ground Heat Pump (Adv.) -New</v>
      </c>
      <c r="N231" s="109">
        <f>'Key Inputs_New Techs'!H166</f>
        <v>2050</v>
      </c>
      <c r="O231" s="206" t="s">
        <v>312</v>
      </c>
      <c r="P231" s="114" t="str">
        <f>'Key Inputs_New Techs'!J166</f>
        <v>USD/kW</v>
      </c>
      <c r="Q231" s="121">
        <f>'Key Inputs_New Techs'!K166</f>
        <v>1833.9207160344101</v>
      </c>
      <c r="R231" s="121">
        <f>'Key Inputs_New Techs'!L166</f>
        <v>1915.2355548821834</v>
      </c>
      <c r="S231" s="121">
        <f>'Key Inputs_New Techs'!M166</f>
        <v>1843.3522421392031</v>
      </c>
      <c r="T231" s="121">
        <f>'Key Inputs_New Techs'!N166</f>
        <v>1843.474498619375</v>
      </c>
      <c r="U231" s="121">
        <f>'Key Inputs_New Techs'!O166</f>
        <v>2262.3822279945562</v>
      </c>
      <c r="V231" s="121">
        <f>'Key Inputs_New Techs'!P166</f>
        <v>1879.001288706806</v>
      </c>
      <c r="W231" s="121">
        <f>'Key Inputs_New Techs'!Q166</f>
        <v>1930.0134705827279</v>
      </c>
      <c r="X231" s="121">
        <f>'Key Inputs_New Techs'!R166</f>
        <v>1864.055322900449</v>
      </c>
      <c r="Y231" s="121">
        <f>'Key Inputs_New Techs'!S166</f>
        <v>1948.2542231977943</v>
      </c>
      <c r="Z231" s="121">
        <f>'Key Inputs_New Techs'!T166</f>
        <v>2272.3710497009038</v>
      </c>
      <c r="AA231" s="121">
        <f>'Key Inputs_New Techs'!U166</f>
        <v>1920.5781037376455</v>
      </c>
      <c r="AB231" s="121">
        <f>'Key Inputs_New Techs'!V166</f>
        <v>1952.6735046175738</v>
      </c>
      <c r="AC231" s="121">
        <f>'Key Inputs_New Techs'!W166</f>
        <v>1937.5076896193787</v>
      </c>
      <c r="AD231" s="121">
        <f>'Key Inputs_New Techs'!X166</f>
        <v>2460.9380685868427</v>
      </c>
      <c r="AE231" s="121">
        <f>'Key Inputs_New Techs'!Y166</f>
        <v>2105.3164155556778</v>
      </c>
      <c r="AF231" s="121">
        <f>'Key Inputs_New Techs'!Z166</f>
        <v>2261.3386601901848</v>
      </c>
      <c r="AG231" s="121">
        <f>'Key Inputs_New Techs'!AA166</f>
        <v>2261.3386601901848</v>
      </c>
      <c r="AH231" s="121">
        <f>'Key Inputs_New Techs'!AB166</f>
        <v>1916.9742955050574</v>
      </c>
      <c r="AI231" s="121">
        <f>'Key Inputs_New Techs'!AC166</f>
        <v>1870.8806163147124</v>
      </c>
      <c r="AJ231" s="121">
        <f>'Key Inputs_New Techs'!AD166</f>
        <v>2199.3787806357809</v>
      </c>
      <c r="AK231" s="121">
        <f>'Key Inputs_New Techs'!AE166</f>
        <v>1920.5781037376455</v>
      </c>
      <c r="AL231" s="121">
        <f>'Key Inputs_New Techs'!AF166</f>
        <v>2068.1949487966785</v>
      </c>
      <c r="AM231" s="121">
        <f>'Key Inputs_New Techs'!AG166</f>
        <v>1973.5931735518327</v>
      </c>
      <c r="AN231" s="121">
        <f>'Key Inputs_New Techs'!AH166</f>
        <v>1995.3089233411265</v>
      </c>
      <c r="AO231" s="121">
        <f>'Key Inputs_New Techs'!AI166</f>
        <v>1843.3522421392031</v>
      </c>
      <c r="AP231" s="121">
        <f>'Key Inputs_New Techs'!AJ166</f>
        <v>2080.5169375471173</v>
      </c>
      <c r="AQ231" s="121">
        <f>'Key Inputs_New Techs'!AK166</f>
        <v>2207.9771837402559</v>
      </c>
      <c r="AR231" s="121">
        <f>'Key Inputs_New Techs'!AL166</f>
        <v>2391.10881474599</v>
      </c>
    </row>
    <row r="232" spans="1:44" x14ac:dyDescent="0.25">
      <c r="A232" s="265"/>
      <c r="B232" s="265"/>
      <c r="C232" s="265"/>
      <c r="D232" s="265"/>
      <c r="E232" s="265"/>
      <c r="F232" s="265"/>
      <c r="G232" s="265"/>
      <c r="H232" s="265"/>
      <c r="I232" s="265"/>
      <c r="K232" s="201" t="str">
        <f>IF('Key Inputs_New Techs'!B167="","",'Key Inputs_New Techs'!B167)</f>
        <v>R-THL-BLR_OIL01</v>
      </c>
      <c r="L232" s="109" t="str">
        <f>IFERROR(VLOOKUP(K232,'Commodities &amp; Processes'!L:M,2,FALSE),"")</f>
        <v>RSD Thermal uses technology: Oil, Liquid biofuels Boiler (Ord.) -New</v>
      </c>
      <c r="N232" s="109">
        <f>'Key Inputs_New Techs'!H167</f>
        <v>2020</v>
      </c>
      <c r="O232" s="206" t="s">
        <v>312</v>
      </c>
      <c r="P232" s="114" t="str">
        <f>'Key Inputs_New Techs'!J167</f>
        <v>USD/kW</v>
      </c>
      <c r="Q232" s="121">
        <f>'Key Inputs_New Techs'!K167</f>
        <v>167.02749332538187</v>
      </c>
      <c r="R232" s="121">
        <f>'Key Inputs_New Techs'!L167</f>
        <v>174.43338256811296</v>
      </c>
      <c r="S232" s="121">
        <f>'Key Inputs_New Techs'!M167</f>
        <v>167.88648583784058</v>
      </c>
      <c r="T232" s="121">
        <f>'Key Inputs_New Techs'!N167</f>
        <v>167.89762055770461</v>
      </c>
      <c r="U232" s="121">
        <f>'Key Inputs_New Techs'!O167</f>
        <v>206.05036476327859</v>
      </c>
      <c r="V232" s="121">
        <f>'Key Inputs_New Techs'!P167</f>
        <v>171.1332842602402</v>
      </c>
      <c r="W232" s="121">
        <f>'Key Inputs_New Techs'!Q167</f>
        <v>175.77930673727397</v>
      </c>
      <c r="X232" s="121">
        <f>'Key Inputs_New Techs'!R167</f>
        <v>169.77205463775098</v>
      </c>
      <c r="Y232" s="121">
        <f>'Key Inputs_New Techs'!S167</f>
        <v>177.44061475295035</v>
      </c>
      <c r="Z232" s="121">
        <f>'Key Inputs_New Techs'!T167</f>
        <v>206.96011393416592</v>
      </c>
      <c r="AA232" s="121">
        <f>'Key Inputs_New Techs'!U167</f>
        <v>174.91996442276687</v>
      </c>
      <c r="AB232" s="121">
        <f>'Key Inputs_New Techs'!V167</f>
        <v>177.8431084329614</v>
      </c>
      <c r="AC232" s="121">
        <f>'Key Inputs_New Techs'!W167</f>
        <v>176.46185566601383</v>
      </c>
      <c r="AD232" s="121">
        <f>'Key Inputs_New Techs'!X167</f>
        <v>224.13418051893282</v>
      </c>
      <c r="AE232" s="121">
        <f>'Key Inputs_New Techs'!Y167</f>
        <v>191.74532490555328</v>
      </c>
      <c r="AF232" s="121">
        <f>'Key Inputs_New Techs'!Z167</f>
        <v>205.95532002499999</v>
      </c>
      <c r="AG232" s="121">
        <f>'Key Inputs_New Techs'!AA167</f>
        <v>205.95532002499999</v>
      </c>
      <c r="AH232" s="121">
        <f>'Key Inputs_New Techs'!AB167</f>
        <v>174.591741370237</v>
      </c>
      <c r="AI232" s="121">
        <f>'Key Inputs_New Techs'!AC167</f>
        <v>170.39368001131663</v>
      </c>
      <c r="AJ232" s="121">
        <f>'Key Inputs_New Techs'!AD167</f>
        <v>200.31221709354236</v>
      </c>
      <c r="AK232" s="121">
        <f>'Key Inputs_New Techs'!AE167</f>
        <v>174.91996442276687</v>
      </c>
      <c r="AL232" s="121">
        <f>'Key Inputs_New Techs'!AF167</f>
        <v>188.36442327381621</v>
      </c>
      <c r="AM232" s="121">
        <f>'Key Inputs_New Techs'!AG167</f>
        <v>179.74840337441438</v>
      </c>
      <c r="AN232" s="121">
        <f>'Key Inputs_New Techs'!AH167</f>
        <v>181.72620275323925</v>
      </c>
      <c r="AO232" s="121">
        <f>'Key Inputs_New Techs'!AI167</f>
        <v>167.88648583784058</v>
      </c>
      <c r="AP232" s="121">
        <f>'Key Inputs_New Techs'!AJ167</f>
        <v>189.48666965871973</v>
      </c>
      <c r="AQ232" s="121">
        <f>'Key Inputs_New Techs'!AK167</f>
        <v>201.09533149133767</v>
      </c>
      <c r="AR232" s="121">
        <f>'Key Inputs_New Techs'!AL167</f>
        <v>217.77436074709459</v>
      </c>
    </row>
    <row r="233" spans="1:44" x14ac:dyDescent="0.25">
      <c r="K233" s="201" t="str">
        <f>IF('Key Inputs_New Techs'!B168="","",'Key Inputs_New Techs'!B168)</f>
        <v>R-THL-BLR_OIL02</v>
      </c>
      <c r="L233" s="109" t="str">
        <f>IFERROR(VLOOKUP(K233,'Commodities &amp; Processes'!L:M,2,FALSE),"")</f>
        <v>RSD Thermal uses technology: Oil, Liquid biofuels Boiler cond. (Ord.) -New</v>
      </c>
      <c r="N233" s="109">
        <f>'Key Inputs_New Techs'!H168</f>
        <v>2020</v>
      </c>
      <c r="O233" s="206" t="s">
        <v>312</v>
      </c>
      <c r="P233" s="114" t="str">
        <f>'Key Inputs_New Techs'!J168</f>
        <v>USD/kW</v>
      </c>
      <c r="Q233" s="121">
        <f>'Key Inputs_New Techs'!K168</f>
        <v>207.4545299264297</v>
      </c>
      <c r="R233" s="121">
        <f>'Key Inputs_New Techs'!L168</f>
        <v>216.65292739351611</v>
      </c>
      <c r="S233" s="121">
        <f>'Key Inputs_New Techs'!M168</f>
        <v>208.52143145464277</v>
      </c>
      <c r="T233" s="121">
        <f>'Key Inputs_New Techs'!N168</f>
        <v>208.53526120224458</v>
      </c>
      <c r="U233" s="121">
        <f>'Key Inputs_New Techs'!O168</f>
        <v>255.92242757222502</v>
      </c>
      <c r="V233" s="121">
        <f>'Key Inputs_New Techs'!P168</f>
        <v>212.55407917673148</v>
      </c>
      <c r="W233" s="121">
        <f>'Key Inputs_New Techs'!Q168</f>
        <v>218.32461664820653</v>
      </c>
      <c r="X233" s="121">
        <f>'Key Inputs_New Techs'!R168</f>
        <v>210.86337996408562</v>
      </c>
      <c r="Y233" s="121">
        <f>'Key Inputs_New Techs'!S168</f>
        <v>220.3880246931549</v>
      </c>
      <c r="Z233" s="121">
        <f>'Key Inputs_New Techs'!T168</f>
        <v>257.0523708099513</v>
      </c>
      <c r="AA233" s="121">
        <f>'Key Inputs_New Techs'!U168</f>
        <v>217.25728065248114</v>
      </c>
      <c r="AB233" s="121">
        <f>'Key Inputs_New Techs'!V168</f>
        <v>220.88793722565271</v>
      </c>
      <c r="AC233" s="121">
        <f>'Key Inputs_New Techs'!W168</f>
        <v>219.17236850237387</v>
      </c>
      <c r="AD233" s="121">
        <f>'Key Inputs_New Techs'!X168</f>
        <v>278.38321784198666</v>
      </c>
      <c r="AE233" s="121">
        <f>'Key Inputs_New Techs'!Y168</f>
        <v>238.15502137950884</v>
      </c>
      <c r="AF233" s="121">
        <f>'Key Inputs_New Techs'!Z168</f>
        <v>255.804378375</v>
      </c>
      <c r="AG233" s="121">
        <f>'Key Inputs_New Techs'!AA168</f>
        <v>255.804378375</v>
      </c>
      <c r="AH233" s="121">
        <f>'Key Inputs_New Techs'!AB168</f>
        <v>216.84961507768293</v>
      </c>
      <c r="AI233" s="121">
        <f>'Key Inputs_New Techs'!AC168</f>
        <v>211.63546243443784</v>
      </c>
      <c r="AJ233" s="121">
        <f>'Key Inputs_New Techs'!AD168</f>
        <v>248.79542887414496</v>
      </c>
      <c r="AK233" s="121">
        <f>'Key Inputs_New Techs'!AE168</f>
        <v>217.25728065248114</v>
      </c>
      <c r="AL233" s="121">
        <f>'Key Inputs_New Techs'!AF168</f>
        <v>233.95581234645965</v>
      </c>
      <c r="AM233" s="121">
        <f>'Key Inputs_New Techs'!AG168</f>
        <v>223.2543863567567</v>
      </c>
      <c r="AN233" s="121">
        <f>'Key Inputs_New Techs'!AH168</f>
        <v>225.71088876994685</v>
      </c>
      <c r="AO233" s="121">
        <f>'Key Inputs_New Techs'!AI168</f>
        <v>208.52143145464277</v>
      </c>
      <c r="AP233" s="121">
        <f>'Key Inputs_New Techs'!AJ168</f>
        <v>235.34968524490668</v>
      </c>
      <c r="AQ233" s="121">
        <f>'Key Inputs_New Techs'!AK168</f>
        <v>249.76808688414553</v>
      </c>
      <c r="AR233" s="121">
        <f>'Key Inputs_New Techs'!AL168</f>
        <v>270.48407863492639</v>
      </c>
    </row>
    <row r="234" spans="1:44" x14ac:dyDescent="0.25">
      <c r="K234" s="201" t="str">
        <f>IF('Key Inputs_New Techs'!B169="","",'Key Inputs_New Techs'!B169)</f>
        <v>R-THL-BLR_OIL03</v>
      </c>
      <c r="L234" s="109" t="str">
        <f>IFERROR(VLOOKUP(K$234,'Commodities &amp; Processes'!L:M,2,FALSE),"")</f>
        <v>RSD Thermal uses technology: Oil, Liquid biofuels Boiler cond. (Imp.) -New</v>
      </c>
      <c r="N234" s="109">
        <f>'Key Inputs_New Techs'!H169</f>
        <v>2030</v>
      </c>
      <c r="O234" s="206" t="s">
        <v>312</v>
      </c>
      <c r="P234" s="114" t="str">
        <f>'Key Inputs_New Techs'!J169</f>
        <v>USD/kW</v>
      </c>
      <c r="Q234" s="121">
        <f>'Key Inputs_New Techs'!K169</f>
        <v>238.18242391622894</v>
      </c>
      <c r="R234" s="121">
        <f>'Key Inputs_New Techs'!L169</f>
        <v>248.74327600093639</v>
      </c>
      <c r="S234" s="121">
        <f>'Key Inputs_New Techs'!M169</f>
        <v>239.40735350518432</v>
      </c>
      <c r="T234" s="121">
        <f>'Key Inputs_New Techs'!N169</f>
        <v>239.42323169693614</v>
      </c>
      <c r="U234" s="121">
        <f>'Key Inputs_New Techs'!O169</f>
        <v>293.82932325119731</v>
      </c>
      <c r="V234" s="121">
        <f>'Key Inputs_New Techs'!P169</f>
        <v>244.03731174031168</v>
      </c>
      <c r="W234" s="121">
        <f>'Key Inputs_New Techs'!Q169</f>
        <v>250.66257368442436</v>
      </c>
      <c r="X234" s="121">
        <f>'Key Inputs_New Techs'!R169</f>
        <v>242.09618836872727</v>
      </c>
      <c r="Y234" s="121">
        <f>'Key Inputs_New Techs'!S169</f>
        <v>253.03161103370923</v>
      </c>
      <c r="Z234" s="121">
        <f>'Key Inputs_New Techs'!T169</f>
        <v>295.12663220533216</v>
      </c>
      <c r="AA234" s="121">
        <f>'Key Inputs_New Techs'!U169</f>
        <v>249.4371452751962</v>
      </c>
      <c r="AB234" s="121">
        <f>'Key Inputs_New Techs'!V169</f>
        <v>253.60556995752088</v>
      </c>
      <c r="AC234" s="121">
        <f>'Key Inputs_New Techs'!W169</f>
        <v>251.63589343587378</v>
      </c>
      <c r="AD234" s="121">
        <f>'Key Inputs_New Techs'!X169</f>
        <v>319.61697643680418</v>
      </c>
      <c r="AE234" s="121">
        <f>'Key Inputs_New Techs'!Y169</f>
        <v>273.43023206149837</v>
      </c>
      <c r="AF234" s="121">
        <f>'Key Inputs_New Techs'!Z169</f>
        <v>293.69378876107845</v>
      </c>
      <c r="AG234" s="121">
        <f>'Key Inputs_New Techs'!AA169</f>
        <v>293.69378876107845</v>
      </c>
      <c r="AH234" s="121">
        <f>'Key Inputs_New Techs'!AB169</f>
        <v>248.96909680796304</v>
      </c>
      <c r="AI234" s="121">
        <f>'Key Inputs_New Techs'!AC169</f>
        <v>242.98263068607238</v>
      </c>
      <c r="AJ234" s="121">
        <f>'Key Inputs_New Techs'!AD169</f>
        <v>285.64668281544243</v>
      </c>
      <c r="AK234" s="121">
        <f>'Key Inputs_New Techs'!AE169</f>
        <v>249.4371452751962</v>
      </c>
      <c r="AL234" s="121">
        <f>'Key Inputs_New Techs'!AF169</f>
        <v>268.60904167159811</v>
      </c>
      <c r="AM234" s="121">
        <f>'Key Inputs_New Techs'!AG169</f>
        <v>256.32253444280201</v>
      </c>
      <c r="AN234" s="121">
        <f>'Key Inputs_New Techs'!AH169</f>
        <v>259.14289078468181</v>
      </c>
      <c r="AO234" s="121">
        <f>'Key Inputs_New Techs'!AI169</f>
        <v>239.40735350518432</v>
      </c>
      <c r="AP234" s="121">
        <f>'Key Inputs_New Techs'!AJ169</f>
        <v>270.20937320304739</v>
      </c>
      <c r="AQ234" s="121">
        <f>'Key Inputs_New Techs'!AK169</f>
        <v>286.76340965937123</v>
      </c>
      <c r="AR234" s="121">
        <f>'Key Inputs_New Techs'!AL169</f>
        <v>310.54782704847048</v>
      </c>
    </row>
    <row r="235" spans="1:44" x14ac:dyDescent="0.25">
      <c r="K235" s="201" t="str">
        <f>IF('Key Inputs_New Techs'!B170="","",'Key Inputs_New Techs'!B170)</f>
        <v/>
      </c>
      <c r="L235" s="109" t="str">
        <f>IFERROR(VLOOKUP(K$234,'Commodities &amp; Processes'!L:M,2,FALSE),"")</f>
        <v>RSD Thermal uses technology: Oil, Liquid biofuels Boiler cond. (Imp.) -New</v>
      </c>
      <c r="N235" s="109">
        <f>'Key Inputs_New Techs'!H170</f>
        <v>2050</v>
      </c>
      <c r="O235" s="206" t="s">
        <v>312</v>
      </c>
      <c r="P235" s="114" t="str">
        <f>'Key Inputs_New Techs'!J170</f>
        <v>USD/kW</v>
      </c>
      <c r="Q235" s="121">
        <f>'Key Inputs_New Techs'!K170</f>
        <v>223.41257069000122</v>
      </c>
      <c r="R235" s="121">
        <f>'Key Inputs_New Techs'!L170</f>
        <v>233.31853719301736</v>
      </c>
      <c r="S235" s="121">
        <f>'Key Inputs_New Techs'!M170</f>
        <v>224.56154156653835</v>
      </c>
      <c r="T235" s="121">
        <f>'Key Inputs_New Techs'!N170</f>
        <v>224.5764351408788</v>
      </c>
      <c r="U235" s="121">
        <f>'Key Inputs_New Techs'!O170</f>
        <v>275.60876815470391</v>
      </c>
      <c r="V235" s="121">
        <f>'Key Inputs_New Techs'!P170</f>
        <v>228.90439295955699</v>
      </c>
      <c r="W235" s="121">
        <f>'Key Inputs_New Techs'!Q170</f>
        <v>235.11881792883781</v>
      </c>
      <c r="X235" s="121">
        <f>'Key Inputs_New Techs'!R170</f>
        <v>227.08363996132297</v>
      </c>
      <c r="Y235" s="121">
        <f>'Key Inputs_New Techs'!S170</f>
        <v>237.34094966955143</v>
      </c>
      <c r="Z235" s="121">
        <f>'Key Inputs_New Techs'!T170</f>
        <v>276.82563010302448</v>
      </c>
      <c r="AA235" s="121">
        <f>'Key Inputs_New Techs'!U170</f>
        <v>233.96937916421047</v>
      </c>
      <c r="AB235" s="121">
        <f>'Key Inputs_New Techs'!V170</f>
        <v>237.87931701224139</v>
      </c>
      <c r="AC235" s="121">
        <f>'Key Inputs_New Techs'!W170</f>
        <v>236.03178146409493</v>
      </c>
      <c r="AD235" s="121">
        <f>'Key Inputs_New Techs'!X170</f>
        <v>299.79731152213947</v>
      </c>
      <c r="AE235" s="121">
        <f>'Key Inputs_New Techs'!Y170</f>
        <v>256.47463840870182</v>
      </c>
      <c r="AF235" s="121">
        <f>'Key Inputs_New Techs'!Z170</f>
        <v>275.48163825</v>
      </c>
      <c r="AG235" s="121">
        <f>'Key Inputs_New Techs'!AA170</f>
        <v>275.48163825</v>
      </c>
      <c r="AH235" s="121">
        <f>'Key Inputs_New Techs'!AB170</f>
        <v>233.53035469904313</v>
      </c>
      <c r="AI235" s="121">
        <f>'Key Inputs_New Techs'!AC170</f>
        <v>227.91511339093307</v>
      </c>
      <c r="AJ235" s="121">
        <f>'Key Inputs_New Techs'!AD170</f>
        <v>267.93353878754073</v>
      </c>
      <c r="AK235" s="121">
        <f>'Key Inputs_New Techs'!AE170</f>
        <v>233.96937916421047</v>
      </c>
      <c r="AL235" s="121">
        <f>'Key Inputs_New Techs'!AF170</f>
        <v>251.95241329618733</v>
      </c>
      <c r="AM235" s="121">
        <f>'Key Inputs_New Techs'!AG170</f>
        <v>240.42780069189183</v>
      </c>
      <c r="AN235" s="121">
        <f>'Key Inputs_New Techs'!AH170</f>
        <v>243.07326482917352</v>
      </c>
      <c r="AO235" s="121">
        <f>'Key Inputs_New Techs'!AI170</f>
        <v>224.56154156653835</v>
      </c>
      <c r="AP235" s="121">
        <f>'Key Inputs_New Techs'!AJ170</f>
        <v>253.45350718682261</v>
      </c>
      <c r="AQ235" s="121">
        <f>'Key Inputs_New Techs'!AK170</f>
        <v>268.98101664446443</v>
      </c>
      <c r="AR235" s="121">
        <f>'Key Inputs_New Techs'!AL170</f>
        <v>291.29054622222844</v>
      </c>
    </row>
    <row r="236" spans="1:44" x14ac:dyDescent="0.25">
      <c r="K236" s="201" t="str">
        <f>IF('Key Inputs_New Techs'!B171="","",'Key Inputs_New Techs'!B171)</f>
        <v>R-THL-BLR_LPG01</v>
      </c>
      <c r="L236" s="109" t="str">
        <f>IFERROR(VLOOKUP(K$234,'Commodities &amp; Processes'!L:M,2,FALSE),"")</f>
        <v>RSD Thermal uses technology: Oil, Liquid biofuels Boiler cond. (Imp.) -New</v>
      </c>
      <c r="N236" s="109">
        <f>'Key Inputs_New Techs'!H171</f>
        <v>2020</v>
      </c>
      <c r="O236" s="206" t="s">
        <v>312</v>
      </c>
      <c r="P236" s="114" t="str">
        <f>'Key Inputs_New Techs'!J171</f>
        <v>USD/kW</v>
      </c>
      <c r="Q236" s="121">
        <f>'Key Inputs_New Techs'!K171</f>
        <v>167.02749332538187</v>
      </c>
      <c r="R236" s="121">
        <f>'Key Inputs_New Techs'!L171</f>
        <v>174.43338256811296</v>
      </c>
      <c r="S236" s="121">
        <f>'Key Inputs_New Techs'!M171</f>
        <v>167.88648583784058</v>
      </c>
      <c r="T236" s="121">
        <f>'Key Inputs_New Techs'!N171</f>
        <v>167.89762055770461</v>
      </c>
      <c r="U236" s="121">
        <f>'Key Inputs_New Techs'!O171</f>
        <v>206.05036476327859</v>
      </c>
      <c r="V236" s="121">
        <f>'Key Inputs_New Techs'!P171</f>
        <v>171.1332842602402</v>
      </c>
      <c r="W236" s="121">
        <f>'Key Inputs_New Techs'!Q171</f>
        <v>175.77930673727397</v>
      </c>
      <c r="X236" s="121">
        <f>'Key Inputs_New Techs'!R171</f>
        <v>169.77205463775098</v>
      </c>
      <c r="Y236" s="121">
        <f>'Key Inputs_New Techs'!S171</f>
        <v>177.44061475295035</v>
      </c>
      <c r="Z236" s="121">
        <f>'Key Inputs_New Techs'!T171</f>
        <v>206.96011393416592</v>
      </c>
      <c r="AA236" s="121">
        <f>'Key Inputs_New Techs'!U171</f>
        <v>174.91996442276687</v>
      </c>
      <c r="AB236" s="121">
        <f>'Key Inputs_New Techs'!V171</f>
        <v>177.8431084329614</v>
      </c>
      <c r="AC236" s="121">
        <f>'Key Inputs_New Techs'!W171</f>
        <v>176.46185566601383</v>
      </c>
      <c r="AD236" s="121">
        <f>'Key Inputs_New Techs'!X171</f>
        <v>224.13418051893282</v>
      </c>
      <c r="AE236" s="121">
        <f>'Key Inputs_New Techs'!Y171</f>
        <v>191.74532490555328</v>
      </c>
      <c r="AF236" s="121">
        <f>'Key Inputs_New Techs'!Z171</f>
        <v>205.95532002499999</v>
      </c>
      <c r="AG236" s="121">
        <f>'Key Inputs_New Techs'!AA171</f>
        <v>205.95532002499999</v>
      </c>
      <c r="AH236" s="121">
        <f>'Key Inputs_New Techs'!AB171</f>
        <v>174.591741370237</v>
      </c>
      <c r="AI236" s="121">
        <f>'Key Inputs_New Techs'!AC171</f>
        <v>170.39368001131663</v>
      </c>
      <c r="AJ236" s="121">
        <f>'Key Inputs_New Techs'!AD171</f>
        <v>200.31221709354236</v>
      </c>
      <c r="AK236" s="121">
        <f>'Key Inputs_New Techs'!AE171</f>
        <v>174.91996442276687</v>
      </c>
      <c r="AL236" s="121">
        <f>'Key Inputs_New Techs'!AF171</f>
        <v>188.36442327381621</v>
      </c>
      <c r="AM236" s="121">
        <f>'Key Inputs_New Techs'!AG171</f>
        <v>179.74840337441438</v>
      </c>
      <c r="AN236" s="121">
        <f>'Key Inputs_New Techs'!AH171</f>
        <v>181.72620275323925</v>
      </c>
      <c r="AO236" s="121">
        <f>'Key Inputs_New Techs'!AI171</f>
        <v>167.88648583784058</v>
      </c>
      <c r="AP236" s="121">
        <f>'Key Inputs_New Techs'!AJ171</f>
        <v>189.48666965871973</v>
      </c>
      <c r="AQ236" s="121">
        <f>'Key Inputs_New Techs'!AK171</f>
        <v>201.09533149133767</v>
      </c>
      <c r="AR236" s="121">
        <f>'Key Inputs_New Techs'!AL171</f>
        <v>217.77436074709459</v>
      </c>
    </row>
    <row r="237" spans="1:44" x14ac:dyDescent="0.25">
      <c r="K237" s="201" t="str">
        <f>IF('Key Inputs_New Techs'!B172="","",'Key Inputs_New Techs'!B172)</f>
        <v>R-THL-HEX_SOL01</v>
      </c>
      <c r="L237" s="109" t="str">
        <f>IFERROR(VLOOKUP(K$237,'Commodities &amp; Processes'!L:M,2,FALSE),"")</f>
        <v>RSD Thermal uses technology: Solar Thermal (Ord.) -New</v>
      </c>
      <c r="N237" s="109">
        <f>'Key Inputs_New Techs'!H172</f>
        <v>2020</v>
      </c>
      <c r="O237" s="206" t="s">
        <v>312</v>
      </c>
      <c r="P237" s="114" t="str">
        <f>'Key Inputs_New Techs'!J172</f>
        <v>USD/kW</v>
      </c>
      <c r="Q237" s="121">
        <f>'Key Inputs_New Techs'!K172</f>
        <v>1292.5515883266651</v>
      </c>
      <c r="R237" s="121">
        <f>'Key Inputs_New Techs'!L172</f>
        <v>1349.8624759720633</v>
      </c>
      <c r="S237" s="121">
        <f>'Key Inputs_New Techs'!M172</f>
        <v>1299.1989498731639</v>
      </c>
      <c r="T237" s="121">
        <f>'Key Inputs_New Techs'!N172</f>
        <v>1299.2851165248887</v>
      </c>
      <c r="U237" s="121">
        <f>'Key Inputs_New Techs'!O172</f>
        <v>1594.5322590169785</v>
      </c>
      <c r="V237" s="121">
        <f>'Key Inputs_New Techs'!P172</f>
        <v>1324.3244808519098</v>
      </c>
      <c r="W237" s="121">
        <f>'Key Inputs_New Techs'!Q172</f>
        <v>1360.2779853470813</v>
      </c>
      <c r="X237" s="121">
        <f>'Key Inputs_New Techs'!R172</f>
        <v>1313.7905293712502</v>
      </c>
      <c r="Y237" s="121">
        <f>'Key Inputs_New Techs'!S172</f>
        <v>1373.1341102377255</v>
      </c>
      <c r="Z237" s="121">
        <f>'Key Inputs_New Techs'!T172</f>
        <v>1601.57240380032</v>
      </c>
      <c r="AA237" s="121">
        <f>'Key Inputs_New Techs'!U172</f>
        <v>1353.627916837889</v>
      </c>
      <c r="AB237" s="121">
        <f>'Key Inputs_New Techs'!V172</f>
        <v>1376.2488300663722</v>
      </c>
      <c r="AC237" s="121">
        <f>'Key Inputs_New Techs'!W172</f>
        <v>1365.5599283637002</v>
      </c>
      <c r="AD237" s="121">
        <f>'Key Inputs_New Techs'!X172</f>
        <v>1734.4748775201663</v>
      </c>
      <c r="AE237" s="121">
        <f>'Key Inputs_New Techs'!Y172</f>
        <v>1483.8319089065974</v>
      </c>
      <c r="AF237" s="121">
        <f>'Key Inputs_New Techs'!Z172</f>
        <v>1593.7967500000002</v>
      </c>
      <c r="AG237" s="121">
        <f>'Key Inputs_New Techs'!AA172</f>
        <v>1593.7967500000002</v>
      </c>
      <c r="AH237" s="121">
        <f>'Key Inputs_New Techs'!AB172</f>
        <v>1351.0879444092395</v>
      </c>
      <c r="AI237" s="121">
        <f>'Key Inputs_New Techs'!AC172</f>
        <v>1318.6010120525725</v>
      </c>
      <c r="AJ237" s="121">
        <f>'Key Inputs_New Techs'!AD172</f>
        <v>1550.1272827049534</v>
      </c>
      <c r="AK237" s="121">
        <f>'Key Inputs_New Techs'!AE172</f>
        <v>1353.627916837889</v>
      </c>
      <c r="AL237" s="121">
        <f>'Key Inputs_New Techs'!AF172</f>
        <v>1457.6686127505277</v>
      </c>
      <c r="AM237" s="121">
        <f>'Key Inputs_New Techs'!AG172</f>
        <v>1390.9930614128145</v>
      </c>
      <c r="AN237" s="121">
        <f>'Key Inputs_New Techs'!AH172</f>
        <v>1406.2983723984228</v>
      </c>
      <c r="AO237" s="121">
        <f>'Key Inputs_New Techs'!AI172</f>
        <v>1299.1989498731639</v>
      </c>
      <c r="AP237" s="121">
        <f>'Key Inputs_New Techs'!AJ172</f>
        <v>1466.3531790959921</v>
      </c>
      <c r="AQ237" s="121">
        <f>'Key Inputs_New Techs'!AK172</f>
        <v>1556.1874572220906</v>
      </c>
      <c r="AR237" s="121">
        <f>'Key Inputs_New Techs'!AL172</f>
        <v>1685.2590569154295</v>
      </c>
    </row>
    <row r="238" spans="1:44" x14ac:dyDescent="0.25">
      <c r="K238" s="201" t="str">
        <f>IF('Key Inputs_New Techs'!B173="","",'Key Inputs_New Techs'!B173)</f>
        <v/>
      </c>
      <c r="L238" s="109" t="str">
        <f>IFERROR(VLOOKUP(K$237,'Commodities &amp; Processes'!L:M,2,FALSE),"")</f>
        <v>RSD Thermal uses technology: Solar Thermal (Ord.) -New</v>
      </c>
      <c r="N238" s="109">
        <f>'Key Inputs_New Techs'!H173</f>
        <v>2030</v>
      </c>
      <c r="O238" s="206" t="s">
        <v>312</v>
      </c>
      <c r="P238" s="114" t="str">
        <f>'Key Inputs_New Techs'!J173</f>
        <v>USD/kW</v>
      </c>
      <c r="Q238" s="121">
        <f>'Key Inputs_New Techs'!K173</f>
        <v>1429.6403931491902</v>
      </c>
      <c r="R238" s="121">
        <f>'Key Inputs_New Techs'!L173</f>
        <v>1493.0297082721306</v>
      </c>
      <c r="S238" s="121">
        <f>'Key Inputs_New Techs'!M173</f>
        <v>1436.9927778900146</v>
      </c>
      <c r="T238" s="121">
        <f>'Key Inputs_New Techs'!N173</f>
        <v>1437.0880834290435</v>
      </c>
      <c r="U238" s="121">
        <f>'Key Inputs_New Techs'!O173</f>
        <v>1763.6493167915069</v>
      </c>
      <c r="V238" s="121">
        <f>'Key Inputs_New Techs'!P173</f>
        <v>1464.7831379119609</v>
      </c>
      <c r="W238" s="121">
        <f>'Key Inputs_New Techs'!Q173</f>
        <v>1504.5498928838933</v>
      </c>
      <c r="X238" s="121">
        <f>'Key Inputs_New Techs'!R173</f>
        <v>1453.1319491530496</v>
      </c>
      <c r="Y238" s="121">
        <f>'Key Inputs_New Techs'!S173</f>
        <v>1518.7695461720298</v>
      </c>
      <c r="Z238" s="121">
        <f>'Key Inputs_New Techs'!T173</f>
        <v>1771.4361435973237</v>
      </c>
      <c r="AA238" s="121">
        <f>'Key Inputs_New Techs'!U173</f>
        <v>1497.1945140782711</v>
      </c>
      <c r="AB238" s="121">
        <f>'Key Inputs_New Techs'!V173</f>
        <v>1522.2146150734118</v>
      </c>
      <c r="AC238" s="121">
        <f>'Key Inputs_New Techs'!W173</f>
        <v>1510.3920419780322</v>
      </c>
      <c r="AD238" s="121">
        <f>'Key Inputs_New Techs'!X173</f>
        <v>1918.4343342268508</v>
      </c>
      <c r="AE238" s="121">
        <f>'Key Inputs_New Techs'!Y173</f>
        <v>1641.2080204572972</v>
      </c>
      <c r="AF238" s="121">
        <f>'Key Inputs_New Techs'!Z173</f>
        <v>1762.8357992424246</v>
      </c>
      <c r="AG238" s="121">
        <f>'Key Inputs_New Techs'!AA173</f>
        <v>1762.8357992424246</v>
      </c>
      <c r="AH238" s="121">
        <f>'Key Inputs_New Techs'!AB173</f>
        <v>1494.385150634462</v>
      </c>
      <c r="AI238" s="121">
        <f>'Key Inputs_New Techs'!AC173</f>
        <v>1458.452634542997</v>
      </c>
      <c r="AJ238" s="121">
        <f>'Key Inputs_New Techs'!AD173</f>
        <v>1714.5347217797212</v>
      </c>
      <c r="AK238" s="121">
        <f>'Key Inputs_New Techs'!AE173</f>
        <v>1497.1945140782711</v>
      </c>
      <c r="AL238" s="121">
        <f>'Key Inputs_New Techs'!AF173</f>
        <v>1612.2698292543716</v>
      </c>
      <c r="AM238" s="121">
        <f>'Key Inputs_New Techs'!AG173</f>
        <v>1538.5226285323556</v>
      </c>
      <c r="AN238" s="121">
        <f>'Key Inputs_New Techs'!AH173</f>
        <v>1555.4512300770436</v>
      </c>
      <c r="AO238" s="121">
        <f>'Key Inputs_New Techs'!AI173</f>
        <v>1436.9927778900146</v>
      </c>
      <c r="AP238" s="121">
        <f>'Key Inputs_New Techs'!AJ173</f>
        <v>1621.8754859698095</v>
      </c>
      <c r="AQ238" s="121">
        <f>'Key Inputs_New Techs'!AK173</f>
        <v>1721.2376420789792</v>
      </c>
      <c r="AR238" s="121">
        <f>'Key Inputs_New Techs'!AL173</f>
        <v>1863.9986538610056</v>
      </c>
    </row>
    <row r="239" spans="1:44" x14ac:dyDescent="0.25">
      <c r="K239" s="201" t="str">
        <f>IF('Key Inputs_New Techs'!B174="","",'Key Inputs_New Techs'!B174)</f>
        <v/>
      </c>
      <c r="L239" s="109" t="str">
        <f>IFERROR(VLOOKUP(K$237,'Commodities &amp; Processes'!L:M,2,FALSE),"")</f>
        <v>RSD Thermal uses technology: Solar Thermal (Ord.) -New</v>
      </c>
      <c r="N239" s="109">
        <f>'Key Inputs_New Techs'!H174</f>
        <v>2050</v>
      </c>
      <c r="O239" s="206" t="s">
        <v>312</v>
      </c>
      <c r="P239" s="114" t="str">
        <f>'Key Inputs_New Techs'!J174</f>
        <v>USD/kW</v>
      </c>
      <c r="Q239" s="121">
        <f>'Key Inputs_New Techs'!K174</f>
        <v>1116.7645723142386</v>
      </c>
      <c r="R239" s="121">
        <f>'Key Inputs_New Techs'!L174</f>
        <v>1166.2811792398627</v>
      </c>
      <c r="S239" s="121">
        <f>'Key Inputs_New Techs'!M174</f>
        <v>1122.5078926904137</v>
      </c>
      <c r="T239" s="121">
        <f>'Key Inputs_New Techs'!N174</f>
        <v>1122.5823406775039</v>
      </c>
      <c r="U239" s="121">
        <f>'Key Inputs_New Techs'!O174</f>
        <v>1377.6758717906696</v>
      </c>
      <c r="V239" s="121">
        <f>'Key Inputs_New Techs'!P174</f>
        <v>1144.2163514560502</v>
      </c>
      <c r="W239" s="121">
        <f>'Key Inputs_New Techs'!Q174</f>
        <v>1175.2801793398785</v>
      </c>
      <c r="X239" s="121">
        <f>'Key Inputs_New Techs'!R174</f>
        <v>1135.1150173767603</v>
      </c>
      <c r="Y239" s="121">
        <f>'Key Inputs_New Techs'!S174</f>
        <v>1186.387871245395</v>
      </c>
      <c r="Z239" s="121">
        <f>'Key Inputs_New Techs'!T174</f>
        <v>1383.7585568834766</v>
      </c>
      <c r="AA239" s="121">
        <f>'Key Inputs_New Techs'!U174</f>
        <v>1169.5345201479361</v>
      </c>
      <c r="AB239" s="121">
        <f>'Key Inputs_New Techs'!V174</f>
        <v>1189.0789891773456</v>
      </c>
      <c r="AC239" s="121">
        <f>'Key Inputs_New Techs'!W174</f>
        <v>1179.8437781062371</v>
      </c>
      <c r="AD239" s="121">
        <f>'Key Inputs_New Techs'!X174</f>
        <v>1498.5862941774237</v>
      </c>
      <c r="AE239" s="121">
        <f>'Key Inputs_New Techs'!Y174</f>
        <v>1282.0307692953002</v>
      </c>
      <c r="AF239" s="121">
        <f>'Key Inputs_New Techs'!Z174</f>
        <v>1377.0403920000003</v>
      </c>
      <c r="AG239" s="121">
        <f>'Key Inputs_New Techs'!AA174</f>
        <v>1377.0403920000003</v>
      </c>
      <c r="AH239" s="121">
        <f>'Key Inputs_New Techs'!AB174</f>
        <v>1167.339983969583</v>
      </c>
      <c r="AI239" s="121">
        <f>'Key Inputs_New Techs'!AC174</f>
        <v>1139.2712744134228</v>
      </c>
      <c r="AJ239" s="121">
        <f>'Key Inputs_New Techs'!AD174</f>
        <v>1339.3099722570798</v>
      </c>
      <c r="AK239" s="121">
        <f>'Key Inputs_New Techs'!AE174</f>
        <v>1169.5345201479361</v>
      </c>
      <c r="AL239" s="121">
        <f>'Key Inputs_New Techs'!AF174</f>
        <v>1259.425681416456</v>
      </c>
      <c r="AM239" s="121">
        <f>'Key Inputs_New Techs'!AG174</f>
        <v>1201.818005060672</v>
      </c>
      <c r="AN239" s="121">
        <f>'Key Inputs_New Techs'!AH174</f>
        <v>1215.0417937522375</v>
      </c>
      <c r="AO239" s="121">
        <f>'Key Inputs_New Techs'!AI174</f>
        <v>1122.5078926904137</v>
      </c>
      <c r="AP239" s="121">
        <f>'Key Inputs_New Techs'!AJ174</f>
        <v>1266.9291467389373</v>
      </c>
      <c r="AQ239" s="121">
        <f>'Key Inputs_New Techs'!AK174</f>
        <v>1344.5459630398866</v>
      </c>
      <c r="AR239" s="121">
        <f>'Key Inputs_New Techs'!AL174</f>
        <v>1456.0638251749313</v>
      </c>
    </row>
    <row r="240" spans="1:44" x14ac:dyDescent="0.25">
      <c r="K240" s="201" t="str">
        <f>IF('Key Inputs_New Techs'!B175="","",'Key Inputs_New Techs'!B175)</f>
        <v>R-ACL_ELC01</v>
      </c>
      <c r="L240" s="109" t="str">
        <f>IFERROR(VLOOKUP(K240,'Commodities &amp; Processes'!L:M,2,FALSE),"")</f>
        <v>RSD Air conditioning technology: Electricity Air conditioning (Ord.) -New</v>
      </c>
      <c r="N240" s="109">
        <f>'Key Inputs_New Techs'!H175</f>
        <v>2020</v>
      </c>
      <c r="O240" s="206" t="s">
        <v>312</v>
      </c>
      <c r="P240" s="114" t="str">
        <f>'Key Inputs_New Techs'!J175</f>
        <v>USD/kW</v>
      </c>
      <c r="Q240" s="121">
        <f>'Key Inputs_New Techs'!K175</f>
        <v>201.63804777895976</v>
      </c>
      <c r="R240" s="121">
        <f>'Key Inputs_New Techs'!L175</f>
        <v>210.57854625164185</v>
      </c>
      <c r="S240" s="121">
        <f>'Key Inputs_New Techs'!M175</f>
        <v>202.67503618021354</v>
      </c>
      <c r="T240" s="121">
        <f>'Key Inputs_New Techs'!N175</f>
        <v>202.68847817788262</v>
      </c>
      <c r="U240" s="121">
        <f>'Key Inputs_New Techs'!O175</f>
        <v>248.74703240664866</v>
      </c>
      <c r="V240" s="121">
        <f>'Key Inputs_New Techs'!P175</f>
        <v>206.59461901289791</v>
      </c>
      <c r="W240" s="121">
        <f>'Key Inputs_New Techs'!Q175</f>
        <v>212.2033657141447</v>
      </c>
      <c r="X240" s="121">
        <f>'Key Inputs_New Techs'!R175</f>
        <v>204.95132258191504</v>
      </c>
      <c r="Y240" s="121">
        <f>'Key Inputs_New Techs'!S175</f>
        <v>214.20892119708517</v>
      </c>
      <c r="Z240" s="121">
        <f>'Key Inputs_New Techs'!T175</f>
        <v>249.84529499284992</v>
      </c>
      <c r="AA240" s="121">
        <f>'Key Inputs_New Techs'!U175</f>
        <v>211.16595502671066</v>
      </c>
      <c r="AB240" s="121">
        <f>'Key Inputs_New Techs'!V175</f>
        <v>214.69481749035407</v>
      </c>
      <c r="AC240" s="121">
        <f>'Key Inputs_New Techs'!W175</f>
        <v>213.02734882473723</v>
      </c>
      <c r="AD240" s="121">
        <f>'Key Inputs_New Techs'!X175</f>
        <v>270.57808089314591</v>
      </c>
      <c r="AE240" s="121">
        <f>'Key Inputs_New Techs'!Y175</f>
        <v>231.47777778942918</v>
      </c>
      <c r="AF240" s="121">
        <f>'Key Inputs_New Techs'!Z175</f>
        <v>248.63229300000003</v>
      </c>
      <c r="AG240" s="121">
        <f>'Key Inputs_New Techs'!AA175</f>
        <v>248.63229300000003</v>
      </c>
      <c r="AH240" s="121">
        <f>'Key Inputs_New Techs'!AB175</f>
        <v>210.76971932784136</v>
      </c>
      <c r="AI240" s="121">
        <f>'Key Inputs_New Techs'!AC175</f>
        <v>205.70175788020131</v>
      </c>
      <c r="AJ240" s="121">
        <f>'Key Inputs_New Techs'!AD175</f>
        <v>241.8198561019727</v>
      </c>
      <c r="AK240" s="121">
        <f>'Key Inputs_New Techs'!AE175</f>
        <v>211.16595502671066</v>
      </c>
      <c r="AL240" s="121">
        <f>'Key Inputs_New Techs'!AF175</f>
        <v>227.39630358908229</v>
      </c>
      <c r="AM240" s="121">
        <f>'Key Inputs_New Techs'!AG175</f>
        <v>216.99491758039906</v>
      </c>
      <c r="AN240" s="121">
        <f>'Key Inputs_New Techs'!AH175</f>
        <v>219.38254609415398</v>
      </c>
      <c r="AO240" s="121">
        <f>'Key Inputs_New Techs'!AI175</f>
        <v>202.67503618021354</v>
      </c>
      <c r="AP240" s="121">
        <f>'Key Inputs_New Techs'!AJ175</f>
        <v>228.75109593897477</v>
      </c>
      <c r="AQ240" s="121">
        <f>'Key Inputs_New Techs'!AK175</f>
        <v>242.76524332664616</v>
      </c>
      <c r="AR240" s="121">
        <f>'Key Inputs_New Techs'!AL175</f>
        <v>262.900412878807</v>
      </c>
    </row>
    <row r="241" spans="11:44" x14ac:dyDescent="0.25">
      <c r="K241" s="201" t="str">
        <f>IF('Key Inputs_New Techs'!B176="","",'Key Inputs_New Techs'!B176)</f>
        <v>R-ACL_ELC02</v>
      </c>
      <c r="L241" s="109" t="str">
        <f>IFERROR(VLOOKUP(K$241,'Commodities &amp; Processes'!L:M,2,FALSE),"")</f>
        <v>RSD Air conditioning technology: Electricity Air conditioning (Imp.) -New</v>
      </c>
      <c r="N241" s="109">
        <f>'Key Inputs_New Techs'!H176</f>
        <v>2030</v>
      </c>
      <c r="O241" s="206" t="s">
        <v>312</v>
      </c>
      <c r="P241" s="114" t="str">
        <f>'Key Inputs_New Techs'!J176</f>
        <v>USD/kW</v>
      </c>
      <c r="Q241" s="121">
        <f>'Key Inputs_New Techs'!K176</f>
        <v>270.91881291326899</v>
      </c>
      <c r="R241" s="121">
        <f>'Key Inputs_New Techs'!L176</f>
        <v>282.93117496374447</v>
      </c>
      <c r="S241" s="121">
        <f>'Key Inputs_New Techs'!M176</f>
        <v>272.31209989341517</v>
      </c>
      <c r="T241" s="121">
        <f>'Key Inputs_New Techs'!N176</f>
        <v>272.33016042361669</v>
      </c>
      <c r="U241" s="121">
        <f>'Key Inputs_New Techs'!O176</f>
        <v>334.21396148995876</v>
      </c>
      <c r="V241" s="121">
        <f>'Key Inputs_New Techs'!P176</f>
        <v>277.57841118656029</v>
      </c>
      <c r="W241" s="121">
        <f>'Key Inputs_New Techs'!Q176</f>
        <v>285.11426572874831</v>
      </c>
      <c r="X241" s="121">
        <f>'Key Inputs_New Techs'!R176</f>
        <v>275.37049495621403</v>
      </c>
      <c r="Y241" s="121">
        <f>'Key Inputs_New Techs'!S176</f>
        <v>287.80890950582727</v>
      </c>
      <c r="Z241" s="121">
        <f>'Key Inputs_New Techs'!T176</f>
        <v>335.68957583654708</v>
      </c>
      <c r="AA241" s="121">
        <f>'Key Inputs_New Techs'!U176</f>
        <v>283.72041136922155</v>
      </c>
      <c r="AB241" s="121">
        <f>'Key Inputs_New Techs'!V176</f>
        <v>288.46175478191162</v>
      </c>
      <c r="AC241" s="121">
        <f>'Key Inputs_New Techs'!W176</f>
        <v>286.22136098503159</v>
      </c>
      <c r="AD241" s="121">
        <f>'Key Inputs_New Techs'!X176</f>
        <v>363.54593432822685</v>
      </c>
      <c r="AE241" s="121">
        <f>'Key Inputs_New Techs'!Y176</f>
        <v>311.01116810682282</v>
      </c>
      <c r="AF241" s="121">
        <f>'Key Inputs_New Techs'!Z176</f>
        <v>334.05979880000007</v>
      </c>
      <c r="AG241" s="121">
        <f>'Key Inputs_New Techs'!AA176</f>
        <v>334.05979880000007</v>
      </c>
      <c r="AH241" s="121">
        <f>'Key Inputs_New Techs'!AB176</f>
        <v>283.1880331481766</v>
      </c>
      <c r="AI241" s="121">
        <f>'Key Inputs_New Techs'!AC176</f>
        <v>276.37877212621919</v>
      </c>
      <c r="AJ241" s="121">
        <f>'Key Inputs_New Techs'!AD176</f>
        <v>324.90667845495824</v>
      </c>
      <c r="AK241" s="121">
        <f>'Key Inputs_New Techs'!AE176</f>
        <v>283.72041136922155</v>
      </c>
      <c r="AL241" s="121">
        <f>'Key Inputs_New Techs'!AF176</f>
        <v>305.52734123251059</v>
      </c>
      <c r="AM241" s="121">
        <f>'Key Inputs_New Techs'!AG176</f>
        <v>291.55214567212596</v>
      </c>
      <c r="AN241" s="121">
        <f>'Key Inputs_New Techs'!AH176</f>
        <v>294.76013885470945</v>
      </c>
      <c r="AO241" s="121">
        <f>'Key Inputs_New Techs'!AI176</f>
        <v>272.31209989341517</v>
      </c>
      <c r="AP241" s="121">
        <f>'Key Inputs_New Techs'!AJ176</f>
        <v>307.34762633851994</v>
      </c>
      <c r="AQ241" s="121">
        <f>'Key Inputs_New Techs'!AK176</f>
        <v>326.17689103375022</v>
      </c>
      <c r="AR241" s="121">
        <f>'Key Inputs_New Techs'!AL176</f>
        <v>353.23029832947407</v>
      </c>
    </row>
    <row r="242" spans="11:44" x14ac:dyDescent="0.25">
      <c r="K242" s="201" t="str">
        <f>IF('Key Inputs_New Techs'!B177="","",'Key Inputs_New Techs'!B177)</f>
        <v/>
      </c>
      <c r="L242" s="109" t="str">
        <f>IFERROR(VLOOKUP(K$241,'Commodities &amp; Processes'!L:M,2,FALSE),"")</f>
        <v>RSD Air conditioning technology: Electricity Air conditioning (Imp.) -New</v>
      </c>
      <c r="N242" s="109">
        <f>'Key Inputs_New Techs'!H177</f>
        <v>2050</v>
      </c>
      <c r="O242" s="206" t="s">
        <v>312</v>
      </c>
      <c r="P242" s="114" t="str">
        <f>'Key Inputs_New Techs'!J177</f>
        <v>USD/kW</v>
      </c>
      <c r="Q242" s="121">
        <f>'Key Inputs_New Techs'!K177</f>
        <v>258.51031766533299</v>
      </c>
      <c r="R242" s="121">
        <f>'Key Inputs_New Techs'!L177</f>
        <v>269.97249519441266</v>
      </c>
      <c r="S242" s="121">
        <f>'Key Inputs_New Techs'!M177</f>
        <v>259.83978997463277</v>
      </c>
      <c r="T242" s="121">
        <f>'Key Inputs_New Techs'!N177</f>
        <v>259.8570233049777</v>
      </c>
      <c r="U242" s="121">
        <f>'Key Inputs_New Techs'!O177</f>
        <v>318.90645180339573</v>
      </c>
      <c r="V242" s="121">
        <f>'Key Inputs_New Techs'!P177</f>
        <v>264.86489617038194</v>
      </c>
      <c r="W242" s="121">
        <f>'Key Inputs_New Techs'!Q177</f>
        <v>272.05559706941631</v>
      </c>
      <c r="X242" s="121">
        <f>'Key Inputs_New Techs'!R177</f>
        <v>262.75810587425002</v>
      </c>
      <c r="Y242" s="121">
        <f>'Key Inputs_New Techs'!S177</f>
        <v>274.62682204754509</v>
      </c>
      <c r="Z242" s="121">
        <f>'Key Inputs_New Techs'!T177</f>
        <v>320.31448076006399</v>
      </c>
      <c r="AA242" s="121">
        <f>'Key Inputs_New Techs'!U177</f>
        <v>270.72558336757777</v>
      </c>
      <c r="AB242" s="121">
        <f>'Key Inputs_New Techs'!V177</f>
        <v>275.24976601327444</v>
      </c>
      <c r="AC242" s="121">
        <f>'Key Inputs_New Techs'!W177</f>
        <v>273.11198567274005</v>
      </c>
      <c r="AD242" s="121">
        <f>'Key Inputs_New Techs'!X177</f>
        <v>346.89497550403325</v>
      </c>
      <c r="AE242" s="121">
        <f>'Key Inputs_New Techs'!Y177</f>
        <v>296.76638178131947</v>
      </c>
      <c r="AF242" s="121">
        <f>'Key Inputs_New Techs'!Z177</f>
        <v>318.75935000000004</v>
      </c>
      <c r="AG242" s="121">
        <f>'Key Inputs_New Techs'!AA177</f>
        <v>318.75935000000004</v>
      </c>
      <c r="AH242" s="121">
        <f>'Key Inputs_New Techs'!AB177</f>
        <v>270.21758888184792</v>
      </c>
      <c r="AI242" s="121">
        <f>'Key Inputs_New Techs'!AC177</f>
        <v>263.7202024105145</v>
      </c>
      <c r="AJ242" s="121">
        <f>'Key Inputs_New Techs'!AD177</f>
        <v>310.02545654099066</v>
      </c>
      <c r="AK242" s="121">
        <f>'Key Inputs_New Techs'!AE177</f>
        <v>270.72558336757777</v>
      </c>
      <c r="AL242" s="121">
        <f>'Key Inputs_New Techs'!AF177</f>
        <v>291.53372255010549</v>
      </c>
      <c r="AM242" s="121">
        <f>'Key Inputs_New Techs'!AG177</f>
        <v>278.19861228256292</v>
      </c>
      <c r="AN242" s="121">
        <f>'Key Inputs_New Techs'!AH177</f>
        <v>281.25967447968458</v>
      </c>
      <c r="AO242" s="121">
        <f>'Key Inputs_New Techs'!AI177</f>
        <v>259.83978997463277</v>
      </c>
      <c r="AP242" s="121">
        <f>'Key Inputs_New Techs'!AJ177</f>
        <v>293.27063581919839</v>
      </c>
      <c r="AQ242" s="121">
        <f>'Key Inputs_New Techs'!AK177</f>
        <v>311.23749144441814</v>
      </c>
      <c r="AR242" s="121">
        <f>'Key Inputs_New Techs'!AL177</f>
        <v>337.05181138308592</v>
      </c>
    </row>
    <row r="243" spans="11:44" x14ac:dyDescent="0.25">
      <c r="K243" s="201" t="str">
        <f>IF('Key Inputs_New Techs'!B178="","",'Key Inputs_New Techs'!B178)</f>
        <v>R-ACL_ELC03</v>
      </c>
      <c r="L243" s="109" t="str">
        <f>IFERROR(VLOOKUP(K$243,'Commodities &amp; Processes'!L:M,2,FALSE),"")</f>
        <v>RSD Air conditioning technology: Electricity Air conditioning (Adv.) -New</v>
      </c>
      <c r="N243" s="109">
        <f>'Key Inputs_New Techs'!H178</f>
        <v>2030</v>
      </c>
      <c r="O243" s="206" t="s">
        <v>312</v>
      </c>
      <c r="P243" s="114" t="str">
        <f>'Key Inputs_New Techs'!J178</f>
        <v>USD/kW</v>
      </c>
      <c r="Q243" s="121">
        <f>'Key Inputs_New Techs'!K178</f>
        <v>364.88082651190763</v>
      </c>
      <c r="R243" s="121">
        <f>'Key Inputs_New Techs'!L178</f>
        <v>381.05940247053229</v>
      </c>
      <c r="S243" s="121">
        <f>'Key Inputs_New Techs'!M178</f>
        <v>366.75734331565855</v>
      </c>
      <c r="T243" s="121">
        <f>'Key Inputs_New Techs'!N178</f>
        <v>366.78166772899959</v>
      </c>
      <c r="U243" s="121">
        <f>'Key Inputs_New Techs'!O178</f>
        <v>450.12845431046196</v>
      </c>
      <c r="V243" s="121">
        <f>'Key Inputs_New Techs'!P178</f>
        <v>373.85015461454373</v>
      </c>
      <c r="W243" s="121">
        <f>'Key Inputs_New Techs'!Q178</f>
        <v>383.99964849523388</v>
      </c>
      <c r="X243" s="121">
        <f>'Key Inputs_New Techs'!R178</f>
        <v>370.87647297783985</v>
      </c>
      <c r="Y243" s="121">
        <f>'Key Inputs_New Techs'!S178</f>
        <v>387.62886803138514</v>
      </c>
      <c r="Z243" s="121">
        <f>'Key Inputs_New Techs'!T178</f>
        <v>452.11585185072931</v>
      </c>
      <c r="AA243" s="121">
        <f>'Key Inputs_New Techs'!U178</f>
        <v>382.1223675294998</v>
      </c>
      <c r="AB243" s="121">
        <f>'Key Inputs_New Techs'!V178</f>
        <v>388.50813780730255</v>
      </c>
      <c r="AC243" s="121">
        <f>'Key Inputs_New Techs'!W178</f>
        <v>385.49071450056658</v>
      </c>
      <c r="AD243" s="121">
        <f>'Key Inputs_New Techs'!X178</f>
        <v>489.63355318994957</v>
      </c>
      <c r="AE243" s="121">
        <f>'Key Inputs_New Techs'!Y178</f>
        <v>418.87830104135691</v>
      </c>
      <c r="AF243" s="121">
        <f>'Key Inputs_New Techs'!Z178</f>
        <v>449.92082380623623</v>
      </c>
      <c r="AG243" s="121">
        <f>'Key Inputs_New Techs'!AA178</f>
        <v>449.92082380623623</v>
      </c>
      <c r="AH243" s="121">
        <f>'Key Inputs_New Techs'!AB178</f>
        <v>381.40534606014177</v>
      </c>
      <c r="AI243" s="121">
        <f>'Key Inputs_New Techs'!AC178</f>
        <v>372.23444809661595</v>
      </c>
      <c r="AJ243" s="121">
        <f>'Key Inputs_New Techs'!AD178</f>
        <v>437.5931523509098</v>
      </c>
      <c r="AK243" s="121">
        <f>'Key Inputs_New Techs'!AE178</f>
        <v>382.1223675294998</v>
      </c>
      <c r="AL243" s="121">
        <f>'Key Inputs_New Techs'!AF178</f>
        <v>411.4925338411004</v>
      </c>
      <c r="AM243" s="121">
        <f>'Key Inputs_New Techs'!AG178</f>
        <v>392.67036032016756</v>
      </c>
      <c r="AN243" s="121">
        <f>'Key Inputs_New Techs'!AH178</f>
        <v>396.99097279930299</v>
      </c>
      <c r="AO243" s="121">
        <f>'Key Inputs_New Techs'!AI178</f>
        <v>366.75734331565855</v>
      </c>
      <c r="AP243" s="121">
        <f>'Key Inputs_New Techs'!AJ178</f>
        <v>413.94414333556779</v>
      </c>
      <c r="AQ243" s="121">
        <f>'Key Inputs_New Techs'!AK178</f>
        <v>439.30390920316216</v>
      </c>
      <c r="AR243" s="121">
        <f>'Key Inputs_New Techs'!AL178</f>
        <v>475.74017403054103</v>
      </c>
    </row>
    <row r="244" spans="11:44" x14ac:dyDescent="0.25">
      <c r="K244" s="201" t="str">
        <f>IF('Key Inputs_New Techs'!B179="","",'Key Inputs_New Techs'!B179)</f>
        <v/>
      </c>
      <c r="L244" s="109" t="str">
        <f>IFERROR(VLOOKUP(K$243,'Commodities &amp; Processes'!L:M,2,FALSE),"")</f>
        <v>RSD Air conditioning technology: Electricity Air conditioning (Adv.) -New</v>
      </c>
      <c r="N244" s="109">
        <f>'Key Inputs_New Techs'!H179</f>
        <v>2050</v>
      </c>
      <c r="O244" s="206" t="s">
        <v>312</v>
      </c>
      <c r="P244" s="114" t="str">
        <f>'Key Inputs_New Techs'!J179</f>
        <v>USD/kW</v>
      </c>
      <c r="Q244" s="121">
        <f>'Key Inputs_New Techs'!K179</f>
        <v>359.48849902651006</v>
      </c>
      <c r="R244" s="121">
        <f>'Key Inputs_New Techs'!L179</f>
        <v>375.42798272958856</v>
      </c>
      <c r="S244" s="121">
        <f>'Key Inputs_New Techs'!M179</f>
        <v>361.33728405483606</v>
      </c>
      <c r="T244" s="121">
        <f>'Key Inputs_New Techs'!N179</f>
        <v>361.36124899408838</v>
      </c>
      <c r="U244" s="121">
        <f>'Key Inputs_New Techs'!O179</f>
        <v>443.47630966547985</v>
      </c>
      <c r="V244" s="121">
        <f>'Key Inputs_New Techs'!P179</f>
        <v>368.32527548230917</v>
      </c>
      <c r="W244" s="121">
        <f>'Key Inputs_New Techs'!Q179</f>
        <v>378.32477684259504</v>
      </c>
      <c r="X244" s="121">
        <f>'Key Inputs_New Techs'!R179</f>
        <v>365.39553987964524</v>
      </c>
      <c r="Y244" s="121">
        <f>'Key Inputs_New Techs'!S179</f>
        <v>381.9003625924978</v>
      </c>
      <c r="Z244" s="121">
        <f>'Key Inputs_New Techs'!T179</f>
        <v>445.43433679874818</v>
      </c>
      <c r="AA244" s="121">
        <f>'Key Inputs_New Techs'!U179</f>
        <v>376.47523894532009</v>
      </c>
      <c r="AB244" s="121">
        <f>'Key Inputs_New Techs'!V179</f>
        <v>382.76663823379567</v>
      </c>
      <c r="AC244" s="121">
        <f>'Key Inputs_New Techs'!W179</f>
        <v>379.79380738972083</v>
      </c>
      <c r="AD244" s="121">
        <f>'Key Inputs_New Techs'!X179</f>
        <v>482.39758934970411</v>
      </c>
      <c r="AE244" s="121">
        <f>'Key Inputs_New Techs'!Y179</f>
        <v>412.68798132153398</v>
      </c>
      <c r="AF244" s="121">
        <f>'Key Inputs_New Techs'!Z179</f>
        <v>443.27174759235106</v>
      </c>
      <c r="AG244" s="121">
        <f>'Key Inputs_New Techs'!AA179</f>
        <v>443.27174759235106</v>
      </c>
      <c r="AH244" s="121">
        <f>'Key Inputs_New Techs'!AB179</f>
        <v>375.76881385235652</v>
      </c>
      <c r="AI244" s="121">
        <f>'Key Inputs_New Techs'!AC179</f>
        <v>366.73344640060691</v>
      </c>
      <c r="AJ244" s="121">
        <f>'Key Inputs_New Techs'!AD179</f>
        <v>431.12625847380286</v>
      </c>
      <c r="AK244" s="121">
        <f>'Key Inputs_New Techs'!AE179</f>
        <v>376.47523894532009</v>
      </c>
      <c r="AL244" s="121">
        <f>'Key Inputs_New Techs'!AF179</f>
        <v>405.41136339024678</v>
      </c>
      <c r="AM244" s="121">
        <f>'Key Inputs_New Techs'!AG179</f>
        <v>386.86735006913068</v>
      </c>
      <c r="AN244" s="121">
        <f>'Key Inputs_New Techs'!AH179</f>
        <v>391.12411113231832</v>
      </c>
      <c r="AO244" s="121">
        <f>'Key Inputs_New Techs'!AI179</f>
        <v>361.33728405483606</v>
      </c>
      <c r="AP244" s="121">
        <f>'Key Inputs_New Techs'!AJ179</f>
        <v>407.82674220252994</v>
      </c>
      <c r="AQ244" s="121">
        <f>'Key Inputs_New Techs'!AK179</f>
        <v>432.811733205086</v>
      </c>
      <c r="AR244" s="121">
        <f>'Key Inputs_New Techs'!AL179</f>
        <v>468.70953106457256</v>
      </c>
    </row>
    <row r="245" spans="11:44" x14ac:dyDescent="0.25">
      <c r="K245" s="201" t="str">
        <f>IF('Key Inputs_New Techs'!B180="","",'Key Inputs_New Techs'!B180)</f>
        <v>R-THH-STV_BIO01</v>
      </c>
      <c r="L245" s="109" t="str">
        <f>IFERROR(VLOOKUP(K245,'Commodities &amp; Processes'!L:M,2,FALSE),"")</f>
        <v>RSD Thermal uses technology: Biomass Wood Stove (Ord.) -New</v>
      </c>
      <c r="N245" s="109">
        <f>'Key Inputs_New Techs'!H180</f>
        <v>2020</v>
      </c>
      <c r="O245" s="206" t="s">
        <v>312</v>
      </c>
      <c r="P245" s="114" t="str">
        <f>'Key Inputs_New Techs'!J180</f>
        <v>USD/kW</v>
      </c>
      <c r="Q245" s="121">
        <f>'Key Inputs_New Techs'!K180</f>
        <v>423.95692097114613</v>
      </c>
      <c r="R245" s="121">
        <f>'Key Inputs_New Techs'!L180</f>
        <v>442.75489211883672</v>
      </c>
      <c r="S245" s="121">
        <f>'Key Inputs_New Techs'!M180</f>
        <v>426.13725555839773</v>
      </c>
      <c r="T245" s="121">
        <f>'Key Inputs_New Techs'!N180</f>
        <v>426.16551822016345</v>
      </c>
      <c r="U245" s="121">
        <f>'Key Inputs_New Techs'!O180</f>
        <v>523.00658095756899</v>
      </c>
      <c r="V245" s="121">
        <f>'Key Inputs_New Techs'!P180</f>
        <v>434.37842971942638</v>
      </c>
      <c r="W245" s="121">
        <f>'Key Inputs_New Techs'!Q180</f>
        <v>446.1711791938427</v>
      </c>
      <c r="X245" s="121">
        <f>'Key Inputs_New Techs'!R180</f>
        <v>430.92329363377007</v>
      </c>
      <c r="Y245" s="121">
        <f>'Key Inputs_New Techs'!S180</f>
        <v>450.38798815797395</v>
      </c>
      <c r="Z245" s="121">
        <f>'Key Inputs_New Techs'!T180</f>
        <v>525.31574844650493</v>
      </c>
      <c r="AA245" s="121">
        <f>'Key Inputs_New Techs'!U180</f>
        <v>443.98995672282757</v>
      </c>
      <c r="AB245" s="121">
        <f>'Key Inputs_New Techs'!V180</f>
        <v>451.40961626177005</v>
      </c>
      <c r="AC245" s="121">
        <f>'Key Inputs_New Techs'!W180</f>
        <v>447.90365650329369</v>
      </c>
      <c r="AD245" s="121">
        <f>'Key Inputs_New Techs'!X180</f>
        <v>568.90775982661444</v>
      </c>
      <c r="AE245" s="121">
        <f>'Key Inputs_New Techs'!Y180</f>
        <v>486.69686612136394</v>
      </c>
      <c r="AF245" s="121">
        <f>'Key Inputs_New Techs'!Z180</f>
        <v>522.76533400000005</v>
      </c>
      <c r="AG245" s="121">
        <f>'Key Inputs_New Techs'!AA180</f>
        <v>522.76533400000005</v>
      </c>
      <c r="AH245" s="121">
        <f>'Key Inputs_New Techs'!AB180</f>
        <v>443.15684576623056</v>
      </c>
      <c r="AI245" s="121">
        <f>'Key Inputs_New Techs'!AC180</f>
        <v>432.50113195324377</v>
      </c>
      <c r="AJ245" s="121">
        <f>'Key Inputs_New Techs'!AD180</f>
        <v>508.44174872722465</v>
      </c>
      <c r="AK245" s="121">
        <f>'Key Inputs_New Techs'!AE180</f>
        <v>443.98995672282757</v>
      </c>
      <c r="AL245" s="121">
        <f>'Key Inputs_New Techs'!AF180</f>
        <v>478.11530498217303</v>
      </c>
      <c r="AM245" s="121">
        <f>'Key Inputs_New Techs'!AG180</f>
        <v>456.24572414340315</v>
      </c>
      <c r="AN245" s="121">
        <f>'Key Inputs_New Techs'!AH180</f>
        <v>461.2658661466827</v>
      </c>
      <c r="AO245" s="121">
        <f>'Key Inputs_New Techs'!AI180</f>
        <v>426.13725555839773</v>
      </c>
      <c r="AP245" s="121">
        <f>'Key Inputs_New Techs'!AJ180</f>
        <v>480.96384274348537</v>
      </c>
      <c r="AQ245" s="121">
        <f>'Key Inputs_New Techs'!AK180</f>
        <v>510.42948596884571</v>
      </c>
      <c r="AR245" s="121">
        <f>'Key Inputs_New Techs'!AL180</f>
        <v>552.76497066826084</v>
      </c>
    </row>
    <row r="246" spans="11:44" x14ac:dyDescent="0.25">
      <c r="K246" s="201" t="str">
        <f>IF('Key Inputs_New Techs'!B181="","",'Key Inputs_New Techs'!B181)</f>
        <v>R-THH-STV_BIO02</v>
      </c>
      <c r="L246" s="109" t="str">
        <f>IFERROR(VLOOKUP(K$246,'Commodities &amp; Processes'!L:M,2,FALSE),"")</f>
        <v>RSD Thermal uses technology: Biomass Wood Stove (Imp.) -New</v>
      </c>
      <c r="N246" s="109">
        <f>'Key Inputs_New Techs'!H181</f>
        <v>2030</v>
      </c>
      <c r="O246" s="206" t="s">
        <v>312</v>
      </c>
      <c r="P246" s="114" t="str">
        <f>'Key Inputs_New Techs'!J181</f>
        <v>USD/kW</v>
      </c>
      <c r="Q246" s="121">
        <f>'Key Inputs_New Techs'!K181</f>
        <v>486.75286632101614</v>
      </c>
      <c r="R246" s="121">
        <f>'Key Inputs_New Techs'!L181</f>
        <v>508.33516840066756</v>
      </c>
      <c r="S246" s="121">
        <f>'Key Inputs_New Techs'!M181</f>
        <v>489.25614921931748</v>
      </c>
      <c r="T246" s="121">
        <f>'Key Inputs_New Techs'!N181</f>
        <v>489.28859810962649</v>
      </c>
      <c r="U246" s="121">
        <f>'Key Inputs_New Techs'!O181</f>
        <v>600.47363256319454</v>
      </c>
      <c r="V246" s="121">
        <f>'Key Inputs_New Techs'!P181</f>
        <v>498.71799533222577</v>
      </c>
      <c r="W246" s="121">
        <f>'Key Inputs_New Techs'!Q181</f>
        <v>512.25747145477374</v>
      </c>
      <c r="X246" s="121">
        <f>'Key Inputs_New Techs'!R181</f>
        <v>494.75108900275734</v>
      </c>
      <c r="Y246" s="121">
        <f>'Key Inputs_New Techs'!S181</f>
        <v>517.09886865455849</v>
      </c>
      <c r="Z246" s="121">
        <f>'Key Inputs_New Techs'!T181</f>
        <v>603.1248309242925</v>
      </c>
      <c r="AA246" s="121">
        <f>'Key Inputs_New Techs'!U181</f>
        <v>509.7531691605256</v>
      </c>
      <c r="AB246" s="121">
        <f>'Key Inputs_New Techs'!V181</f>
        <v>518.27181897860964</v>
      </c>
      <c r="AC246" s="121">
        <f>'Key Inputs_New Techs'!W181</f>
        <v>514.24656104029032</v>
      </c>
      <c r="AD246" s="121">
        <f>'Key Inputs_New Techs'!X181</f>
        <v>653.17363408892072</v>
      </c>
      <c r="AE246" s="121">
        <f>'Key Inputs_New Techs'!Y181</f>
        <v>558.78577019421482</v>
      </c>
      <c r="AF246" s="121">
        <f>'Key Inputs_New Techs'!Z181</f>
        <v>600.19665242139399</v>
      </c>
      <c r="AG246" s="121">
        <f>'Key Inputs_New Techs'!AA181</f>
        <v>600.19665242139399</v>
      </c>
      <c r="AH246" s="121">
        <f>'Key Inputs_New Techs'!AB181</f>
        <v>508.79665889727028</v>
      </c>
      <c r="AI246" s="121">
        <f>'Key Inputs_New Techs'!AC181</f>
        <v>496.56263467309498</v>
      </c>
      <c r="AJ246" s="121">
        <f>'Key Inputs_New Techs'!AD181</f>
        <v>583.75147640788248</v>
      </c>
      <c r="AK246" s="121">
        <f>'Key Inputs_New Techs'!AE181</f>
        <v>509.7531691605256</v>
      </c>
      <c r="AL246" s="121">
        <f>'Key Inputs_New Techs'!AF181</f>
        <v>548.93311942856189</v>
      </c>
      <c r="AM246" s="121">
        <f>'Key Inputs_New Techs'!AG181</f>
        <v>523.82424484261105</v>
      </c>
      <c r="AN246" s="121">
        <f>'Key Inputs_New Techs'!AH181</f>
        <v>529.5879637219665</v>
      </c>
      <c r="AO246" s="121">
        <f>'Key Inputs_New Techs'!AI181</f>
        <v>489.25614921931748</v>
      </c>
      <c r="AP246" s="121">
        <f>'Key Inputs_New Techs'!AJ181</f>
        <v>552.20357888224021</v>
      </c>
      <c r="AQ246" s="121">
        <f>'Key Inputs_New Techs'!AK181</f>
        <v>586.03363469329452</v>
      </c>
      <c r="AR246" s="121">
        <f>'Key Inputs_New Techs'!AL181</f>
        <v>634.63979608659395</v>
      </c>
    </row>
    <row r="247" spans="11:44" x14ac:dyDescent="0.25">
      <c r="K247" s="201" t="str">
        <f>IF('Key Inputs_New Techs'!B182="","",'Key Inputs_New Techs'!B182)</f>
        <v/>
      </c>
      <c r="L247" s="109" t="str">
        <f>IFERROR(VLOOKUP(K$246,'Commodities &amp; Processes'!L:M,2,FALSE),"")</f>
        <v>RSD Thermal uses technology: Biomass Wood Stove (Imp.) -New</v>
      </c>
      <c r="N247" s="109">
        <f>'Key Inputs_New Techs'!H182</f>
        <v>2050</v>
      </c>
      <c r="O247" s="206" t="s">
        <v>312</v>
      </c>
      <c r="P247" s="114" t="str">
        <f>'Key Inputs_New Techs'!J182</f>
        <v>USD/kW</v>
      </c>
      <c r="Q247" s="121">
        <f>'Key Inputs_New Techs'!K182</f>
        <v>456.56899181508044</v>
      </c>
      <c r="R247" s="121">
        <f>'Key Inputs_New Techs'!L182</f>
        <v>476.81296074336262</v>
      </c>
      <c r="S247" s="121">
        <f>'Key Inputs_New Techs'!M182</f>
        <v>458.91704444750519</v>
      </c>
      <c r="T247" s="121">
        <f>'Key Inputs_New Techs'!N182</f>
        <v>458.94748116017604</v>
      </c>
      <c r="U247" s="121">
        <f>'Key Inputs_New Techs'!O182</f>
        <v>563.23785641584345</v>
      </c>
      <c r="V247" s="121">
        <f>'Key Inputs_New Techs'!P182</f>
        <v>467.7921550824592</v>
      </c>
      <c r="W247" s="121">
        <f>'Key Inputs_New Techs'!Q182</f>
        <v>480.49203913183061</v>
      </c>
      <c r="X247" s="121">
        <f>'Key Inputs_New Techs'!R182</f>
        <v>464.07123929790617</v>
      </c>
      <c r="Y247" s="121">
        <f>'Key Inputs_New Techs'!S182</f>
        <v>485.03321801627965</v>
      </c>
      <c r="Z247" s="121">
        <f>'Key Inputs_New Techs'!T182</f>
        <v>565.72465217315914</v>
      </c>
      <c r="AA247" s="121">
        <f>'Key Inputs_New Techs'!U182</f>
        <v>478.14303031689121</v>
      </c>
      <c r="AB247" s="121">
        <f>'Key Inputs_New Techs'!V182</f>
        <v>486.13343289729085</v>
      </c>
      <c r="AC247" s="121">
        <f>'Key Inputs_New Techs'!W182</f>
        <v>482.35778392662394</v>
      </c>
      <c r="AD247" s="121">
        <f>'Key Inputs_New Techs'!X182</f>
        <v>612.66989519789252</v>
      </c>
      <c r="AE247" s="121">
        <f>'Key Inputs_New Techs'!Y182</f>
        <v>524.13508659223805</v>
      </c>
      <c r="AF247" s="121">
        <f>'Key Inputs_New Techs'!Z182</f>
        <v>562.97805200000005</v>
      </c>
      <c r="AG247" s="121">
        <f>'Key Inputs_New Techs'!AA182</f>
        <v>562.97805200000005</v>
      </c>
      <c r="AH247" s="121">
        <f>'Key Inputs_New Techs'!AB182</f>
        <v>477.24583390209443</v>
      </c>
      <c r="AI247" s="121">
        <f>'Key Inputs_New Techs'!AC182</f>
        <v>465.77044979580097</v>
      </c>
      <c r="AJ247" s="121">
        <f>'Key Inputs_New Techs'!AD182</f>
        <v>547.55265247547266</v>
      </c>
      <c r="AK247" s="121">
        <f>'Key Inputs_New Techs'!AE182</f>
        <v>478.14303031689121</v>
      </c>
      <c r="AL247" s="121">
        <f>'Key Inputs_New Techs'!AF182</f>
        <v>514.89340536541715</v>
      </c>
      <c r="AM247" s="121">
        <f>'Key Inputs_New Techs'!AG182</f>
        <v>491.3415490775111</v>
      </c>
      <c r="AN247" s="121">
        <f>'Key Inputs_New Techs'!AH182</f>
        <v>496.74785585027365</v>
      </c>
      <c r="AO247" s="121">
        <f>'Key Inputs_New Techs'!AI182</f>
        <v>458.91704444750519</v>
      </c>
      <c r="AP247" s="121">
        <f>'Key Inputs_New Techs'!AJ182</f>
        <v>517.96106141606117</v>
      </c>
      <c r="AQ247" s="121">
        <f>'Key Inputs_New Techs'!AK182</f>
        <v>549.69329258183382</v>
      </c>
      <c r="AR247" s="121">
        <f>'Key Inputs_New Techs'!AL182</f>
        <v>595.28535302735781</v>
      </c>
    </row>
    <row r="248" spans="11:44" x14ac:dyDescent="0.25">
      <c r="K248" s="201" t="str">
        <f>IF('Key Inputs_New Techs'!B183="","",'Key Inputs_New Techs'!B183)</f>
        <v>R-THH-STV_BIO03</v>
      </c>
      <c r="L248" s="109" t="str">
        <f>IFERROR(VLOOKUP(K$248,'Commodities &amp; Processes'!L:M,2,FALSE),"")</f>
        <v>RSD Thermal uses technology: Biomass Wood Stove (Adv.)) -New</v>
      </c>
      <c r="N248" s="109">
        <f>'Key Inputs_New Techs'!H183</f>
        <v>2030</v>
      </c>
      <c r="O248" s="206" t="s">
        <v>312</v>
      </c>
      <c r="P248" s="114" t="str">
        <f>'Key Inputs_New Techs'!J183</f>
        <v>USD/kW</v>
      </c>
      <c r="Q248" s="121">
        <f>'Key Inputs_New Techs'!K183</f>
        <v>630.76517510341262</v>
      </c>
      <c r="R248" s="121">
        <f>'Key Inputs_New Techs'!L183</f>
        <v>658.73288827436693</v>
      </c>
      <c r="S248" s="121">
        <f>'Key Inputs_New Techs'!M183</f>
        <v>634.00908753810393</v>
      </c>
      <c r="T248" s="121">
        <f>'Key Inputs_New Techs'!N183</f>
        <v>634.05113686414575</v>
      </c>
      <c r="U248" s="121">
        <f>'Key Inputs_New Techs'!O183</f>
        <v>778.13174240028559</v>
      </c>
      <c r="V248" s="121">
        <f>'Key Inputs_New Techs'!P183</f>
        <v>646.27034665573206</v>
      </c>
      <c r="W248" s="121">
        <f>'Key Inputs_New Techs'!Q183</f>
        <v>663.81565684937573</v>
      </c>
      <c r="X248" s="121">
        <f>'Key Inputs_New Techs'!R183</f>
        <v>641.12977833317018</v>
      </c>
      <c r="Y248" s="121">
        <f>'Key Inputs_New Techs'!S183</f>
        <v>670.08944579601007</v>
      </c>
      <c r="Z248" s="121">
        <f>'Key Inputs_New Techs'!T183</f>
        <v>781.56733305455623</v>
      </c>
      <c r="AA248" s="121">
        <f>'Key Inputs_New Techs'!U183</f>
        <v>660.57042341688987</v>
      </c>
      <c r="AB248" s="121">
        <f>'Key Inputs_New Techs'!V183</f>
        <v>671.60942907238973</v>
      </c>
      <c r="AC248" s="121">
        <f>'Key Inputs_New Techs'!W183</f>
        <v>666.39324504148578</v>
      </c>
      <c r="AD248" s="121">
        <f>'Key Inputs_New Techs'!X183</f>
        <v>846.4237402298412</v>
      </c>
      <c r="AE248" s="121">
        <f>'Key Inputs_New Techs'!Y183</f>
        <v>724.10997154641962</v>
      </c>
      <c r="AF248" s="121">
        <f>'Key Inputs_New Techs'!Z183</f>
        <v>777.77281400000015</v>
      </c>
      <c r="AG248" s="121">
        <f>'Key Inputs_New Techs'!AA183</f>
        <v>777.77281400000015</v>
      </c>
      <c r="AH248" s="121">
        <f>'Key Inputs_New Techs'!AB183</f>
        <v>659.33091687170895</v>
      </c>
      <c r="AI248" s="121">
        <f>'Key Inputs_New Techs'!AC183</f>
        <v>643.47729388165544</v>
      </c>
      <c r="AJ248" s="121">
        <f>'Key Inputs_New Techs'!AD183</f>
        <v>756.46211396001729</v>
      </c>
      <c r="AK248" s="121">
        <f>'Key Inputs_New Techs'!AE183</f>
        <v>660.57042341688987</v>
      </c>
      <c r="AL248" s="121">
        <f>'Key Inputs_New Techs'!AF183</f>
        <v>711.34228302225756</v>
      </c>
      <c r="AM248" s="121">
        <f>'Key Inputs_New Techs'!AG183</f>
        <v>678.8046139694535</v>
      </c>
      <c r="AN248" s="121">
        <f>'Key Inputs_New Techs'!AH183</f>
        <v>686.2736057304304</v>
      </c>
      <c r="AO248" s="121">
        <f>'Key Inputs_New Techs'!AI183</f>
        <v>634.00908753810393</v>
      </c>
      <c r="AP248" s="121">
        <f>'Key Inputs_New Techs'!AJ183</f>
        <v>715.58035139884419</v>
      </c>
      <c r="AQ248" s="121">
        <f>'Key Inputs_New Techs'!AK183</f>
        <v>759.41947912438036</v>
      </c>
      <c r="AR248" s="121">
        <f>'Key Inputs_New Techs'!AL183</f>
        <v>822.40641977472967</v>
      </c>
    </row>
    <row r="249" spans="11:44" x14ac:dyDescent="0.25">
      <c r="K249" s="201" t="str">
        <f>IF('Key Inputs_New Techs'!B184="","",'Key Inputs_New Techs'!B184)</f>
        <v/>
      </c>
      <c r="L249" s="109" t="str">
        <f>IFERROR(VLOOKUP(K$248,'Commodities &amp; Processes'!L:M,2,FALSE),"")</f>
        <v>RSD Thermal uses technology: Biomass Wood Stove (Adv.)) -New</v>
      </c>
      <c r="N249" s="109">
        <f>'Key Inputs_New Techs'!H184</f>
        <v>2050</v>
      </c>
      <c r="O249" s="206" t="s">
        <v>312</v>
      </c>
      <c r="P249" s="114" t="str">
        <f>'Key Inputs_New Techs'!J184</f>
        <v>USD/kW</v>
      </c>
      <c r="Q249" s="121">
        <f>'Key Inputs_New Techs'!K184</f>
        <v>610.08434969018595</v>
      </c>
      <c r="R249" s="121">
        <f>'Key Inputs_New Techs'!L184</f>
        <v>637.13508865881386</v>
      </c>
      <c r="S249" s="121">
        <f>'Key Inputs_New Techs'!M184</f>
        <v>613.22190434013328</v>
      </c>
      <c r="T249" s="121">
        <f>'Key Inputs_New Techs'!N184</f>
        <v>613.26257499974747</v>
      </c>
      <c r="U249" s="121">
        <f>'Key Inputs_New Techs'!O184</f>
        <v>752.61922625601392</v>
      </c>
      <c r="V249" s="121">
        <f>'Key Inputs_New Techs'!P184</f>
        <v>625.08115496210144</v>
      </c>
      <c r="W249" s="121">
        <f>'Key Inputs_New Techs'!Q184</f>
        <v>642.05120908382241</v>
      </c>
      <c r="X249" s="121">
        <f>'Key Inputs_New Techs'!R184</f>
        <v>620.10912986323012</v>
      </c>
      <c r="Y249" s="121">
        <f>'Key Inputs_New Techs'!S184</f>
        <v>648.11930003220641</v>
      </c>
      <c r="Z249" s="121">
        <f>'Key Inputs_New Techs'!T184</f>
        <v>755.94217459375102</v>
      </c>
      <c r="AA249" s="121">
        <f>'Key Inputs_New Techs'!U184</f>
        <v>638.91237674748356</v>
      </c>
      <c r="AB249" s="121">
        <f>'Key Inputs_New Techs'!V184</f>
        <v>649.58944779132764</v>
      </c>
      <c r="AC249" s="121">
        <f>'Key Inputs_New Techs'!W184</f>
        <v>644.54428618766656</v>
      </c>
      <c r="AD249" s="121">
        <f>'Key Inputs_New Techs'!X184</f>
        <v>818.67214218951847</v>
      </c>
      <c r="AE249" s="121">
        <f>'Key Inputs_New Techs'!Y184</f>
        <v>700.36866100391399</v>
      </c>
      <c r="AF249" s="121">
        <f>'Key Inputs_New Techs'!Z184</f>
        <v>752.27206600000011</v>
      </c>
      <c r="AG249" s="121">
        <f>'Key Inputs_New Techs'!AA184</f>
        <v>752.27206600000011</v>
      </c>
      <c r="AH249" s="121">
        <f>'Key Inputs_New Techs'!AB184</f>
        <v>637.71350976116105</v>
      </c>
      <c r="AI249" s="121">
        <f>'Key Inputs_New Techs'!AC184</f>
        <v>622.37967768881424</v>
      </c>
      <c r="AJ249" s="121">
        <f>'Key Inputs_New Techs'!AD184</f>
        <v>731.66007743673799</v>
      </c>
      <c r="AK249" s="121">
        <f>'Key Inputs_New Techs'!AE184</f>
        <v>638.91237674748356</v>
      </c>
      <c r="AL249" s="121">
        <f>'Key Inputs_New Techs'!AF184</f>
        <v>688.01958521824906</v>
      </c>
      <c r="AM249" s="121">
        <f>'Key Inputs_New Techs'!AG184</f>
        <v>656.54872498684847</v>
      </c>
      <c r="AN249" s="121">
        <f>'Key Inputs_New Techs'!AH184</f>
        <v>663.77283177205561</v>
      </c>
      <c r="AO249" s="121">
        <f>'Key Inputs_New Techs'!AI184</f>
        <v>613.22190434013328</v>
      </c>
      <c r="AP249" s="121">
        <f>'Key Inputs_New Techs'!AJ184</f>
        <v>692.11870053330824</v>
      </c>
      <c r="AQ249" s="121">
        <f>'Key Inputs_New Techs'!AK184</f>
        <v>734.52047980882685</v>
      </c>
      <c r="AR249" s="121">
        <f>'Key Inputs_New Techs'!AL184</f>
        <v>795.44227486408272</v>
      </c>
    </row>
    <row r="250" spans="11:44" x14ac:dyDescent="0.25">
      <c r="K250" s="201" t="str">
        <f>IF('Key Inputs_New Techs'!B185="","",'Key Inputs_New Techs'!B185)</f>
        <v>R-THH-HPA_ELC01</v>
      </c>
      <c r="L250" s="109" t="str">
        <f>IFERROR(VLOOKUP(K250,'Commodities &amp; Processes'!L:M,2,FALSE),"")</f>
        <v>RSD Thermal uses technology: Electricity Heat Pump Air (Ord.) -New</v>
      </c>
      <c r="N250" s="109">
        <f>'Key Inputs_New Techs'!H185</f>
        <v>2020</v>
      </c>
      <c r="O250" s="206" t="s">
        <v>312</v>
      </c>
      <c r="P250" s="114" t="str">
        <f>'Key Inputs_New Techs'!J185</f>
        <v>USD/kW</v>
      </c>
      <c r="Q250" s="121">
        <f>'Key Inputs_New Techs'!K185</f>
        <v>810.68835619848426</v>
      </c>
      <c r="R250" s="121">
        <f>'Key Inputs_New Techs'!L185</f>
        <v>846.63374492967796</v>
      </c>
      <c r="S250" s="121">
        <f>'Key Inputs_New Techs'!M185</f>
        <v>814.85758136044819</v>
      </c>
      <c r="T250" s="121">
        <f>'Key Inputs_New Techs'!N185</f>
        <v>814.91162508441005</v>
      </c>
      <c r="U250" s="121">
        <f>'Key Inputs_New Techs'!O185</f>
        <v>1000.0906328554489</v>
      </c>
      <c r="V250" s="121">
        <f>'Key Inputs_New Techs'!P185</f>
        <v>830.61631439031771</v>
      </c>
      <c r="W250" s="121">
        <f>'Key Inputs_New Techs'!Q185</f>
        <v>853.16635240968935</v>
      </c>
      <c r="X250" s="121">
        <f>'Key Inputs_New Techs'!R185</f>
        <v>824.009420021648</v>
      </c>
      <c r="Y250" s="121">
        <f>'Key Inputs_New Techs'!S185</f>
        <v>861.22971394110129</v>
      </c>
      <c r="Z250" s="121">
        <f>'Key Inputs_New Techs'!T185</f>
        <v>1004.5062116635605</v>
      </c>
      <c r="AA250" s="121">
        <f>'Key Inputs_New Techs'!U185</f>
        <v>848.9954294407238</v>
      </c>
      <c r="AB250" s="121">
        <f>'Key Inputs_New Techs'!V185</f>
        <v>863.18326621762856</v>
      </c>
      <c r="AC250" s="121">
        <f>'Key Inputs_New Techs'!W185</f>
        <v>856.47918706971268</v>
      </c>
      <c r="AD250" s="121">
        <f>'Key Inputs_New Techs'!X185</f>
        <v>1087.8626431806481</v>
      </c>
      <c r="AE250" s="121">
        <f>'Key Inputs_New Techs'!Y185</f>
        <v>930.65937326621781</v>
      </c>
      <c r="AF250" s="121">
        <f>'Key Inputs_New Techs'!Z185</f>
        <v>999.62932160000003</v>
      </c>
      <c r="AG250" s="121">
        <f>'Key Inputs_New Techs'!AA185</f>
        <v>999.62932160000003</v>
      </c>
      <c r="AH250" s="121">
        <f>'Key Inputs_New Techs'!AB185</f>
        <v>847.4023587334749</v>
      </c>
      <c r="AI250" s="121">
        <f>'Key Inputs_New Techs'!AC185</f>
        <v>827.02655475937331</v>
      </c>
      <c r="AJ250" s="121">
        <f>'Key Inputs_New Techs'!AD185</f>
        <v>972.23983171254656</v>
      </c>
      <c r="AK250" s="121">
        <f>'Key Inputs_New Techs'!AE185</f>
        <v>848.9954294407238</v>
      </c>
      <c r="AL250" s="121">
        <f>'Key Inputs_New Techs'!AF185</f>
        <v>914.24975391713087</v>
      </c>
      <c r="AM250" s="121">
        <f>'Key Inputs_New Techs'!AG185</f>
        <v>872.43084811811718</v>
      </c>
      <c r="AN250" s="121">
        <f>'Key Inputs_New Techs'!AH185</f>
        <v>882.03033916829077</v>
      </c>
      <c r="AO250" s="121">
        <f>'Key Inputs_New Techs'!AI185</f>
        <v>814.85758136044819</v>
      </c>
      <c r="AP250" s="121">
        <f>'Key Inputs_New Techs'!AJ185</f>
        <v>919.69671392900614</v>
      </c>
      <c r="AQ250" s="121">
        <f>'Key Inputs_New Techs'!AK185</f>
        <v>976.04077316969517</v>
      </c>
      <c r="AR250" s="121">
        <f>'Key Inputs_New Techs'!AL185</f>
        <v>1056.9944804973572</v>
      </c>
    </row>
    <row r="251" spans="11:44" x14ac:dyDescent="0.25">
      <c r="K251" s="201" t="str">
        <f>IF('Key Inputs_New Techs'!B186="","",'Key Inputs_New Techs'!B186)</f>
        <v>R-THH-HPA_ELC02</v>
      </c>
      <c r="L251" s="109" t="str">
        <f>IFERROR(VLOOKUP(K$251,'Commodities &amp; Processes'!L:M,2,FALSE),"")</f>
        <v>RSD Thermal uses technology: Electricity Heat Pump Air (Imp.) -New</v>
      </c>
      <c r="N251" s="109">
        <f>'Key Inputs_New Techs'!H186</f>
        <v>2030</v>
      </c>
      <c r="O251" s="206" t="s">
        <v>312</v>
      </c>
      <c r="P251" s="114" t="str">
        <f>'Key Inputs_New Techs'!J186</f>
        <v>USD/kW</v>
      </c>
      <c r="Q251" s="121">
        <f>'Key Inputs_New Techs'!K186</f>
        <v>863.42446100221207</v>
      </c>
      <c r="R251" s="121">
        <f>'Key Inputs_New Techs'!L186</f>
        <v>901.70813394933805</v>
      </c>
      <c r="S251" s="121">
        <f>'Key Inputs_New Techs'!M186</f>
        <v>867.86489851527324</v>
      </c>
      <c r="T251" s="121">
        <f>'Key Inputs_New Techs'!N186</f>
        <v>867.92245783862541</v>
      </c>
      <c r="U251" s="121">
        <f>'Key Inputs_New Techs'!O186</f>
        <v>1065.1475490233415</v>
      </c>
      <c r="V251" s="121">
        <f>'Key Inputs_New Techs'!P186</f>
        <v>884.64875320907549</v>
      </c>
      <c r="W251" s="121">
        <f>'Key Inputs_New Techs'!Q186</f>
        <v>908.66569421185022</v>
      </c>
      <c r="X251" s="121">
        <f>'Key Inputs_New Techs'!R186</f>
        <v>877.61207361999493</v>
      </c>
      <c r="Y251" s="121">
        <f>'Key Inputs_New Techs'!S186</f>
        <v>917.25358563880047</v>
      </c>
      <c r="Z251" s="121">
        <f>'Key Inputs_New Techs'!T186</f>
        <v>1069.8503657386136</v>
      </c>
      <c r="AA251" s="121">
        <f>'Key Inputs_New Techs'!U186</f>
        <v>904.22344844770964</v>
      </c>
      <c r="AB251" s="121">
        <f>'Key Inputs_New Techs'!V186</f>
        <v>919.33421848433647</v>
      </c>
      <c r="AC251" s="121">
        <f>'Key Inputs_New Techs'!W186</f>
        <v>912.1940321469516</v>
      </c>
      <c r="AD251" s="121">
        <f>'Key Inputs_New Techs'!X186</f>
        <v>1158.6292181834708</v>
      </c>
      <c r="AE251" s="121">
        <f>'Key Inputs_New Techs'!Y186</f>
        <v>991.19971514960685</v>
      </c>
      <c r="AF251" s="121">
        <f>'Key Inputs_New Techs'!Z186</f>
        <v>1064.6562289999999</v>
      </c>
      <c r="AG251" s="121">
        <f>'Key Inputs_New Techs'!AA186</f>
        <v>1064.6562289999999</v>
      </c>
      <c r="AH251" s="121">
        <f>'Key Inputs_New Techs'!AB186</f>
        <v>902.52674686537182</v>
      </c>
      <c r="AI251" s="121">
        <f>'Key Inputs_New Techs'!AC186</f>
        <v>880.82547605111824</v>
      </c>
      <c r="AJ251" s="121">
        <f>'Key Inputs_New Techs'!AD186</f>
        <v>1035.4850248469086</v>
      </c>
      <c r="AK251" s="121">
        <f>'Key Inputs_New Techs'!AE186</f>
        <v>904.22344844770964</v>
      </c>
      <c r="AL251" s="121">
        <f>'Key Inputs_New Techs'!AF186</f>
        <v>973.72263331735223</v>
      </c>
      <c r="AM251" s="121">
        <f>'Key Inputs_New Techs'!AG186</f>
        <v>929.18336502375996</v>
      </c>
      <c r="AN251" s="121">
        <f>'Key Inputs_New Techs'!AH186</f>
        <v>939.40731276214626</v>
      </c>
      <c r="AO251" s="121">
        <f>'Key Inputs_New Techs'!AI186</f>
        <v>867.86489851527324</v>
      </c>
      <c r="AP251" s="121">
        <f>'Key Inputs_New Techs'!AJ186</f>
        <v>979.5239236361225</v>
      </c>
      <c r="AQ251" s="121">
        <f>'Key Inputs_New Techs'!AK186</f>
        <v>1039.5332214243565</v>
      </c>
      <c r="AR251" s="121">
        <f>'Key Inputs_New Techs'!AL186</f>
        <v>1125.7530500195066</v>
      </c>
    </row>
    <row r="252" spans="11:44" x14ac:dyDescent="0.25">
      <c r="K252" s="201" t="str">
        <f>IF('Key Inputs_New Techs'!B187="","",'Key Inputs_New Techs'!B187)</f>
        <v/>
      </c>
      <c r="L252" s="109" t="str">
        <f>IFERROR(VLOOKUP(K$251,'Commodities &amp; Processes'!L:M,2,FALSE),"")</f>
        <v>RSD Thermal uses technology: Electricity Heat Pump Air (Imp.) -New</v>
      </c>
      <c r="N252" s="109">
        <f>'Key Inputs_New Techs'!H187</f>
        <v>2050</v>
      </c>
      <c r="O252" s="206" t="s">
        <v>312</v>
      </c>
      <c r="P252" s="114" t="str">
        <f>'Key Inputs_New Techs'!J187</f>
        <v>USD/kW</v>
      </c>
      <c r="Q252" s="121">
        <f>'Key Inputs_New Techs'!K187</f>
        <v>695.90977515507632</v>
      </c>
      <c r="R252" s="121">
        <f>'Key Inputs_New Techs'!L187</f>
        <v>726.76595706335877</v>
      </c>
      <c r="S252" s="121">
        <f>'Key Inputs_New Techs'!M187</f>
        <v>699.48871461171132</v>
      </c>
      <c r="T252" s="121">
        <f>'Key Inputs_New Techs'!N187</f>
        <v>699.53510673699998</v>
      </c>
      <c r="U252" s="121">
        <f>'Key Inputs_New Techs'!O187</f>
        <v>858.49616825474118</v>
      </c>
      <c r="V252" s="121">
        <f>'Key Inputs_New Techs'!P187</f>
        <v>713.01630049066807</v>
      </c>
      <c r="W252" s="121">
        <f>'Key Inputs_New Techs'!Q187</f>
        <v>732.37366731086854</v>
      </c>
      <c r="X252" s="121">
        <f>'Key Inputs_New Techs'!R187</f>
        <v>707.34482101348101</v>
      </c>
      <c r="Y252" s="121">
        <f>'Key Inputs_New Techs'!S187</f>
        <v>739.29540495199126</v>
      </c>
      <c r="Z252" s="121">
        <f>'Key Inputs_New Techs'!T187</f>
        <v>862.28658220609213</v>
      </c>
      <c r="AA252" s="121">
        <f>'Key Inputs_New Techs'!U187</f>
        <v>728.79327042551927</v>
      </c>
      <c r="AB252" s="121">
        <f>'Key Inputs_New Techs'!V187</f>
        <v>740.97237010773472</v>
      </c>
      <c r="AC252" s="121">
        <f>'Key Inputs_New Techs'!W187</f>
        <v>735.21746543101608</v>
      </c>
      <c r="AD252" s="121">
        <f>'Key Inputs_New Techs'!X187</f>
        <v>933.84127405685729</v>
      </c>
      <c r="AE252" s="121">
        <f>'Key Inputs_New Techs'!Y187</f>
        <v>798.89509975531189</v>
      </c>
      <c r="AF252" s="121">
        <f>'Key Inputs_New Techs'!Z187</f>
        <v>858.10017019999998</v>
      </c>
      <c r="AG252" s="121">
        <f>'Key Inputs_New Techs'!AA187</f>
        <v>858.10017019999998</v>
      </c>
      <c r="AH252" s="121">
        <f>'Key Inputs_New Techs'!AB187</f>
        <v>727.4257492699345</v>
      </c>
      <c r="AI252" s="121">
        <f>'Key Inputs_New Techs'!AC187</f>
        <v>709.93478488910489</v>
      </c>
      <c r="AJ252" s="121">
        <f>'Key Inputs_New Techs'!AD187</f>
        <v>834.58852900834677</v>
      </c>
      <c r="AK252" s="121">
        <f>'Key Inputs_New Techs'!AE187</f>
        <v>728.79327042551927</v>
      </c>
      <c r="AL252" s="121">
        <f>'Key Inputs_New Techs'!AF187</f>
        <v>784.80878110488391</v>
      </c>
      <c r="AM252" s="121">
        <f>'Key Inputs_New Techs'!AG187</f>
        <v>748.9106642646592</v>
      </c>
      <c r="AN252" s="121">
        <f>'Key Inputs_New Techs'!AH187</f>
        <v>757.15104369931078</v>
      </c>
      <c r="AO252" s="121">
        <f>'Key Inputs_New Techs'!AI187</f>
        <v>699.48871461171132</v>
      </c>
      <c r="AP252" s="121">
        <f>'Key Inputs_New Techs'!AJ187</f>
        <v>789.48455162528194</v>
      </c>
      <c r="AQ252" s="121">
        <f>'Key Inputs_New Techs'!AK187</f>
        <v>837.85132696837354</v>
      </c>
      <c r="AR252" s="121">
        <f>'Key Inputs_New Techs'!AL187</f>
        <v>907.34347624326711</v>
      </c>
    </row>
    <row r="253" spans="11:44" x14ac:dyDescent="0.25">
      <c r="K253" s="201" t="str">
        <f>IF('Key Inputs_New Techs'!B188="","",'Key Inputs_New Techs'!B188)</f>
        <v>R-THH-HPA_ELC03</v>
      </c>
      <c r="L253" s="109" t="str">
        <f>IFERROR(VLOOKUP(K$253,'Commodities &amp; Processes'!L:M,2,FALSE),"")</f>
        <v>RSD Thermal uses technology: Electricity Heat Pump Air (Adv.) -New</v>
      </c>
      <c r="N253" s="109">
        <f>'Key Inputs_New Techs'!H188</f>
        <v>2030</v>
      </c>
      <c r="O253" s="206" t="s">
        <v>312</v>
      </c>
      <c r="P253" s="114" t="str">
        <f>'Key Inputs_New Techs'!J188</f>
        <v>USD/kW</v>
      </c>
      <c r="Q253" s="121">
        <f>'Key Inputs_New Techs'!K188</f>
        <v>1116.7645723142386</v>
      </c>
      <c r="R253" s="121">
        <f>'Key Inputs_New Techs'!L188</f>
        <v>1166.2811792398625</v>
      </c>
      <c r="S253" s="121">
        <f>'Key Inputs_New Techs'!M188</f>
        <v>1122.5078926904134</v>
      </c>
      <c r="T253" s="121">
        <f>'Key Inputs_New Techs'!N188</f>
        <v>1122.5823406775037</v>
      </c>
      <c r="U253" s="121">
        <f>'Key Inputs_New Techs'!O188</f>
        <v>1377.6758717906694</v>
      </c>
      <c r="V253" s="121">
        <f>'Key Inputs_New Techs'!P188</f>
        <v>1144.21635145605</v>
      </c>
      <c r="W253" s="121">
        <f>'Key Inputs_New Techs'!Q188</f>
        <v>1175.2801793398783</v>
      </c>
      <c r="X253" s="121">
        <f>'Key Inputs_New Techs'!R188</f>
        <v>1135.1150173767601</v>
      </c>
      <c r="Y253" s="121">
        <f>'Key Inputs_New Techs'!S188</f>
        <v>1186.3878712453948</v>
      </c>
      <c r="Z253" s="121">
        <f>'Key Inputs_New Techs'!T188</f>
        <v>1383.7585568834763</v>
      </c>
      <c r="AA253" s="121">
        <f>'Key Inputs_New Techs'!U188</f>
        <v>1169.5345201479361</v>
      </c>
      <c r="AB253" s="121">
        <f>'Key Inputs_New Techs'!V188</f>
        <v>1189.0789891773454</v>
      </c>
      <c r="AC253" s="121">
        <f>'Key Inputs_New Techs'!W188</f>
        <v>1179.8437781062371</v>
      </c>
      <c r="AD253" s="121">
        <f>'Key Inputs_New Techs'!X188</f>
        <v>1498.5862941774235</v>
      </c>
      <c r="AE253" s="121">
        <f>'Key Inputs_New Techs'!Y188</f>
        <v>1282.0307692953002</v>
      </c>
      <c r="AF253" s="121">
        <f>'Key Inputs_New Techs'!Z188</f>
        <v>1377.0403920000001</v>
      </c>
      <c r="AG253" s="121">
        <f>'Key Inputs_New Techs'!AA188</f>
        <v>1377.0403920000001</v>
      </c>
      <c r="AH253" s="121">
        <f>'Key Inputs_New Techs'!AB188</f>
        <v>1167.3399839695828</v>
      </c>
      <c r="AI253" s="121">
        <f>'Key Inputs_New Techs'!AC188</f>
        <v>1139.2712744134226</v>
      </c>
      <c r="AJ253" s="121">
        <f>'Key Inputs_New Techs'!AD188</f>
        <v>1339.3099722570796</v>
      </c>
      <c r="AK253" s="121">
        <f>'Key Inputs_New Techs'!AE188</f>
        <v>1169.5345201479361</v>
      </c>
      <c r="AL253" s="121">
        <f>'Key Inputs_New Techs'!AF188</f>
        <v>1259.4256814164557</v>
      </c>
      <c r="AM253" s="121">
        <f>'Key Inputs_New Techs'!AG188</f>
        <v>1201.8180050606718</v>
      </c>
      <c r="AN253" s="121">
        <f>'Key Inputs_New Techs'!AH188</f>
        <v>1215.0417937522373</v>
      </c>
      <c r="AO253" s="121">
        <f>'Key Inputs_New Techs'!AI188</f>
        <v>1122.5078926904134</v>
      </c>
      <c r="AP253" s="121">
        <f>'Key Inputs_New Techs'!AJ188</f>
        <v>1266.9291467389371</v>
      </c>
      <c r="AQ253" s="121">
        <f>'Key Inputs_New Techs'!AK188</f>
        <v>1344.5459630398864</v>
      </c>
      <c r="AR253" s="121">
        <f>'Key Inputs_New Techs'!AL188</f>
        <v>1456.063825174931</v>
      </c>
    </row>
    <row r="254" spans="11:44" x14ac:dyDescent="0.25">
      <c r="K254" s="201" t="str">
        <f>IF('Key Inputs_New Techs'!B189="","",'Key Inputs_New Techs'!B189)</f>
        <v/>
      </c>
      <c r="L254" s="109" t="str">
        <f>IFERROR(VLOOKUP(K$253,'Commodities &amp; Processes'!L:M,2,FALSE),"")</f>
        <v>RSD Thermal uses technology: Electricity Heat Pump Air (Adv.) -New</v>
      </c>
      <c r="N254" s="109">
        <f>'Key Inputs_New Techs'!H189</f>
        <v>2050</v>
      </c>
      <c r="O254" s="206" t="s">
        <v>312</v>
      </c>
      <c r="P254" s="114" t="str">
        <f>'Key Inputs_New Techs'!J189</f>
        <v>USD/kW</v>
      </c>
      <c r="Q254" s="121">
        <f>'Key Inputs_New Techs'!K189</f>
        <v>1065.0625087811718</v>
      </c>
      <c r="R254" s="121">
        <f>'Key Inputs_New Techs'!L189</f>
        <v>1112.2866802009801</v>
      </c>
      <c r="S254" s="121">
        <f>'Key Inputs_New Techs'!M189</f>
        <v>1070.5399346954869</v>
      </c>
      <c r="T254" s="121">
        <f>'Key Inputs_New Techs'!N189</f>
        <v>1070.610936016508</v>
      </c>
      <c r="U254" s="121">
        <f>'Key Inputs_New Techs'!O189</f>
        <v>1313.8945814299902</v>
      </c>
      <c r="V254" s="121">
        <f>'Key Inputs_New Techs'!P189</f>
        <v>1091.2433722219735</v>
      </c>
      <c r="W254" s="121">
        <f>'Key Inputs_New Techs'!Q189</f>
        <v>1120.8690599259951</v>
      </c>
      <c r="X254" s="121">
        <f>'Key Inputs_New Techs'!R189</f>
        <v>1082.5633962019101</v>
      </c>
      <c r="Y254" s="121">
        <f>'Key Inputs_New Techs'!S189</f>
        <v>1131.4625068358857</v>
      </c>
      <c r="Z254" s="121">
        <f>'Key Inputs_New Techs'!T189</f>
        <v>1319.6956607314635</v>
      </c>
      <c r="AA254" s="121">
        <f>'Key Inputs_New Techs'!U189</f>
        <v>1115.3894034744203</v>
      </c>
      <c r="AB254" s="121">
        <f>'Key Inputs_New Techs'!V189</f>
        <v>1134.0290359746905</v>
      </c>
      <c r="AC254" s="121">
        <f>'Key Inputs_New Techs'!W189</f>
        <v>1125.2213809716889</v>
      </c>
      <c r="AD254" s="121">
        <f>'Key Inputs_New Techs'!X189</f>
        <v>1429.2072990766169</v>
      </c>
      <c r="AE254" s="121">
        <f>'Key Inputs_New Techs'!Y189</f>
        <v>1222.677492939036</v>
      </c>
      <c r="AF254" s="121">
        <f>'Key Inputs_New Techs'!Z189</f>
        <v>1313.2885220000001</v>
      </c>
      <c r="AG254" s="121">
        <f>'Key Inputs_New Techs'!AA189</f>
        <v>1313.2885220000001</v>
      </c>
      <c r="AH254" s="121">
        <f>'Key Inputs_New Techs'!AB189</f>
        <v>1113.2964661932133</v>
      </c>
      <c r="AI254" s="121">
        <f>'Key Inputs_New Techs'!AC189</f>
        <v>1086.5272339313196</v>
      </c>
      <c r="AJ254" s="121">
        <f>'Key Inputs_New Techs'!AD189</f>
        <v>1277.3048809488814</v>
      </c>
      <c r="AK254" s="121">
        <f>'Key Inputs_New Techs'!AE189</f>
        <v>1115.3894034744203</v>
      </c>
      <c r="AL254" s="121">
        <f>'Key Inputs_New Techs'!AF189</f>
        <v>1201.1189369064346</v>
      </c>
      <c r="AM254" s="121">
        <f>'Key Inputs_New Techs'!AG189</f>
        <v>1146.178282604159</v>
      </c>
      <c r="AN254" s="121">
        <f>'Key Inputs_New Techs'!AH189</f>
        <v>1158.7898588563003</v>
      </c>
      <c r="AO254" s="121">
        <f>'Key Inputs_New Techs'!AI189</f>
        <v>1070.5399346954869</v>
      </c>
      <c r="AP254" s="121">
        <f>'Key Inputs_New Techs'!AJ189</f>
        <v>1208.2750195750973</v>
      </c>
      <c r="AQ254" s="121">
        <f>'Key Inputs_New Techs'!AK189</f>
        <v>1282.2984647510027</v>
      </c>
      <c r="AR254" s="121">
        <f>'Key Inputs_New Techs'!AL189</f>
        <v>1388.6534628983138</v>
      </c>
    </row>
    <row r="255" spans="11:44" x14ac:dyDescent="0.25">
      <c r="K255" s="201" t="str">
        <f>IF('Key Inputs_New Techs'!B190="","",'Key Inputs_New Techs'!B190)</f>
        <v>R-THH-HPA_ELC04</v>
      </c>
      <c r="L255" s="109" t="str">
        <f>IFERROR(VLOOKUP(K255,'Commodities &amp; Processes'!L:M,2,FALSE),"")</f>
        <v>RSD Thermal uses technology: Electricity Heat Pump Wat. (Ord.) -New</v>
      </c>
      <c r="N255" s="109">
        <f>'Key Inputs_New Techs'!H190</f>
        <v>2020</v>
      </c>
      <c r="O255" s="206" t="s">
        <v>312</v>
      </c>
      <c r="P255" s="114" t="str">
        <f>'Key Inputs_New Techs'!J190</f>
        <v>USD/kW</v>
      </c>
      <c r="Q255" s="121">
        <f>'Key Inputs_New Techs'!K190</f>
        <v>1071.2667564051399</v>
      </c>
      <c r="R255" s="121">
        <f>'Key Inputs_New Techs'!L190</f>
        <v>1118.7660200856458</v>
      </c>
      <c r="S255" s="121">
        <f>'Key Inputs_New Techs'!M190</f>
        <v>1076.776089654878</v>
      </c>
      <c r="T255" s="121">
        <f>'Key Inputs_New Techs'!N190</f>
        <v>1076.8475045758275</v>
      </c>
      <c r="U255" s="121">
        <f>'Key Inputs_New Techs'!O190</f>
        <v>1321.5483362732716</v>
      </c>
      <c r="V255" s="121">
        <f>'Key Inputs_New Techs'!P190</f>
        <v>1097.6001297300625</v>
      </c>
      <c r="W255" s="121">
        <f>'Key Inputs_New Techs'!Q190</f>
        <v>1127.3983942556608</v>
      </c>
      <c r="X255" s="121">
        <f>'Key Inputs_New Techs'!R190</f>
        <v>1088.8695907428919</v>
      </c>
      <c r="Y255" s="121">
        <f>'Key Inputs_New Techs'!S190</f>
        <v>1138.0535505650266</v>
      </c>
      <c r="Z255" s="121">
        <f>'Key Inputs_New Techs'!T190</f>
        <v>1327.3832082697049</v>
      </c>
      <c r="AA255" s="121">
        <f>'Key Inputs_New Techs'!U190</f>
        <v>1121.8868174752422</v>
      </c>
      <c r="AB255" s="121">
        <f>'Key Inputs_New Techs'!V190</f>
        <v>1140.6350303590091</v>
      </c>
      <c r="AC255" s="121">
        <f>'Key Inputs_New Techs'!W190</f>
        <v>1131.7760686278345</v>
      </c>
      <c r="AD255" s="121">
        <f>'Key Inputs_New Techs'!X190</f>
        <v>1437.5327784887133</v>
      </c>
      <c r="AE255" s="121">
        <f>'Key Inputs_New Techs'!Y190</f>
        <v>1229.7998861017877</v>
      </c>
      <c r="AF255" s="121">
        <f>'Key Inputs_New Techs'!Z190</f>
        <v>1320.9387463999999</v>
      </c>
      <c r="AG255" s="121">
        <f>'Key Inputs_New Techs'!AA190</f>
        <v>1320.9387463999999</v>
      </c>
      <c r="AH255" s="121">
        <f>'Key Inputs_New Techs'!AB190</f>
        <v>1119.7816883263774</v>
      </c>
      <c r="AI255" s="121">
        <f>'Key Inputs_New Techs'!AC190</f>
        <v>1092.8565187891718</v>
      </c>
      <c r="AJ255" s="121">
        <f>'Key Inputs_New Techs'!AD190</f>
        <v>1284.745491905865</v>
      </c>
      <c r="AK255" s="121">
        <f>'Key Inputs_New Techs'!AE190</f>
        <v>1121.8868174752422</v>
      </c>
      <c r="AL255" s="121">
        <f>'Key Inputs_New Techs'!AF190</f>
        <v>1208.1157462476369</v>
      </c>
      <c r="AM255" s="121">
        <f>'Key Inputs_New Techs'!AG190</f>
        <v>1152.8550492989405</v>
      </c>
      <c r="AN255" s="121">
        <f>'Key Inputs_New Techs'!AH190</f>
        <v>1165.5400910438127</v>
      </c>
      <c r="AO255" s="121">
        <f>'Key Inputs_New Techs'!AI190</f>
        <v>1076.776089654878</v>
      </c>
      <c r="AP255" s="121">
        <f>'Key Inputs_New Techs'!AJ190</f>
        <v>1215.3135148347581</v>
      </c>
      <c r="AQ255" s="121">
        <f>'Key Inputs_New Techs'!AK190</f>
        <v>1289.7681645456685</v>
      </c>
      <c r="AR255" s="121">
        <f>'Key Inputs_New Techs'!AL190</f>
        <v>1396.7427063715077</v>
      </c>
    </row>
    <row r="256" spans="11:44" x14ac:dyDescent="0.25">
      <c r="K256" s="201" t="str">
        <f>IF('Key Inputs_New Techs'!B191="","",'Key Inputs_New Techs'!B191)</f>
        <v>R-THH-HPA_ELC05</v>
      </c>
      <c r="L256" s="109" t="str">
        <f>IFERROR(VLOOKUP(K$256,'Commodities &amp; Processes'!L:M,2,FALSE),"")</f>
        <v>RSD Thermal uses technology: Electricity Heat Pump Wat. (Imp.) -New</v>
      </c>
      <c r="N256" s="109">
        <f>'Key Inputs_New Techs'!H191</f>
        <v>2030</v>
      </c>
      <c r="O256" s="206" t="s">
        <v>312</v>
      </c>
      <c r="P256" s="114" t="str">
        <f>'Key Inputs_New Techs'!J191</f>
        <v>USD/kW</v>
      </c>
      <c r="Q256" s="121">
        <f>'Key Inputs_New Techs'!K191</f>
        <v>1141.3526332750655</v>
      </c>
      <c r="R256" s="121">
        <f>'Key Inputs_New Techs'!L191</f>
        <v>1191.9594586584058</v>
      </c>
      <c r="S256" s="121">
        <f>'Key Inputs_New Techs'!M191</f>
        <v>1147.222405649296</v>
      </c>
      <c r="T256" s="121">
        <f>'Key Inputs_New Techs'!N191</f>
        <v>1147.2984927747423</v>
      </c>
      <c r="U256" s="121">
        <f>'Key Inputs_New Techs'!O191</f>
        <v>1408.0084764950366</v>
      </c>
      <c r="V256" s="121">
        <f>'Key Inputs_New Techs'!P191</f>
        <v>1169.4088245156806</v>
      </c>
      <c r="W256" s="121">
        <f>'Key Inputs_New Techs'!Q191</f>
        <v>1201.156591801438</v>
      </c>
      <c r="X256" s="121">
        <f>'Key Inputs_New Techs'!R191</f>
        <v>1160.1071042827516</v>
      </c>
      <c r="Y256" s="121">
        <f>'Key Inputs_New Techs'!S191</f>
        <v>1212.5088442996503</v>
      </c>
      <c r="Z256" s="121">
        <f>'Key Inputs_New Techs'!T191</f>
        <v>1414.2250854564682</v>
      </c>
      <c r="AA256" s="121">
        <f>'Key Inputs_New Techs'!U191</f>
        <v>1195.2844291171984</v>
      </c>
      <c r="AB256" s="121">
        <f>'Key Inputs_New Techs'!V191</f>
        <v>1215.2592131904908</v>
      </c>
      <c r="AC256" s="121">
        <f>'Key Inputs_New Techs'!W191</f>
        <v>1205.8206683654005</v>
      </c>
      <c r="AD256" s="121">
        <f>'Key Inputs_New Techs'!X191</f>
        <v>1531.5810113002426</v>
      </c>
      <c r="AE256" s="121">
        <f>'Key Inputs_New Techs'!Y191</f>
        <v>1310.2575339067214</v>
      </c>
      <c r="AF256" s="121">
        <f>'Key Inputs_New Techs'!Z191</f>
        <v>1407.3590052005</v>
      </c>
      <c r="AG256" s="121">
        <f>'Key Inputs_New Techs'!AA191</f>
        <v>1407.3590052005</v>
      </c>
      <c r="AH256" s="121">
        <f>'Key Inputs_New Techs'!AB191</f>
        <v>1193.0415753339787</v>
      </c>
      <c r="AI256" s="121">
        <f>'Key Inputs_New Techs'!AC191</f>
        <v>1164.3548705810076</v>
      </c>
      <c r="AJ256" s="121">
        <f>'Key Inputs_New Techs'!AD191</f>
        <v>1368.7978661782295</v>
      </c>
      <c r="AK256" s="121">
        <f>'Key Inputs_New Techs'!AE191</f>
        <v>1195.2844291171984</v>
      </c>
      <c r="AL256" s="121">
        <f>'Key Inputs_New Techs'!AF191</f>
        <v>1287.1547446389102</v>
      </c>
      <c r="AM256" s="121">
        <f>'Key Inputs_New Techs'!AG191</f>
        <v>1228.2787068995694</v>
      </c>
      <c r="AN256" s="121">
        <f>'Key Inputs_New Techs'!AH191</f>
        <v>1241.7936467706602</v>
      </c>
      <c r="AO256" s="121">
        <f>'Key Inputs_New Techs'!AI191</f>
        <v>1147.222405649296</v>
      </c>
      <c r="AP256" s="121">
        <f>'Key Inputs_New Techs'!AJ191</f>
        <v>1294.8234154732249</v>
      </c>
      <c r="AQ256" s="121">
        <f>'Key Inputs_New Techs'!AK191</f>
        <v>1374.1491389674229</v>
      </c>
      <c r="AR256" s="121">
        <f>'Key Inputs_New Techs'!AL191</f>
        <v>1488.122315374047</v>
      </c>
    </row>
    <row r="257" spans="11:44" x14ac:dyDescent="0.25">
      <c r="K257" s="201" t="str">
        <f>IF('Key Inputs_New Techs'!B192="","",'Key Inputs_New Techs'!B192)</f>
        <v/>
      </c>
      <c r="L257" s="109" t="str">
        <f>IFERROR(VLOOKUP(K$256,'Commodities &amp; Processes'!L:M,2,FALSE),"")</f>
        <v>RSD Thermal uses technology: Electricity Heat Pump Wat. (Imp.) -New</v>
      </c>
      <c r="N257" s="109">
        <f>'Key Inputs_New Techs'!H192</f>
        <v>2050</v>
      </c>
      <c r="O257" s="206" t="s">
        <v>312</v>
      </c>
      <c r="P257" s="114" t="str">
        <f>'Key Inputs_New Techs'!J192</f>
        <v>USD/kW</v>
      </c>
      <c r="Q257" s="121">
        <f>'Key Inputs_New Techs'!K192</f>
        <v>992.37809340035381</v>
      </c>
      <c r="R257" s="121">
        <f>'Key Inputs_New Techs'!L192</f>
        <v>1036.3794856281497</v>
      </c>
      <c r="S257" s="121">
        <f>'Key Inputs_New Techs'!M192</f>
        <v>997.48171637156327</v>
      </c>
      <c r="T257" s="121">
        <f>'Key Inputs_New Techs'!N192</f>
        <v>997.54787225913151</v>
      </c>
      <c r="U257" s="121">
        <f>'Key Inputs_New Techs'!O192</f>
        <v>1224.228802439656</v>
      </c>
      <c r="V257" s="121">
        <f>'Key Inputs_New Techs'!P192</f>
        <v>1016.7722628793734</v>
      </c>
      <c r="W257" s="121">
        <f>'Key Inputs_New Techs'!Q192</f>
        <v>1044.3761670981366</v>
      </c>
      <c r="X257" s="121">
        <f>'Key Inputs_New Techs'!R192</f>
        <v>1008.6846455024283</v>
      </c>
      <c r="Y257" s="121">
        <f>'Key Inputs_New Techs'!S192</f>
        <v>1054.2466719373369</v>
      </c>
      <c r="Z257" s="121">
        <f>'Key Inputs_New Techs'!T192</f>
        <v>1229.633991308287</v>
      </c>
      <c r="AA257" s="121">
        <f>'Key Inputs_New Techs'!U192</f>
        <v>1039.2704658110586</v>
      </c>
      <c r="AB257" s="121">
        <f>'Key Inputs_New Techs'!V192</f>
        <v>1056.638050163896</v>
      </c>
      <c r="AC257" s="121">
        <f>'Key Inputs_New Techs'!W192</f>
        <v>1048.431467163233</v>
      </c>
      <c r="AD257" s="121">
        <f>'Key Inputs_New Techs'!X192</f>
        <v>1331.6720876360596</v>
      </c>
      <c r="AE257" s="121">
        <f>'Key Inputs_New Techs'!Y192</f>
        <v>1139.236757732557</v>
      </c>
      <c r="AF257" s="121">
        <f>'Key Inputs_New Techs'!Z192</f>
        <v>1223.6641030941601</v>
      </c>
      <c r="AG257" s="121">
        <f>'Key Inputs_New Techs'!AA192</f>
        <v>1223.6641030941601</v>
      </c>
      <c r="AH257" s="121">
        <f>'Key Inputs_New Techs'!AB192</f>
        <v>1037.320359510624</v>
      </c>
      <c r="AI257" s="121">
        <f>'Key Inputs_New Techs'!AC192</f>
        <v>1012.377974012284</v>
      </c>
      <c r="AJ257" s="121">
        <f>'Key Inputs_New Techs'!AD192</f>
        <v>1190.1361394248947</v>
      </c>
      <c r="AK257" s="121">
        <f>'Key Inputs_New Techs'!AE192</f>
        <v>1039.2704658110586</v>
      </c>
      <c r="AL257" s="121">
        <f>'Key Inputs_New Techs'!AF192</f>
        <v>1119.1494496584226</v>
      </c>
      <c r="AM257" s="121">
        <f>'Key Inputs_New Techs'!AG192</f>
        <v>1067.9581803036751</v>
      </c>
      <c r="AN257" s="121">
        <f>'Key Inputs_New Techs'!AH192</f>
        <v>1079.7090887176755</v>
      </c>
      <c r="AO257" s="121">
        <f>'Key Inputs_New Techs'!AI192</f>
        <v>997.48171637156327</v>
      </c>
      <c r="AP257" s="121">
        <f>'Key Inputs_New Techs'!AJ192</f>
        <v>1125.8171706761023</v>
      </c>
      <c r="AQ257" s="121">
        <f>'Key Inputs_New Techs'!AK192</f>
        <v>1194.7889397365448</v>
      </c>
      <c r="AR257" s="121">
        <f>'Key Inputs_New Techs'!AL192</f>
        <v>1293.8858184782525</v>
      </c>
    </row>
    <row r="258" spans="11:44" x14ac:dyDescent="0.25">
      <c r="K258" s="201" t="str">
        <f>IF('Key Inputs_New Techs'!B193="","",'Key Inputs_New Techs'!B193)</f>
        <v>R-THH-HPA_ELC06</v>
      </c>
      <c r="L258" s="109" t="str">
        <f>IFERROR(VLOOKUP(K$258,'Commodities &amp; Processes'!L:M,2,FALSE),"")</f>
        <v>RSD Thermal uses technology: Electricity Heat Pump Wat. (Adv.) -New</v>
      </c>
      <c r="N258" s="109">
        <f>'Key Inputs_New Techs'!H193</f>
        <v>2020</v>
      </c>
      <c r="O258" s="206" t="s">
        <v>312</v>
      </c>
      <c r="P258" s="114" t="str">
        <f>'Key Inputs_New Techs'!J193</f>
        <v>USD/kW</v>
      </c>
      <c r="Q258" s="121">
        <f>'Key Inputs_New Techs'!K193</f>
        <v>1476.2405316611644</v>
      </c>
      <c r="R258" s="121">
        <f>'Key Inputs_New Techs'!L193</f>
        <v>1541.6960662887184</v>
      </c>
      <c r="S258" s="121">
        <f>'Key Inputs_New Techs'!M193</f>
        <v>1483.832572576337</v>
      </c>
      <c r="T258" s="121">
        <f>'Key Inputs_New Techs'!N193</f>
        <v>1483.9309846667345</v>
      </c>
      <c r="U258" s="121">
        <f>'Key Inputs_New Techs'!O193</f>
        <v>1821.136712113343</v>
      </c>
      <c r="V258" s="121">
        <f>'Key Inputs_New Techs'!P193</f>
        <v>1512.5287790142954</v>
      </c>
      <c r="W258" s="121">
        <f>'Key Inputs_New Techs'!Q193</f>
        <v>1553.5917594557541</v>
      </c>
      <c r="X258" s="121">
        <f>'Key Inputs_New Techs'!R193</f>
        <v>1500.4978115273932</v>
      </c>
      <c r="Y258" s="121">
        <f>'Key Inputs_New Techs'!S193</f>
        <v>1568.2749123875737</v>
      </c>
      <c r="Z258" s="121">
        <f>'Key Inputs_New Techs'!T193</f>
        <v>1829.1773560395061</v>
      </c>
      <c r="AA258" s="121">
        <f>'Key Inputs_New Techs'!U193</f>
        <v>1545.996626882127</v>
      </c>
      <c r="AB258" s="121">
        <f>'Key Inputs_New Techs'!V193</f>
        <v>1571.8322757433912</v>
      </c>
      <c r="AC258" s="121">
        <f>'Key Inputs_New Techs'!W193</f>
        <v>1559.6243375265078</v>
      </c>
      <c r="AD258" s="121">
        <f>'Key Inputs_New Techs'!X193</f>
        <v>1980.9670565320528</v>
      </c>
      <c r="AE258" s="121">
        <f>'Key Inputs_New Techs'!Y193</f>
        <v>1694.7043552326479</v>
      </c>
      <c r="AF258" s="121">
        <f>'Key Inputs_New Techs'!Z193</f>
        <v>1820.2966773850801</v>
      </c>
      <c r="AG258" s="121">
        <f>'Key Inputs_New Techs'!AA193</f>
        <v>1820.2966773850801</v>
      </c>
      <c r="AH258" s="121">
        <f>'Key Inputs_New Techs'!AB193</f>
        <v>1543.0956902523337</v>
      </c>
      <c r="AI258" s="121">
        <f>'Key Inputs_New Techs'!AC193</f>
        <v>1505.9919284161556</v>
      </c>
      <c r="AJ258" s="121">
        <f>'Key Inputs_New Techs'!AD193</f>
        <v>1770.4211921826222</v>
      </c>
      <c r="AK258" s="121">
        <f>'Key Inputs_New Techs'!AE193</f>
        <v>1545.996626882127</v>
      </c>
      <c r="AL258" s="121">
        <f>'Key Inputs_New Techs'!AF193</f>
        <v>1664.8229032455388</v>
      </c>
      <c r="AM258" s="121">
        <f>'Key Inputs_New Techs'!AG193</f>
        <v>1588.6718604210021</v>
      </c>
      <c r="AN258" s="121">
        <f>'Key Inputs_New Techs'!AH193</f>
        <v>1606.1522616913951</v>
      </c>
      <c r="AO258" s="121">
        <f>'Key Inputs_New Techs'!AI193</f>
        <v>1483.832572576337</v>
      </c>
      <c r="AP258" s="121">
        <f>'Key Inputs_New Techs'!AJ193</f>
        <v>1674.7416631270476</v>
      </c>
      <c r="AQ258" s="121">
        <f>'Key Inputs_New Techs'!AK193</f>
        <v>1777.3425989039742</v>
      </c>
      <c r="AR258" s="121">
        <f>'Key Inputs_New Techs'!AL193</f>
        <v>1924.7570067113447</v>
      </c>
    </row>
    <row r="259" spans="11:44" x14ac:dyDescent="0.25">
      <c r="K259" s="201" t="str">
        <f>IF('Key Inputs_New Techs'!B194="","",'Key Inputs_New Techs'!B194)</f>
        <v/>
      </c>
      <c r="L259" s="109" t="str">
        <f>IFERROR(VLOOKUP(K$258,'Commodities &amp; Processes'!L:M,2,FALSE),"")</f>
        <v>RSD Thermal uses technology: Electricity Heat Pump Wat. (Adv.) -New</v>
      </c>
      <c r="N259" s="109">
        <f>'Key Inputs_New Techs'!H194</f>
        <v>2020</v>
      </c>
      <c r="O259" s="206" t="s">
        <v>312</v>
      </c>
      <c r="P259" s="114" t="str">
        <f>'Key Inputs_New Techs'!J194</f>
        <v>USD/kW</v>
      </c>
      <c r="Q259" s="121">
        <f>'Key Inputs_New Techs'!K194</f>
        <v>1330.8000813253566</v>
      </c>
      <c r="R259" s="121">
        <f>'Key Inputs_New Techs'!L194</f>
        <v>1389.8068820040533</v>
      </c>
      <c r="S259" s="121">
        <f>'Key Inputs_New Techs'!M194</f>
        <v>1337.6441480276628</v>
      </c>
      <c r="T259" s="121">
        <f>'Key Inputs_New Techs'!N194</f>
        <v>1337.7328644767072</v>
      </c>
      <c r="U259" s="121">
        <f>'Key Inputs_New Techs'!O194</f>
        <v>1641.7168019752633</v>
      </c>
      <c r="V259" s="121">
        <f>'Key Inputs_New Techs'!P194</f>
        <v>1363.5131802363853</v>
      </c>
      <c r="W259" s="121">
        <f>'Key Inputs_New Techs'!Q194</f>
        <v>1400.5306015433744</v>
      </c>
      <c r="X259" s="121">
        <f>'Key Inputs_New Techs'!R194</f>
        <v>1352.6675137161906</v>
      </c>
      <c r="Y259" s="121">
        <f>'Key Inputs_New Techs'!S194</f>
        <v>1413.767157982988</v>
      </c>
      <c r="Z259" s="121">
        <f>'Key Inputs_New Techs'!T194</f>
        <v>1648.9652749451832</v>
      </c>
      <c r="AA259" s="121">
        <f>'Key Inputs_New Techs'!U194</f>
        <v>1393.6837477753868</v>
      </c>
      <c r="AB259" s="121">
        <f>'Key Inputs_New Techs'!V194</f>
        <v>1416.9740469293972</v>
      </c>
      <c r="AC259" s="121">
        <f>'Key Inputs_New Techs'!W194</f>
        <v>1405.9688449833691</v>
      </c>
      <c r="AD259" s="121">
        <f>'Key Inputs_New Techs'!X194</f>
        <v>1785.8005273498347</v>
      </c>
      <c r="AE259" s="121">
        <f>'Key Inputs_New Techs'!Y194</f>
        <v>1527.740666507927</v>
      </c>
      <c r="AF259" s="121">
        <f>'Key Inputs_New Techs'!Z194</f>
        <v>1640.9595281701399</v>
      </c>
      <c r="AG259" s="121">
        <f>'Key Inputs_New Techs'!AA194</f>
        <v>1640.9595281701399</v>
      </c>
      <c r="AH259" s="121">
        <f>'Key Inputs_New Techs'!AB194</f>
        <v>1391.0686138456172</v>
      </c>
      <c r="AI259" s="121">
        <f>'Key Inputs_New Techs'!AC194</f>
        <v>1357.6203456196395</v>
      </c>
      <c r="AJ259" s="121">
        <f>'Key Inputs_New Techs'!AD194</f>
        <v>1595.9978174326061</v>
      </c>
      <c r="AK259" s="121">
        <f>'Key Inputs_New Techs'!AE194</f>
        <v>1393.6837477753868</v>
      </c>
      <c r="AL259" s="121">
        <f>'Key Inputs_New Techs'!AF194</f>
        <v>1500.8031601316341</v>
      </c>
      <c r="AM259" s="121">
        <f>'Key Inputs_New Techs'!AG194</f>
        <v>1432.1545816578623</v>
      </c>
      <c r="AN259" s="121">
        <f>'Key Inputs_New Techs'!AH194</f>
        <v>1447.9127991930911</v>
      </c>
      <c r="AO259" s="121">
        <f>'Key Inputs_New Techs'!AI194</f>
        <v>1337.6441480276628</v>
      </c>
      <c r="AP259" s="121">
        <f>'Key Inputs_New Techs'!AJ194</f>
        <v>1509.7447155041216</v>
      </c>
      <c r="AQ259" s="121">
        <f>'Key Inputs_New Techs'!AK194</f>
        <v>1602.2373213820717</v>
      </c>
      <c r="AR259" s="121">
        <f>'Key Inputs_New Techs'!AL194</f>
        <v>1735.1283385917295</v>
      </c>
    </row>
    <row r="260" spans="11:44" x14ac:dyDescent="0.25">
      <c r="K260" s="201" t="str">
        <f>IF('Key Inputs_New Techs'!B195="","",'Key Inputs_New Techs'!B195)</f>
        <v>R-THH-RST_ELC07</v>
      </c>
      <c r="L260" s="109" t="str">
        <f>IFERROR(VLOOKUP(K$260,'Commodities &amp; Processes'!L:M,2,FALSE),"")</f>
        <v>RSD Thermal uses technology: Electricity Electr. Resist. (Ord.) -New</v>
      </c>
      <c r="N260" s="109">
        <f>'Key Inputs_New Techs'!H195</f>
        <v>2020</v>
      </c>
      <c r="O260" s="206" t="s">
        <v>312</v>
      </c>
      <c r="P260" s="114" t="str">
        <f>'Key Inputs_New Techs'!J195</f>
        <v>USD/kW</v>
      </c>
      <c r="Q260" s="121">
        <f>'Key Inputs_New Techs'!K195</f>
        <v>62.042476239679928</v>
      </c>
      <c r="R260" s="121">
        <f>'Key Inputs_New Techs'!L195</f>
        <v>64.793398846659045</v>
      </c>
      <c r="S260" s="121">
        <f>'Key Inputs_New Techs'!M195</f>
        <v>62.361549593911867</v>
      </c>
      <c r="T260" s="121">
        <f>'Key Inputs_New Techs'!N195</f>
        <v>62.365685593194662</v>
      </c>
      <c r="U260" s="121">
        <f>'Key Inputs_New Techs'!O195</f>
        <v>76.537548432814987</v>
      </c>
      <c r="V260" s="121">
        <f>'Key Inputs_New Techs'!P195</f>
        <v>63.567575080891672</v>
      </c>
      <c r="W260" s="121">
        <f>'Key Inputs_New Techs'!Q195</f>
        <v>65.293343296659913</v>
      </c>
      <c r="X260" s="121">
        <f>'Key Inputs_New Techs'!R195</f>
        <v>63.061945409820019</v>
      </c>
      <c r="Y260" s="121">
        <f>'Key Inputs_New Techs'!S195</f>
        <v>65.91043729141083</v>
      </c>
      <c r="Z260" s="121">
        <f>'Key Inputs_New Techs'!T195</f>
        <v>76.87547538241536</v>
      </c>
      <c r="AA260" s="121">
        <f>'Key Inputs_New Techs'!U195</f>
        <v>64.974140008218683</v>
      </c>
      <c r="AB260" s="121">
        <f>'Key Inputs_New Techs'!V195</f>
        <v>66.059943843185877</v>
      </c>
      <c r="AC260" s="121">
        <f>'Key Inputs_New Techs'!W195</f>
        <v>65.546876561457623</v>
      </c>
      <c r="AD260" s="121">
        <f>'Key Inputs_New Techs'!X195</f>
        <v>83.254794120967986</v>
      </c>
      <c r="AE260" s="121">
        <f>'Key Inputs_New Techs'!Y195</f>
        <v>71.223931627516677</v>
      </c>
      <c r="AF260" s="121">
        <f>'Key Inputs_New Techs'!Z195</f>
        <v>76.502244000000019</v>
      </c>
      <c r="AG260" s="121">
        <f>'Key Inputs_New Techs'!AA195</f>
        <v>76.502244000000019</v>
      </c>
      <c r="AH260" s="121">
        <f>'Key Inputs_New Techs'!AB195</f>
        <v>64.852221331643506</v>
      </c>
      <c r="AI260" s="121">
        <f>'Key Inputs_New Techs'!AC195</f>
        <v>63.292848578523483</v>
      </c>
      <c r="AJ260" s="121">
        <f>'Key Inputs_New Techs'!AD195</f>
        <v>74.406109569837767</v>
      </c>
      <c r="AK260" s="121">
        <f>'Key Inputs_New Techs'!AE195</f>
        <v>64.974140008218683</v>
      </c>
      <c r="AL260" s="121">
        <f>'Key Inputs_New Techs'!AF195</f>
        <v>69.96809341202534</v>
      </c>
      <c r="AM260" s="121">
        <f>'Key Inputs_New Techs'!AG195</f>
        <v>66.767666947815101</v>
      </c>
      <c r="AN260" s="121">
        <f>'Key Inputs_New Techs'!AH195</f>
        <v>67.502321875124309</v>
      </c>
      <c r="AO260" s="121">
        <f>'Key Inputs_New Techs'!AI195</f>
        <v>62.361549593911867</v>
      </c>
      <c r="AP260" s="121">
        <f>'Key Inputs_New Techs'!AJ195</f>
        <v>70.384952596607633</v>
      </c>
      <c r="AQ260" s="121">
        <f>'Key Inputs_New Techs'!AK195</f>
        <v>74.69699794666036</v>
      </c>
      <c r="AR260" s="121">
        <f>'Key Inputs_New Techs'!AL195</f>
        <v>80.892434731940625</v>
      </c>
    </row>
    <row r="261" spans="11:44" x14ac:dyDescent="0.25">
      <c r="K261" s="201" t="str">
        <f>IF('Key Inputs_New Techs'!B196="","",'Key Inputs_New Techs'!B196)</f>
        <v/>
      </c>
      <c r="L261" s="109" t="str">
        <f>IFERROR(VLOOKUP(K$260,'Commodities &amp; Processes'!L:M,2,FALSE),"")</f>
        <v>RSD Thermal uses technology: Electricity Electr. Resist. (Ord.) -New</v>
      </c>
      <c r="N261" s="109">
        <f>'Key Inputs_New Techs'!H196</f>
        <v>2030</v>
      </c>
      <c r="O261" s="206" t="s">
        <v>312</v>
      </c>
      <c r="P261" s="114" t="str">
        <f>'Key Inputs_New Techs'!J196</f>
        <v>USD/kW</v>
      </c>
      <c r="Q261" s="121">
        <f>'Key Inputs_New Techs'!K196</f>
        <v>78.18121647998349</v>
      </c>
      <c r="R261" s="121">
        <f>'Key Inputs_New Techs'!L196</f>
        <v>81.64772021889074</v>
      </c>
      <c r="S261" s="121">
        <f>'Key Inputs_New Techs'!M196</f>
        <v>78.583288487616343</v>
      </c>
      <c r="T261" s="121">
        <f>'Key Inputs_New Techs'!N196</f>
        <v>78.588500359786636</v>
      </c>
      <c r="U261" s="121">
        <f>'Key Inputs_New Techs'!O196</f>
        <v>96.446805568442585</v>
      </c>
      <c r="V261" s="121">
        <f>'Key Inputs_New Techs'!P196</f>
        <v>80.103030209621352</v>
      </c>
      <c r="W261" s="121">
        <f>'Key Inputs_New Techs'!Q196</f>
        <v>82.277712244394166</v>
      </c>
      <c r="X261" s="121">
        <f>'Key Inputs_New Techs'!R196</f>
        <v>79.465874100312575</v>
      </c>
      <c r="Y261" s="121">
        <f>'Key Inputs_New Techs'!S196</f>
        <v>83.055327228775852</v>
      </c>
      <c r="Z261" s="121">
        <f>'Key Inputs_New Techs'!T196</f>
        <v>96.872635445043016</v>
      </c>
      <c r="AA261" s="121">
        <f>'Key Inputs_New Techs'!U196</f>
        <v>81.875476503539161</v>
      </c>
      <c r="AB261" s="121">
        <f>'Key Inputs_New Techs'!V196</f>
        <v>83.243724030417766</v>
      </c>
      <c r="AC261" s="121">
        <f>'Key Inputs_New Techs'!W196</f>
        <v>82.597195609040241</v>
      </c>
      <c r="AD261" s="121">
        <f>'Key Inputs_New Techs'!X196</f>
        <v>104.9113684151275</v>
      </c>
      <c r="AE261" s="121">
        <f>'Key Inputs_New Techs'!Y196</f>
        <v>89.75098923542177</v>
      </c>
      <c r="AF261" s="121">
        <f>'Key Inputs_New Techs'!Z196</f>
        <v>96.402317603553072</v>
      </c>
      <c r="AG261" s="121">
        <f>'Key Inputs_New Techs'!AA196</f>
        <v>96.402317603553072</v>
      </c>
      <c r="AH261" s="121">
        <f>'Key Inputs_New Techs'!AB196</f>
        <v>81.721843846946697</v>
      </c>
      <c r="AI261" s="121">
        <f>'Key Inputs_New Techs'!AC196</f>
        <v>79.756840736598676</v>
      </c>
      <c r="AJ261" s="121">
        <f>'Key Inputs_New Techs'!AD196</f>
        <v>93.760928194423528</v>
      </c>
      <c r="AK261" s="121">
        <f>'Key Inputs_New Techs'!AE196</f>
        <v>81.875476503539161</v>
      </c>
      <c r="AL261" s="121">
        <f>'Key Inputs_New Techs'!AF196</f>
        <v>88.168477296184065</v>
      </c>
      <c r="AM261" s="121">
        <f>'Key Inputs_New Techs'!AG196</f>
        <v>84.135542935858496</v>
      </c>
      <c r="AN261" s="121">
        <f>'Key Inputs_New Techs'!AH196</f>
        <v>85.061299278789775</v>
      </c>
      <c r="AO261" s="121">
        <f>'Key Inputs_New Techs'!AI196</f>
        <v>78.583288487616343</v>
      </c>
      <c r="AP261" s="121">
        <f>'Key Inputs_New Techs'!AJ196</f>
        <v>88.693771580467555</v>
      </c>
      <c r="AQ261" s="121">
        <f>'Key Inputs_New Techs'!AK196</f>
        <v>94.127483634151986</v>
      </c>
      <c r="AR261" s="121">
        <f>'Key Inputs_New Techs'!AL196</f>
        <v>101.93450253241232</v>
      </c>
    </row>
    <row r="262" spans="11:44" x14ac:dyDescent="0.25">
      <c r="K262" s="201" t="str">
        <f>IF('Key Inputs_New Techs'!B197="","",'Key Inputs_New Techs'!B197)</f>
        <v/>
      </c>
      <c r="L262" s="109" t="str">
        <f>IFERROR(VLOOKUP(K$260,'Commodities &amp; Processes'!L:M,2,FALSE),"")</f>
        <v>RSD Thermal uses technology: Electricity Electr. Resist. (Ord.) -New</v>
      </c>
      <c r="N262" s="109">
        <f>'Key Inputs_New Techs'!H197</f>
        <v>2050</v>
      </c>
      <c r="O262" s="206" t="s">
        <v>312</v>
      </c>
      <c r="P262" s="114" t="str">
        <f>'Key Inputs_New Techs'!J197</f>
        <v>USD/kW</v>
      </c>
      <c r="Q262" s="121">
        <f>'Key Inputs_New Techs'!K197</f>
        <v>71.348847675631916</v>
      </c>
      <c r="R262" s="121">
        <f>'Key Inputs_New Techs'!L197</f>
        <v>74.512408673657887</v>
      </c>
      <c r="S262" s="121">
        <f>'Key Inputs_New Techs'!M197</f>
        <v>71.715782032998646</v>
      </c>
      <c r="T262" s="121">
        <f>'Key Inputs_New Techs'!N197</f>
        <v>71.720538432173853</v>
      </c>
      <c r="U262" s="121">
        <f>'Key Inputs_New Techs'!O197</f>
        <v>88.018180697737222</v>
      </c>
      <c r="V262" s="121">
        <f>'Key Inputs_New Techs'!P197</f>
        <v>73.102711343025419</v>
      </c>
      <c r="W262" s="121">
        <f>'Key Inputs_New Techs'!Q197</f>
        <v>75.087344791158898</v>
      </c>
      <c r="X262" s="121">
        <f>'Key Inputs_New Techs'!R197</f>
        <v>72.521237221293006</v>
      </c>
      <c r="Y262" s="121">
        <f>'Key Inputs_New Techs'!S197</f>
        <v>75.797002885122453</v>
      </c>
      <c r="Z262" s="121">
        <f>'Key Inputs_New Techs'!T197</f>
        <v>88.406796689777664</v>
      </c>
      <c r="AA262" s="121">
        <f>'Key Inputs_New Techs'!U197</f>
        <v>74.720261009451463</v>
      </c>
      <c r="AB262" s="121">
        <f>'Key Inputs_New Techs'!V197</f>
        <v>75.968935419663751</v>
      </c>
      <c r="AC262" s="121">
        <f>'Key Inputs_New Techs'!W197</f>
        <v>75.378908045676255</v>
      </c>
      <c r="AD262" s="121">
        <f>'Key Inputs_New Techs'!X197</f>
        <v>95.743013239113168</v>
      </c>
      <c r="AE262" s="121">
        <f>'Key Inputs_New Techs'!Y197</f>
        <v>81.907521371644179</v>
      </c>
      <c r="AF262" s="121">
        <f>'Key Inputs_New Techs'!Z197</f>
        <v>87.97758060000001</v>
      </c>
      <c r="AG262" s="121">
        <f>'Key Inputs_New Techs'!AA197</f>
        <v>87.97758060000001</v>
      </c>
      <c r="AH262" s="121">
        <f>'Key Inputs_New Techs'!AB197</f>
        <v>74.580054531390019</v>
      </c>
      <c r="AI262" s="121">
        <f>'Key Inputs_New Techs'!AC197</f>
        <v>72.786775865302005</v>
      </c>
      <c r="AJ262" s="121">
        <f>'Key Inputs_New Techs'!AD197</f>
        <v>85.567026005313423</v>
      </c>
      <c r="AK262" s="121">
        <f>'Key Inputs_New Techs'!AE197</f>
        <v>74.720261009451463</v>
      </c>
      <c r="AL262" s="121">
        <f>'Key Inputs_New Techs'!AF197</f>
        <v>80.463307423829121</v>
      </c>
      <c r="AM262" s="121">
        <f>'Key Inputs_New Techs'!AG197</f>
        <v>76.782816989987367</v>
      </c>
      <c r="AN262" s="121">
        <f>'Key Inputs_New Techs'!AH197</f>
        <v>77.627670156392938</v>
      </c>
      <c r="AO262" s="121">
        <f>'Key Inputs_New Techs'!AI197</f>
        <v>71.715782032998646</v>
      </c>
      <c r="AP262" s="121">
        <f>'Key Inputs_New Techs'!AJ197</f>
        <v>80.942695486098756</v>
      </c>
      <c r="AQ262" s="121">
        <f>'Key Inputs_New Techs'!AK197</f>
        <v>85.901547638659409</v>
      </c>
      <c r="AR262" s="121">
        <f>'Key Inputs_New Techs'!AL197</f>
        <v>93.026299941731708</v>
      </c>
    </row>
    <row r="263" spans="11:44" x14ac:dyDescent="0.25">
      <c r="K263" s="201" t="str">
        <f>IF('Key Inputs_New Techs'!B198="","",'Key Inputs_New Techs'!B198)</f>
        <v>R-THH-BLR_GAS01</v>
      </c>
      <c r="L263" s="109" t="str">
        <f>IFERROR(VLOOKUP(K263,'Commodities &amp; Processes'!L:M,2,FALSE),"")</f>
        <v>RSD Thermal uses technology: Natural gas,Biogas Boiler (Ord.) -New</v>
      </c>
      <c r="N263" s="109">
        <f>'Key Inputs_New Techs'!H198</f>
        <v>2020</v>
      </c>
      <c r="O263" s="206" t="s">
        <v>312</v>
      </c>
      <c r="P263" s="114" t="str">
        <f>'Key Inputs_New Techs'!J198</f>
        <v>USD/kW</v>
      </c>
      <c r="Q263" s="121">
        <f>'Key Inputs_New Techs'!K198</f>
        <v>162.34447949382914</v>
      </c>
      <c r="R263" s="121">
        <f>'Key Inputs_New Techs'!L198</f>
        <v>169.54272698209115</v>
      </c>
      <c r="S263" s="121">
        <f>'Key Inputs_New Techs'!M198</f>
        <v>163.17938810406937</v>
      </c>
      <c r="T263" s="121">
        <f>'Key Inputs_New Techs'!N198</f>
        <v>163.19021063552603</v>
      </c>
      <c r="U263" s="121">
        <f>'Key Inputs_New Techs'!O198</f>
        <v>200.27325173253251</v>
      </c>
      <c r="V263" s="121">
        <f>'Key Inputs_New Techs'!P198</f>
        <v>166.33515479499988</v>
      </c>
      <c r="W263" s="121">
        <f>'Key Inputs_New Techs'!Q198</f>
        <v>170.85091495959344</v>
      </c>
      <c r="X263" s="121">
        <f>'Key Inputs_New Techs'!R198</f>
        <v>165.01209048902902</v>
      </c>
      <c r="Y263" s="121">
        <f>'Key Inputs_New Techs'!S198</f>
        <v>172.46564424585833</v>
      </c>
      <c r="Z263" s="121">
        <f>'Key Inputs_New Techs'!T198</f>
        <v>201.15749391732018</v>
      </c>
      <c r="AA263" s="121">
        <f>'Key Inputs_New Techs'!U198</f>
        <v>170.01566635483886</v>
      </c>
      <c r="AB263" s="121">
        <f>'Key Inputs_New Techs'!V198</f>
        <v>172.85685305633635</v>
      </c>
      <c r="AC263" s="121">
        <f>'Key Inputs_New Techs'!W198</f>
        <v>171.51432700248077</v>
      </c>
      <c r="AD263" s="121">
        <f>'Key Inputs_New Techs'!X198</f>
        <v>217.85004461653287</v>
      </c>
      <c r="AE263" s="121">
        <f>'Key Inputs_New Techs'!Y198</f>
        <v>186.36928775866863</v>
      </c>
      <c r="AF263" s="121">
        <f>'Key Inputs_New Techs'!Z198</f>
        <v>200.18087180000003</v>
      </c>
      <c r="AG263" s="121">
        <f>'Key Inputs_New Techs'!AA198</f>
        <v>200.18087180000003</v>
      </c>
      <c r="AH263" s="121">
        <f>'Key Inputs_New Techs'!AB198</f>
        <v>169.69664581780049</v>
      </c>
      <c r="AI263" s="121">
        <f>'Key Inputs_New Techs'!AC198</f>
        <v>165.61628711380311</v>
      </c>
      <c r="AJ263" s="121">
        <f>'Key Inputs_New Techs'!AD198</f>
        <v>194.69598670774215</v>
      </c>
      <c r="AK263" s="121">
        <f>'Key Inputs_New Techs'!AE198</f>
        <v>170.01566635483886</v>
      </c>
      <c r="AL263" s="121">
        <f>'Key Inputs_New Techs'!AF198</f>
        <v>183.08317776146629</v>
      </c>
      <c r="AM263" s="121">
        <f>'Key Inputs_New Techs'!AG198</f>
        <v>174.70872851344953</v>
      </c>
      <c r="AN263" s="121">
        <f>'Key Inputs_New Techs'!AH198</f>
        <v>176.63107557324193</v>
      </c>
      <c r="AO263" s="121">
        <f>'Key Inputs_New Techs'!AI198</f>
        <v>163.17938810406937</v>
      </c>
      <c r="AP263" s="121">
        <f>'Key Inputs_New Techs'!AJ198</f>
        <v>184.17395929445661</v>
      </c>
      <c r="AQ263" s="121">
        <f>'Key Inputs_New Techs'!AK198</f>
        <v>195.45714462709461</v>
      </c>
      <c r="AR263" s="121">
        <f>'Key Inputs_New Techs'!AL198</f>
        <v>211.66853754857794</v>
      </c>
    </row>
    <row r="264" spans="11:44" x14ac:dyDescent="0.25">
      <c r="K264" s="201" t="str">
        <f>IF('Key Inputs_New Techs'!B199="","",'Key Inputs_New Techs'!B199)</f>
        <v>R-THH-BLR_GAS02</v>
      </c>
      <c r="L264" s="109" t="str">
        <f>IFERROR(VLOOKUP(K264,'Commodities &amp; Processes'!L:M,2,FALSE),"")</f>
        <v>RSD Thermal uses technology: Natural gas,Biogas Boiler cond. (Ord.) -New</v>
      </c>
      <c r="N264" s="109">
        <f>'Key Inputs_New Techs'!H199</f>
        <v>2020</v>
      </c>
      <c r="O264" s="206" t="s">
        <v>312</v>
      </c>
      <c r="P264" s="114" t="str">
        <f>'Key Inputs_New Techs'!J199</f>
        <v>USD/kW</v>
      </c>
      <c r="Q264" s="121">
        <f>'Key Inputs_New Techs'!K199</f>
        <v>183.02530490705578</v>
      </c>
      <c r="R264" s="121">
        <f>'Key Inputs_New Techs'!L199</f>
        <v>191.14052659764417</v>
      </c>
      <c r="S264" s="121">
        <f>'Key Inputs_New Techs'!M199</f>
        <v>183.96657130203999</v>
      </c>
      <c r="T264" s="121">
        <f>'Key Inputs_New Techs'!N199</f>
        <v>183.97877249992425</v>
      </c>
      <c r="U264" s="121">
        <f>'Key Inputs_New Techs'!O199</f>
        <v>225.78576787680419</v>
      </c>
      <c r="V264" s="121">
        <f>'Key Inputs_New Techs'!P199</f>
        <v>187.52434648863044</v>
      </c>
      <c r="W264" s="121">
        <f>'Key Inputs_New Techs'!Q199</f>
        <v>192.61536272514675</v>
      </c>
      <c r="X264" s="121">
        <f>'Key Inputs_New Techs'!R199</f>
        <v>186.03273895896905</v>
      </c>
      <c r="Y264" s="121">
        <f>'Key Inputs_New Techs'!S199</f>
        <v>194.43579000966196</v>
      </c>
      <c r="Z264" s="121">
        <f>'Key Inputs_New Techs'!T199</f>
        <v>226.78265237812533</v>
      </c>
      <c r="AA264" s="121">
        <f>'Key Inputs_New Techs'!U199</f>
        <v>191.6737130242451</v>
      </c>
      <c r="AB264" s="121">
        <f>'Key Inputs_New Techs'!V199</f>
        <v>194.87683433739832</v>
      </c>
      <c r="AC264" s="121">
        <f>'Key Inputs_New Techs'!W199</f>
        <v>193.36328585629997</v>
      </c>
      <c r="AD264" s="121">
        <f>'Key Inputs_New Techs'!X199</f>
        <v>245.60164265685555</v>
      </c>
      <c r="AE264" s="121">
        <f>'Key Inputs_New Techs'!Y199</f>
        <v>210.11059830117421</v>
      </c>
      <c r="AF264" s="121">
        <f>'Key Inputs_New Techs'!Z199</f>
        <v>225.68161980000005</v>
      </c>
      <c r="AG264" s="121">
        <f>'Key Inputs_New Techs'!AA199</f>
        <v>225.68161980000005</v>
      </c>
      <c r="AH264" s="121">
        <f>'Key Inputs_New Techs'!AB199</f>
        <v>191.31405292834833</v>
      </c>
      <c r="AI264" s="121">
        <f>'Key Inputs_New Techs'!AC199</f>
        <v>186.71390330664428</v>
      </c>
      <c r="AJ264" s="121">
        <f>'Key Inputs_New Techs'!AD199</f>
        <v>219.49802323102142</v>
      </c>
      <c r="AK264" s="121">
        <f>'Key Inputs_New Techs'!AE199</f>
        <v>191.6737130242451</v>
      </c>
      <c r="AL264" s="121">
        <f>'Key Inputs_New Techs'!AF199</f>
        <v>206.40587556547473</v>
      </c>
      <c r="AM264" s="121">
        <f>'Key Inputs_New Techs'!AG199</f>
        <v>196.96461749605456</v>
      </c>
      <c r="AN264" s="121">
        <f>'Key Inputs_New Techs'!AH199</f>
        <v>199.13184953161669</v>
      </c>
      <c r="AO264" s="121">
        <f>'Key Inputs_New Techs'!AI199</f>
        <v>183.96657130203999</v>
      </c>
      <c r="AP264" s="121">
        <f>'Key Inputs_New Techs'!AJ199</f>
        <v>207.6356101599925</v>
      </c>
      <c r="AQ264" s="121">
        <f>'Key Inputs_New Techs'!AK199</f>
        <v>220.35614394264806</v>
      </c>
      <c r="AR264" s="121">
        <f>'Key Inputs_New Techs'!AL199</f>
        <v>238.63268245922484</v>
      </c>
    </row>
    <row r="265" spans="11:44" x14ac:dyDescent="0.25">
      <c r="K265" s="201" t="str">
        <f>IF('Key Inputs_New Techs'!B200="","",'Key Inputs_New Techs'!B200)</f>
        <v>R-THH-BLR_GAS03</v>
      </c>
      <c r="L265" s="109" t="str">
        <f>IFERROR(VLOOKUP(K$265,'Commodities &amp; Processes'!L:M,2,FALSE),"")</f>
        <v>RSD Thermal uses technology: Natural gas,Biogas Boiler (Imp.) -New</v>
      </c>
      <c r="N265" s="109">
        <f>'Key Inputs_New Techs'!H200</f>
        <v>2030</v>
      </c>
      <c r="O265" s="206" t="s">
        <v>312</v>
      </c>
      <c r="P265" s="114" t="str">
        <f>'Key Inputs_New Techs'!J200</f>
        <v>USD/kW</v>
      </c>
      <c r="Q265" s="121">
        <f>'Key Inputs_New Techs'!K200</f>
        <v>186.39073173755986</v>
      </c>
      <c r="R265" s="121">
        <f>'Key Inputs_New Techs'!L200</f>
        <v>194.65517424123124</v>
      </c>
      <c r="S265" s="121">
        <f>'Key Inputs_New Techs'!M200</f>
        <v>187.34930592056793</v>
      </c>
      <c r="T265" s="121">
        <f>'Key Inputs_New Techs'!N200</f>
        <v>187.36173147124725</v>
      </c>
      <c r="U265" s="121">
        <f>'Key Inputs_New Techs'!O200</f>
        <v>229.93746417663792</v>
      </c>
      <c r="V265" s="121">
        <f>'Key Inputs_New Techs'!P200</f>
        <v>190.97250065160841</v>
      </c>
      <c r="W265" s="121">
        <f>'Key Inputs_New Techs'!Q200</f>
        <v>196.15712931316949</v>
      </c>
      <c r="X265" s="121">
        <f>'Key Inputs_New Techs'!R200</f>
        <v>189.45346578886074</v>
      </c>
      <c r="Y265" s="121">
        <f>'Key Inputs_New Techs'!S200</f>
        <v>198.01103019211143</v>
      </c>
      <c r="Z265" s="121">
        <f>'Key Inputs_New Techs'!T200</f>
        <v>230.95267915881448</v>
      </c>
      <c r="AA265" s="121">
        <f>'Key Inputs_New Techs'!U200</f>
        <v>195.19816477610374</v>
      </c>
      <c r="AB265" s="121">
        <f>'Key Inputs_New Techs'!V200</f>
        <v>198.46018434058956</v>
      </c>
      <c r="AC265" s="121">
        <f>'Key Inputs_New Techs'!W200</f>
        <v>196.91880508128193</v>
      </c>
      <c r="AD265" s="121">
        <f>'Key Inputs_New Techs'!X200</f>
        <v>250.11770866331844</v>
      </c>
      <c r="AE265" s="121">
        <f>'Key Inputs_New Techs'!Y200</f>
        <v>213.97406322071154</v>
      </c>
      <c r="AF265" s="121">
        <f>'Key Inputs_New Techs'!Z200</f>
        <v>229.83140104916797</v>
      </c>
      <c r="AG265" s="121">
        <f>'Key Inputs_New Techs'!AA200</f>
        <v>229.83140104916797</v>
      </c>
      <c r="AH265" s="121">
        <f>'Key Inputs_New Techs'!AB200</f>
        <v>194.83189133383277</v>
      </c>
      <c r="AI265" s="121">
        <f>'Key Inputs_New Techs'!AC200</f>
        <v>190.14715522847786</v>
      </c>
      <c r="AJ265" s="121">
        <f>'Key Inputs_New Techs'!AD200</f>
        <v>223.53410194155501</v>
      </c>
      <c r="AK265" s="121">
        <f>'Key Inputs_New Techs'!AE200</f>
        <v>195.19816477610374</v>
      </c>
      <c r="AL265" s="121">
        <f>'Key Inputs_New Techs'!AF200</f>
        <v>210.20121890313226</v>
      </c>
      <c r="AM265" s="121">
        <f>'Key Inputs_New Techs'!AG200</f>
        <v>200.58635717143886</v>
      </c>
      <c r="AN265" s="121">
        <f>'Key Inputs_New Techs'!AH200</f>
        <v>202.7934397667043</v>
      </c>
      <c r="AO265" s="121">
        <f>'Key Inputs_New Techs'!AI200</f>
        <v>187.34930592056793</v>
      </c>
      <c r="AP265" s="121">
        <f>'Key Inputs_New Techs'!AJ200</f>
        <v>211.45356557197982</v>
      </c>
      <c r="AQ265" s="121">
        <f>'Key Inputs_New Techs'!AK200</f>
        <v>224.4080015776762</v>
      </c>
      <c r="AR265" s="121">
        <f>'Key Inputs_New Techs'!AL200</f>
        <v>243.02060484291528</v>
      </c>
    </row>
    <row r="266" spans="11:44" x14ac:dyDescent="0.25">
      <c r="K266" s="201" t="str">
        <f>IF('Key Inputs_New Techs'!B201="","",'Key Inputs_New Techs'!B201)</f>
        <v/>
      </c>
      <c r="L266" s="109" t="str">
        <f>IFERROR(VLOOKUP(K$265,'Commodities &amp; Processes'!L:M,2,FALSE),"")</f>
        <v>RSD Thermal uses technology: Natural gas,Biogas Boiler (Imp.) -New</v>
      </c>
      <c r="N266" s="109">
        <f>'Key Inputs_New Techs'!H201</f>
        <v>2050</v>
      </c>
      <c r="O266" s="206" t="s">
        <v>312</v>
      </c>
      <c r="P266" s="114" t="str">
        <f>'Key Inputs_New Techs'!J201</f>
        <v>USD/kW</v>
      </c>
      <c r="Q266" s="121">
        <f>'Key Inputs_New Techs'!K201</f>
        <v>185.09531615198381</v>
      </c>
      <c r="R266" s="121">
        <f>'Key Inputs_New Techs'!L201</f>
        <v>193.30232078025469</v>
      </c>
      <c r="S266" s="121">
        <f>'Key Inputs_New Techs'!M201</f>
        <v>186.04722824441998</v>
      </c>
      <c r="T266" s="121">
        <f>'Key Inputs_New Techs'!N201</f>
        <v>186.05956743752208</v>
      </c>
      <c r="U266" s="121">
        <f>'Key Inputs_New Techs'!O201</f>
        <v>228.33939880061027</v>
      </c>
      <c r="V266" s="121">
        <f>'Key Inputs_New Techs'!P201</f>
        <v>189.64524177207974</v>
      </c>
      <c r="W266" s="121">
        <f>'Key Inputs_New Techs'!Q201</f>
        <v>194.79383726444294</v>
      </c>
      <c r="X266" s="121">
        <f>'Key Inputs_New Techs'!R201</f>
        <v>188.13676420162815</v>
      </c>
      <c r="Y266" s="121">
        <f>'Key Inputs_New Techs'!S201</f>
        <v>196.63485353227625</v>
      </c>
      <c r="Z266" s="121">
        <f>'Key Inputs_New Techs'!T201</f>
        <v>229.34755803866074</v>
      </c>
      <c r="AA266" s="121">
        <f>'Key Inputs_New Techs'!U201</f>
        <v>193.84153753090979</v>
      </c>
      <c r="AB266" s="121">
        <f>'Key Inputs_New Techs'!V201</f>
        <v>197.08088605942248</v>
      </c>
      <c r="AC266" s="121">
        <f>'Key Inputs_New Techs'!W201</f>
        <v>195.55021938596701</v>
      </c>
      <c r="AD266" s="121">
        <f>'Key Inputs_New Techs'!X201</f>
        <v>248.37939058810835</v>
      </c>
      <c r="AE266" s="121">
        <f>'Key Inputs_New Techs'!Y201</f>
        <v>212.48694348132761</v>
      </c>
      <c r="AF266" s="121">
        <f>'Key Inputs_New Techs'!Z201</f>
        <v>228.23407281187625</v>
      </c>
      <c r="AG266" s="121">
        <f>'Key Inputs_New Techs'!AA201</f>
        <v>228.23407281187625</v>
      </c>
      <c r="AH266" s="121">
        <f>'Key Inputs_New Techs'!AB201</f>
        <v>193.47780968906264</v>
      </c>
      <c r="AI266" s="121">
        <f>'Key Inputs_New Techs'!AC201</f>
        <v>188.82563249963994</v>
      </c>
      <c r="AJ266" s="121">
        <f>'Key Inputs_New Techs'!AD201</f>
        <v>221.98053993306118</v>
      </c>
      <c r="AK266" s="121">
        <f>'Key Inputs_New Techs'!AE201</f>
        <v>193.84153753090979</v>
      </c>
      <c r="AL266" s="121">
        <f>'Key Inputs_New Techs'!AF201</f>
        <v>208.74032043175549</v>
      </c>
      <c r="AM266" s="121">
        <f>'Key Inputs_New Techs'!AG201</f>
        <v>199.19228198909738</v>
      </c>
      <c r="AN266" s="121">
        <f>'Key Inputs_New Techs'!AH201</f>
        <v>201.38402536032569</v>
      </c>
      <c r="AO266" s="121">
        <f>'Key Inputs_New Techs'!AI201</f>
        <v>186.04722824441998</v>
      </c>
      <c r="AP266" s="121">
        <f>'Key Inputs_New Techs'!AJ201</f>
        <v>209.98396329125455</v>
      </c>
      <c r="AQ266" s="121">
        <f>'Key Inputs_New Techs'!AK201</f>
        <v>222.84836596671136</v>
      </c>
      <c r="AR266" s="121">
        <f>'Key Inputs_New Techs'!AL201</f>
        <v>241.33161163925701</v>
      </c>
    </row>
    <row r="267" spans="11:44" x14ac:dyDescent="0.25">
      <c r="K267" s="201" t="str">
        <f>IF('Key Inputs_New Techs'!B202="","",'Key Inputs_New Techs'!B202)</f>
        <v>R-THH-BLR_GAS04</v>
      </c>
      <c r="L267" s="109" t="str">
        <f>IFERROR(VLOOKUP(K$267,'Commodities &amp; Processes'!L:M,2,FALSE),"")</f>
        <v>RSD Thermal uses technology: Natural gas,Biogas Boiler cond. (Imp.) -New</v>
      </c>
      <c r="N267" s="109">
        <f>'Key Inputs_New Techs'!H202</f>
        <v>2030</v>
      </c>
      <c r="O267" s="206" t="s">
        <v>312</v>
      </c>
      <c r="P267" s="114" t="str">
        <f>'Key Inputs_New Techs'!J202</f>
        <v>USD/kW</v>
      </c>
      <c r="Q267" s="121">
        <f>'Key Inputs_New Techs'!K202</f>
        <v>231.50441203072725</v>
      </c>
      <c r="R267" s="121">
        <f>'Key Inputs_New Techs'!L202</f>
        <v>241.76916545885413</v>
      </c>
      <c r="S267" s="121">
        <f>'Key Inputs_New Techs'!M202</f>
        <v>232.69499779943155</v>
      </c>
      <c r="T267" s="121">
        <f>'Key Inputs_New Techs'!N202</f>
        <v>232.71043080823705</v>
      </c>
      <c r="U267" s="121">
        <f>'Key Inputs_New Techs'!O202</f>
        <v>285.59111792639743</v>
      </c>
      <c r="V267" s="121">
        <f>'Key Inputs_New Techs'!P202</f>
        <v>237.19514412142451</v>
      </c>
      <c r="W267" s="121">
        <f>'Key Inputs_New Techs'!Q202</f>
        <v>243.6346510577583</v>
      </c>
      <c r="X267" s="121">
        <f>'Key Inputs_New Techs'!R202</f>
        <v>235.30844476960414</v>
      </c>
      <c r="Y267" s="121">
        <f>'Key Inputs_New Techs'!S202</f>
        <v>245.93726679911933</v>
      </c>
      <c r="Z267" s="121">
        <f>'Key Inputs_New Techs'!T202</f>
        <v>286.85205373228553</v>
      </c>
      <c r="AA267" s="121">
        <f>'Key Inputs_New Techs'!U202</f>
        <v>242.4435804543964</v>
      </c>
      <c r="AB267" s="121">
        <f>'Key Inputs_New Techs'!V202</f>
        <v>246.49513341665588</v>
      </c>
      <c r="AC267" s="121">
        <f>'Key Inputs_New Techs'!W202</f>
        <v>244.58068147038207</v>
      </c>
      <c r="AD267" s="121">
        <f>'Key Inputs_New Techs'!X202</f>
        <v>310.65575279838919</v>
      </c>
      <c r="AE267" s="121">
        <f>'Key Inputs_New Techs'!Y202</f>
        <v>265.76396387285831</v>
      </c>
      <c r="AF267" s="121">
        <f>'Key Inputs_New Techs'!Z202</f>
        <v>285.45938346871185</v>
      </c>
      <c r="AG267" s="121">
        <f>'Key Inputs_New Techs'!AA202</f>
        <v>285.45938346871185</v>
      </c>
      <c r="AH267" s="121">
        <f>'Key Inputs_New Techs'!AB202</f>
        <v>241.98865484138469</v>
      </c>
      <c r="AI267" s="121">
        <f>'Key Inputs_New Techs'!AC202</f>
        <v>236.17003356403302</v>
      </c>
      <c r="AJ267" s="121">
        <f>'Key Inputs_New Techs'!AD202</f>
        <v>277.63789731594414</v>
      </c>
      <c r="AK267" s="121">
        <f>'Key Inputs_New Techs'!AE202</f>
        <v>242.4435804543964</v>
      </c>
      <c r="AL267" s="121">
        <f>'Key Inputs_New Techs'!AF202</f>
        <v>261.07794704529169</v>
      </c>
      <c r="AM267" s="121">
        <f>'Key Inputs_New Techs'!AG202</f>
        <v>249.13592132758336</v>
      </c>
      <c r="AN267" s="121">
        <f>'Key Inputs_New Techs'!AH202</f>
        <v>251.87720225800854</v>
      </c>
      <c r="AO267" s="121">
        <f>'Key Inputs_New Techs'!AI202</f>
        <v>232.69499779943155</v>
      </c>
      <c r="AP267" s="121">
        <f>'Key Inputs_New Techs'!AJ202</f>
        <v>262.63340946838264</v>
      </c>
      <c r="AQ267" s="121">
        <f>'Key Inputs_New Techs'!AK202</f>
        <v>278.72331406144502</v>
      </c>
      <c r="AR267" s="121">
        <f>'Key Inputs_New Techs'!AL202</f>
        <v>301.84087862655088</v>
      </c>
    </row>
    <row r="268" spans="11:44" x14ac:dyDescent="0.25">
      <c r="K268" s="201" t="str">
        <f>IF('Key Inputs_New Techs'!B203="","",'Key Inputs_New Techs'!B203)</f>
        <v/>
      </c>
      <c r="L268" s="109" t="str">
        <f>IFERROR(VLOOKUP(K$267,'Commodities &amp; Processes'!L:M,2,FALSE),"")</f>
        <v>RSD Thermal uses technology: Natural gas,Biogas Boiler cond. (Imp.) -New</v>
      </c>
      <c r="N268" s="109">
        <f>'Key Inputs_New Techs'!H203</f>
        <v>2050</v>
      </c>
      <c r="O268" s="206" t="s">
        <v>312</v>
      </c>
      <c r="P268" s="114" t="str">
        <f>'Key Inputs_New Techs'!J203</f>
        <v>USD/kW</v>
      </c>
      <c r="Q268" s="121">
        <f>'Key Inputs_New Techs'!K203</f>
        <v>217.14866683887976</v>
      </c>
      <c r="R268" s="121">
        <f>'Key Inputs_New Techs'!L203</f>
        <v>226.77689596330666</v>
      </c>
      <c r="S268" s="121">
        <f>'Key Inputs_New Techs'!M203</f>
        <v>218.26542357869155</v>
      </c>
      <c r="T268" s="121">
        <f>'Key Inputs_New Techs'!N203</f>
        <v>218.27989957618132</v>
      </c>
      <c r="U268" s="121">
        <f>'Key Inputs_New Techs'!O203</f>
        <v>267.88141951485244</v>
      </c>
      <c r="V268" s="121">
        <f>'Key Inputs_New Techs'!P203</f>
        <v>222.48651278312087</v>
      </c>
      <c r="W268" s="121">
        <f>'Key Inputs_New Techs'!Q203</f>
        <v>228.52670153830971</v>
      </c>
      <c r="X268" s="121">
        <f>'Key Inputs_New Techs'!R203</f>
        <v>220.71680893437005</v>
      </c>
      <c r="Y268" s="121">
        <f>'Key Inputs_New Techs'!S203</f>
        <v>230.68653051993792</v>
      </c>
      <c r="Z268" s="121">
        <f>'Key Inputs_New Techs'!T203</f>
        <v>269.06416383845379</v>
      </c>
      <c r="AA268" s="121">
        <f>'Key Inputs_New Techs'!U203</f>
        <v>227.40949002876536</v>
      </c>
      <c r="AB268" s="121">
        <f>'Key Inputs_New Techs'!V203</f>
        <v>231.20980345115055</v>
      </c>
      <c r="AC268" s="121">
        <f>'Key Inputs_New Techs'!W203</f>
        <v>229.41406796510168</v>
      </c>
      <c r="AD268" s="121">
        <f>'Key Inputs_New Techs'!X203</f>
        <v>291.39177942338796</v>
      </c>
      <c r="AE268" s="121">
        <f>'Key Inputs_New Techs'!Y203</f>
        <v>249.28376069630838</v>
      </c>
      <c r="AF268" s="121">
        <f>'Key Inputs_New Techs'!Z203</f>
        <v>267.75785400000007</v>
      </c>
      <c r="AG268" s="121">
        <f>'Key Inputs_New Techs'!AA203</f>
        <v>267.75785400000007</v>
      </c>
      <c r="AH268" s="121">
        <f>'Key Inputs_New Techs'!AB203</f>
        <v>226.98277466075226</v>
      </c>
      <c r="AI268" s="121">
        <f>'Key Inputs_New Techs'!AC203</f>
        <v>221.52497002483219</v>
      </c>
      <c r="AJ268" s="121">
        <f>'Key Inputs_New Techs'!AD203</f>
        <v>260.42138349443218</v>
      </c>
      <c r="AK268" s="121">
        <f>'Key Inputs_New Techs'!AE203</f>
        <v>227.40949002876536</v>
      </c>
      <c r="AL268" s="121">
        <f>'Key Inputs_New Techs'!AF203</f>
        <v>244.88832694208867</v>
      </c>
      <c r="AM268" s="121">
        <f>'Key Inputs_New Techs'!AG203</f>
        <v>233.68683431735286</v>
      </c>
      <c r="AN268" s="121">
        <f>'Key Inputs_New Techs'!AH203</f>
        <v>236.25812656293508</v>
      </c>
      <c r="AO268" s="121">
        <f>'Key Inputs_New Techs'!AI203</f>
        <v>218.26542357869155</v>
      </c>
      <c r="AP268" s="121">
        <f>'Key Inputs_New Techs'!AJ203</f>
        <v>246.3473340881267</v>
      </c>
      <c r="AQ268" s="121">
        <f>'Key Inputs_New Techs'!AK203</f>
        <v>261.43949281331129</v>
      </c>
      <c r="AR268" s="121">
        <f>'Key Inputs_New Techs'!AL203</f>
        <v>283.12352156179219</v>
      </c>
    </row>
    <row r="269" spans="11:44" x14ac:dyDescent="0.25">
      <c r="K269" s="201" t="str">
        <f>IF('Key Inputs_New Techs'!B204="","",'Key Inputs_New Techs'!B204)</f>
        <v>R-THH-HPA_GAS05</v>
      </c>
      <c r="L269" s="109" t="str">
        <f>IFERROR(VLOOKUP(K269,'Commodities &amp; Processes'!L:M,2,FALSE),"")</f>
        <v>RSD Thermal uses technology: Natural gas,Biogas Heat Pump (Ord.) -New</v>
      </c>
      <c r="N269" s="109">
        <f>'Key Inputs_New Techs'!H204</f>
        <v>2020</v>
      </c>
      <c r="O269" s="206" t="s">
        <v>312</v>
      </c>
      <c r="P269" s="114" t="str">
        <f>'Key Inputs_New Techs'!J204</f>
        <v>USD/kW</v>
      </c>
      <c r="Q269" s="121">
        <f>'Key Inputs_New Techs'!K204</f>
        <v>1215.8774281071269</v>
      </c>
      <c r="R269" s="121">
        <f>'Key Inputs_New Techs'!L204</f>
        <v>1269.7886338974001</v>
      </c>
      <c r="S269" s="121">
        <f>'Key Inputs_New Techs'!M204</f>
        <v>1222.1304681666873</v>
      </c>
      <c r="T269" s="121">
        <f>'Key Inputs_New Techs'!N204</f>
        <v>1222.211523412632</v>
      </c>
      <c r="U269" s="121">
        <f>'Key Inputs_New Techs'!O204</f>
        <v>1499.9446054120911</v>
      </c>
      <c r="V269" s="121">
        <f>'Key Inputs_New Techs'!P204</f>
        <v>1245.765552647774</v>
      </c>
      <c r="W269" s="121">
        <f>'Key Inputs_New Techs'!Q204</f>
        <v>1279.5862952562923</v>
      </c>
      <c r="X269" s="121">
        <f>'Key Inputs_New Techs'!R204</f>
        <v>1235.8564751689473</v>
      </c>
      <c r="Y269" s="121">
        <f>'Key Inputs_New Techs'!S204</f>
        <v>1291.6797948184233</v>
      </c>
      <c r="Z269" s="121">
        <f>'Key Inputs_New Techs'!T204</f>
        <v>1506.5671288068845</v>
      </c>
      <c r="AA269" s="121">
        <f>'Key Inputs_New Techs'!U204</f>
        <v>1273.3307088110651</v>
      </c>
      <c r="AB269" s="121">
        <f>'Key Inputs_New Techs'!V204</f>
        <v>1294.6097494668347</v>
      </c>
      <c r="AC269" s="121">
        <f>'Key Inputs_New Techs'!W204</f>
        <v>1284.5549134131652</v>
      </c>
      <c r="AD269" s="121">
        <f>'Key Inputs_New Techs'!X204</f>
        <v>1631.5858277856694</v>
      </c>
      <c r="AE269" s="121">
        <f>'Key Inputs_New Techs'!Y204</f>
        <v>1395.8110000702577</v>
      </c>
      <c r="AF269" s="121">
        <f>'Key Inputs_New Techs'!Z204</f>
        <v>1499.2527267899998</v>
      </c>
      <c r="AG269" s="121">
        <f>'Key Inputs_New Techs'!AA204</f>
        <v>1499.2527267899998</v>
      </c>
      <c r="AH269" s="121">
        <f>'Key Inputs_New Techs'!AB204</f>
        <v>1270.9414075468831</v>
      </c>
      <c r="AI269" s="121">
        <f>'Key Inputs_New Techs'!AC204</f>
        <v>1240.3816000176134</v>
      </c>
      <c r="AJ269" s="121">
        <f>'Key Inputs_New Techs'!AD204</f>
        <v>1458.173732294895</v>
      </c>
      <c r="AK269" s="121">
        <f>'Key Inputs_New Techs'!AE204</f>
        <v>1273.3307088110651</v>
      </c>
      <c r="AL269" s="121">
        <f>'Key Inputs_New Techs'!AF204</f>
        <v>1371.1997106421659</v>
      </c>
      <c r="AM269" s="121">
        <f>'Key Inputs_New Techs'!AG204</f>
        <v>1308.4793530098061</v>
      </c>
      <c r="AN269" s="121">
        <f>'Key Inputs_New Techs'!AH204</f>
        <v>1322.8767529477479</v>
      </c>
      <c r="AO269" s="121">
        <f>'Key Inputs_New Techs'!AI204</f>
        <v>1222.1304681666873</v>
      </c>
      <c r="AP269" s="121">
        <f>'Key Inputs_New Techs'!AJ204</f>
        <v>1379.3691085120174</v>
      </c>
      <c r="AQ269" s="121">
        <f>'Key Inputs_New Techs'!AK204</f>
        <v>1463.874417259676</v>
      </c>
      <c r="AR269" s="121">
        <f>'Key Inputs_New Techs'!AL204</f>
        <v>1585.2894896592059</v>
      </c>
    </row>
    <row r="270" spans="11:44" x14ac:dyDescent="0.25">
      <c r="K270" s="201" t="str">
        <f>IF('Key Inputs_New Techs'!B205="","",'Key Inputs_New Techs'!B205)</f>
        <v>R-THH-HPA_GAS06</v>
      </c>
      <c r="L270" s="109" t="str">
        <f>IFERROR(VLOOKUP(K$270,'Commodities &amp; Processes'!L:M,2,FALSE),"")</f>
        <v>RSD Thermal uses technology: Natural gas,Biogas Heat Pump (Imp.) -New</v>
      </c>
      <c r="N270" s="109">
        <f>'Key Inputs_New Techs'!H205</f>
        <v>2030</v>
      </c>
      <c r="O270" s="206" t="s">
        <v>312</v>
      </c>
      <c r="P270" s="114" t="str">
        <f>'Key Inputs_New Techs'!J205</f>
        <v>USD/kW</v>
      </c>
      <c r="Q270" s="121">
        <f>'Key Inputs_New Techs'!K205</f>
        <v>1234.6969792331633</v>
      </c>
      <c r="R270" s="121">
        <f>'Key Inputs_New Techs'!L205</f>
        <v>1289.4426315475537</v>
      </c>
      <c r="S270" s="121">
        <f>'Key Inputs_New Techs'!M205</f>
        <v>1241.046804876841</v>
      </c>
      <c r="T270" s="121">
        <f>'Key Inputs_New Techs'!N205</f>
        <v>1241.1291147092345</v>
      </c>
      <c r="U270" s="121">
        <f>'Key Inputs_New Techs'!O205</f>
        <v>1523.1609951033786</v>
      </c>
      <c r="V270" s="121">
        <f>'Key Inputs_New Techs'!P205</f>
        <v>1265.0477170889783</v>
      </c>
      <c r="W270" s="121">
        <f>'Key Inputs_New Techs'!Q205</f>
        <v>1299.3919427229459</v>
      </c>
      <c r="X270" s="121">
        <f>'Key Inputs_New Techs'!R205</f>
        <v>1254.9852652765931</v>
      </c>
      <c r="Y270" s="121">
        <f>'Key Inputs_New Techs'!S205</f>
        <v>1311.6726274634848</v>
      </c>
      <c r="Z270" s="121">
        <f>'Key Inputs_New Techs'!T205</f>
        <v>1529.8860230062176</v>
      </c>
      <c r="AA270" s="121">
        <f>'Key Inputs_New Techs'!U205</f>
        <v>1293.039531280225</v>
      </c>
      <c r="AB270" s="121">
        <f>'Key Inputs_New Techs'!V205</f>
        <v>1314.6479324326012</v>
      </c>
      <c r="AC270" s="121">
        <f>'Key Inputs_New Techs'!W205</f>
        <v>1304.4374659701409</v>
      </c>
      <c r="AD270" s="121">
        <f>'Key Inputs_New Techs'!X205</f>
        <v>1656.8397820023636</v>
      </c>
      <c r="AE270" s="121">
        <f>'Key Inputs_New Techs'!Y205</f>
        <v>1417.415592663938</v>
      </c>
      <c r="AF270" s="121">
        <f>'Key Inputs_New Techs'!Z205</f>
        <v>1522.4584074700001</v>
      </c>
      <c r="AG270" s="121">
        <f>'Key Inputs_New Techs'!AA205</f>
        <v>1522.4584074700001</v>
      </c>
      <c r="AH270" s="121">
        <f>'Key Inputs_New Techs'!AB205</f>
        <v>1290.613248017482</v>
      </c>
      <c r="AI270" s="121">
        <f>'Key Inputs_New Techs'!AC205</f>
        <v>1259.5804307530993</v>
      </c>
      <c r="AJ270" s="121">
        <f>'Key Inputs_New Techs'!AD205</f>
        <v>1480.7435855310796</v>
      </c>
      <c r="AK270" s="121">
        <f>'Key Inputs_New Techs'!AE205</f>
        <v>1293.039531280225</v>
      </c>
      <c r="AL270" s="121">
        <f>'Key Inputs_New Techs'!AF205</f>
        <v>1392.4233656438139</v>
      </c>
      <c r="AM270" s="121">
        <f>'Key Inputs_New Techs'!AG205</f>
        <v>1328.7322119839769</v>
      </c>
      <c r="AN270" s="121">
        <f>'Key Inputs_New Techs'!AH205</f>
        <v>1343.3524572498693</v>
      </c>
      <c r="AO270" s="121">
        <f>'Key Inputs_New Techs'!AI205</f>
        <v>1241.046804876841</v>
      </c>
      <c r="AP270" s="121">
        <f>'Key Inputs_New Techs'!AJ205</f>
        <v>1400.7192107996555</v>
      </c>
      <c r="AQ270" s="121">
        <f>'Key Inputs_New Techs'!AK205</f>
        <v>1486.5325066368298</v>
      </c>
      <c r="AR270" s="121">
        <f>'Key Inputs_New Techs'!AL205</f>
        <v>1609.8268615278948</v>
      </c>
    </row>
    <row r="271" spans="11:44" x14ac:dyDescent="0.25">
      <c r="K271" s="201" t="str">
        <f>IF('Key Inputs_New Techs'!B206="","",'Key Inputs_New Techs'!B206)</f>
        <v/>
      </c>
      <c r="L271" s="109" t="str">
        <f>IFERROR(VLOOKUP(K$270,'Commodities &amp; Processes'!L:M,2,FALSE),"")</f>
        <v>RSD Thermal uses technology: Natural gas,Biogas Heat Pump (Imp.) -New</v>
      </c>
      <c r="N271" s="109">
        <f>'Key Inputs_New Techs'!H206</f>
        <v>2050</v>
      </c>
      <c r="O271" s="206" t="s">
        <v>312</v>
      </c>
      <c r="P271" s="114" t="str">
        <f>'Key Inputs_New Techs'!J206</f>
        <v>USD/kW</v>
      </c>
      <c r="Q271" s="121">
        <f>'Key Inputs_New Techs'!K206</f>
        <v>973.54985632764397</v>
      </c>
      <c r="R271" s="121">
        <f>'Key Inputs_New Techs'!L206</f>
        <v>1016.7164169021579</v>
      </c>
      <c r="S271" s="121">
        <f>'Key Inputs_New Techs'!M206</f>
        <v>978.55664904446678</v>
      </c>
      <c r="T271" s="121">
        <f>'Key Inputs_New Techs'!N206</f>
        <v>978.62154976654597</v>
      </c>
      <c r="U271" s="121">
        <f>'Key Inputs_New Techs'!O206</f>
        <v>1201.0016974915882</v>
      </c>
      <c r="V271" s="121">
        <f>'Key Inputs_New Techs'!P206</f>
        <v>997.48119897765832</v>
      </c>
      <c r="W271" s="121">
        <f>'Key Inputs_New Techs'!Q206</f>
        <v>1024.5613785634216</v>
      </c>
      <c r="X271" s="121">
        <f>'Key Inputs_New Techs'!R206</f>
        <v>989.54702672242547</v>
      </c>
      <c r="Y271" s="121">
        <f>'Key Inputs_New Techs'!S206</f>
        <v>1034.2446118310547</v>
      </c>
      <c r="Z271" s="121">
        <f>'Key Inputs_New Techs'!T206</f>
        <v>1206.3043345424007</v>
      </c>
      <c r="AA271" s="121">
        <f>'Key Inputs_New Techs'!U206</f>
        <v>1019.5525469622978</v>
      </c>
      <c r="AB271" s="121">
        <f>'Key Inputs_New Techs'!V206</f>
        <v>1036.5906188059914</v>
      </c>
      <c r="AC271" s="121">
        <f>'Key Inputs_New Techs'!W206</f>
        <v>1028.5397380435388</v>
      </c>
      <c r="AD271" s="121">
        <f>'Key Inputs_New Techs'!X206</f>
        <v>1306.406477748189</v>
      </c>
      <c r="AE271" s="121">
        <f>'Key Inputs_New Techs'!Y206</f>
        <v>1117.6221937884491</v>
      </c>
      <c r="AF271" s="121">
        <f>'Key Inputs_New Techs'!Z206</f>
        <v>1200.4477121</v>
      </c>
      <c r="AG271" s="121">
        <f>'Key Inputs_New Techs'!AA206</f>
        <v>1200.4477121</v>
      </c>
      <c r="AH271" s="121">
        <f>'Key Inputs_New Techs'!AB206</f>
        <v>1017.6394397290391</v>
      </c>
      <c r="AI271" s="121">
        <f>'Key Inputs_New Techs'!AC206</f>
        <v>993.17028227799744</v>
      </c>
      <c r="AJ271" s="121">
        <f>'Key Inputs_New Techs'!AD206</f>
        <v>1167.5558693333708</v>
      </c>
      <c r="AK271" s="121">
        <f>'Key Inputs_New Techs'!AE206</f>
        <v>1019.5525469622978</v>
      </c>
      <c r="AL271" s="121">
        <f>'Key Inputs_New Techs'!AF206</f>
        <v>1097.9159991236972</v>
      </c>
      <c r="AM271" s="121">
        <f>'Key Inputs_New Techs'!AG206</f>
        <v>1047.6959738561318</v>
      </c>
      <c r="AN271" s="121">
        <f>'Key Inputs_New Techs'!AH206</f>
        <v>1059.2239340904919</v>
      </c>
      <c r="AO271" s="121">
        <f>'Key Inputs_New Techs'!AI206</f>
        <v>978.55664904446678</v>
      </c>
      <c r="AP271" s="121">
        <f>'Key Inputs_New Techs'!AJ206</f>
        <v>1104.457214495101</v>
      </c>
      <c r="AQ271" s="121">
        <f>'Key Inputs_New Techs'!AK206</f>
        <v>1172.1203927796785</v>
      </c>
      <c r="AR271" s="121">
        <f>'Key Inputs_New Techs'!AL206</f>
        <v>1269.3371216687015</v>
      </c>
    </row>
    <row r="272" spans="11:44" x14ac:dyDescent="0.25">
      <c r="K272" s="201" t="str">
        <f>IF('Key Inputs_New Techs'!B207="","",'Key Inputs_New Techs'!B207)</f>
        <v>R-THH-HPA_GAS07</v>
      </c>
      <c r="L272" s="109" t="str">
        <f>IFERROR(VLOOKUP(K$272,'Commodities &amp; Processes'!L:M,2,FALSE),"")</f>
        <v>RSD Thermal uses technology: Natural gas,Biogas Heat Pump (Adv.) -New</v>
      </c>
      <c r="N272" s="109">
        <f>'Key Inputs_New Techs'!H207</f>
        <v>2030</v>
      </c>
      <c r="O272" s="206" t="s">
        <v>312</v>
      </c>
      <c r="P272" s="114" t="str">
        <f>'Key Inputs_New Techs'!J207</f>
        <v>USD/kW</v>
      </c>
      <c r="Q272" s="121">
        <f>'Key Inputs_New Techs'!K207</f>
        <v>1563.4704012399341</v>
      </c>
      <c r="R272" s="121">
        <f>'Key Inputs_New Techs'!L207</f>
        <v>1632.7936509358078</v>
      </c>
      <c r="S272" s="121">
        <f>'Key Inputs_New Techs'!M207</f>
        <v>1571.5110497665789</v>
      </c>
      <c r="T272" s="121">
        <f>'Key Inputs_New Techs'!N207</f>
        <v>1571.6152769485054</v>
      </c>
      <c r="U272" s="121">
        <f>'Key Inputs_New Techs'!O207</f>
        <v>1928.7462205069376</v>
      </c>
      <c r="V272" s="121">
        <f>'Key Inputs_New Techs'!P207</f>
        <v>1601.9028920384701</v>
      </c>
      <c r="W272" s="121">
        <f>'Key Inputs_New Techs'!Q207</f>
        <v>1645.3922510758298</v>
      </c>
      <c r="X272" s="121">
        <f>'Key Inputs_New Techs'!R207</f>
        <v>1589.1610243274642</v>
      </c>
      <c r="Y272" s="121">
        <f>'Key Inputs_New Techs'!S207</f>
        <v>1660.9430197435529</v>
      </c>
      <c r="Z272" s="121">
        <f>'Key Inputs_New Techs'!T207</f>
        <v>1937.2619796368672</v>
      </c>
      <c r="AA272" s="121">
        <f>'Key Inputs_New Techs'!U207</f>
        <v>1637.3483282071106</v>
      </c>
      <c r="AB272" s="121">
        <f>'Key Inputs_New Techs'!V207</f>
        <v>1664.7105848482838</v>
      </c>
      <c r="AC272" s="121">
        <f>'Key Inputs_New Techs'!W207</f>
        <v>1651.7812893487319</v>
      </c>
      <c r="AD272" s="121">
        <f>'Key Inputs_New Techs'!X207</f>
        <v>2098.0208118483934</v>
      </c>
      <c r="AE272" s="121">
        <f>'Key Inputs_New Techs'!Y207</f>
        <v>1794.8430770134203</v>
      </c>
      <c r="AF272" s="121">
        <f>'Key Inputs_New Techs'!Z207</f>
        <v>1927.8565488000004</v>
      </c>
      <c r="AG272" s="121">
        <f>'Key Inputs_New Techs'!AA207</f>
        <v>1927.8565488000004</v>
      </c>
      <c r="AH272" s="121">
        <f>'Key Inputs_New Techs'!AB207</f>
        <v>1634.2759775574164</v>
      </c>
      <c r="AI272" s="121">
        <f>'Key Inputs_New Techs'!AC207</f>
        <v>1594.9797841787918</v>
      </c>
      <c r="AJ272" s="121">
        <f>'Key Inputs_New Techs'!AD207</f>
        <v>1875.0339611599115</v>
      </c>
      <c r="AK272" s="121">
        <f>'Key Inputs_New Techs'!AE207</f>
        <v>1637.3483282071106</v>
      </c>
      <c r="AL272" s="121">
        <f>'Key Inputs_New Techs'!AF207</f>
        <v>1763.1959539830384</v>
      </c>
      <c r="AM272" s="121">
        <f>'Key Inputs_New Techs'!AG207</f>
        <v>1682.5452070849406</v>
      </c>
      <c r="AN272" s="121">
        <f>'Key Inputs_New Techs'!AH207</f>
        <v>1701.0585112531323</v>
      </c>
      <c r="AO272" s="121">
        <f>'Key Inputs_New Techs'!AI207</f>
        <v>1571.5110497665789</v>
      </c>
      <c r="AP272" s="121">
        <f>'Key Inputs_New Techs'!AJ207</f>
        <v>1773.7008054345122</v>
      </c>
      <c r="AQ272" s="121">
        <f>'Key Inputs_New Techs'!AK207</f>
        <v>1882.3643482558409</v>
      </c>
      <c r="AR272" s="121">
        <f>'Key Inputs_New Techs'!AL207</f>
        <v>2038.4893552449037</v>
      </c>
    </row>
    <row r="273" spans="11:44" x14ac:dyDescent="0.25">
      <c r="K273" s="201" t="str">
        <f>IF('Key Inputs_New Techs'!B208="","",'Key Inputs_New Techs'!B208)</f>
        <v/>
      </c>
      <c r="L273" s="109" t="str">
        <f>IFERROR(VLOOKUP(K$272,'Commodities &amp; Processes'!L:M,2,FALSE),"")</f>
        <v>RSD Thermal uses technology: Natural gas,Biogas Heat Pump (Adv.) -New</v>
      </c>
      <c r="N273" s="109">
        <f>'Key Inputs_New Techs'!H208</f>
        <v>2050</v>
      </c>
      <c r="O273" s="206" t="s">
        <v>312</v>
      </c>
      <c r="P273" s="114" t="str">
        <f>'Key Inputs_New Techs'!J208</f>
        <v>USD/kW</v>
      </c>
      <c r="Q273" s="121">
        <f>'Key Inputs_New Techs'!K208</f>
        <v>1384.2956075145032</v>
      </c>
      <c r="R273" s="121">
        <f>'Key Inputs_New Techs'!L208</f>
        <v>1445.6743646540842</v>
      </c>
      <c r="S273" s="121">
        <f>'Key Inputs_New Techs'!M208</f>
        <v>1391.414792136211</v>
      </c>
      <c r="T273" s="121">
        <f>'Key Inputs_New Techs'!N208</f>
        <v>1391.5070748107087</v>
      </c>
      <c r="U273" s="121">
        <f>'Key Inputs_New Techs'!O208</f>
        <v>1707.7105642297447</v>
      </c>
      <c r="V273" s="121">
        <f>'Key Inputs_New Techs'!P208</f>
        <v>1418.3237081782975</v>
      </c>
      <c r="W273" s="121">
        <f>'Key Inputs_New Techs'!Q208</f>
        <v>1456.8291564690319</v>
      </c>
      <c r="X273" s="121">
        <f>'Key Inputs_New Techs'!R208</f>
        <v>1407.042067355492</v>
      </c>
      <c r="Y273" s="121">
        <f>'Key Inputs_New Techs'!S208</f>
        <v>1470.5977962482889</v>
      </c>
      <c r="Z273" s="121">
        <f>'Key Inputs_New Techs'!T208</f>
        <v>1715.2504114496628</v>
      </c>
      <c r="AA273" s="121">
        <f>'Key Inputs_New Techs'!U208</f>
        <v>1449.7070727471253</v>
      </c>
      <c r="AB273" s="121">
        <f>'Key Inputs_New Techs'!V208</f>
        <v>1473.9335957756532</v>
      </c>
      <c r="AC273" s="121">
        <f>'Key Inputs_New Techs'!W208</f>
        <v>1462.4860065190273</v>
      </c>
      <c r="AD273" s="121">
        <f>'Key Inputs_New Techs'!X208</f>
        <v>1857.5861698516699</v>
      </c>
      <c r="AE273" s="121">
        <f>'Key Inputs_New Techs'!Y208</f>
        <v>1589.1528139688787</v>
      </c>
      <c r="AF273" s="121">
        <f>'Key Inputs_New Techs'!Z208</f>
        <v>1706.9228495182501</v>
      </c>
      <c r="AG273" s="121">
        <f>'Key Inputs_New Techs'!AA208</f>
        <v>1706.9228495182501</v>
      </c>
      <c r="AH273" s="121">
        <f>'Key Inputs_New Techs'!AB208</f>
        <v>1446.9868156154628</v>
      </c>
      <c r="AI273" s="121">
        <f>'Key Inputs_New Techs'!AC208</f>
        <v>1412.1939932870519</v>
      </c>
      <c r="AJ273" s="121">
        <f>'Key Inputs_New Techs'!AD208</f>
        <v>1660.153767104068</v>
      </c>
      <c r="AK273" s="121">
        <f>'Key Inputs_New Techs'!AE208</f>
        <v>1449.7070727471253</v>
      </c>
      <c r="AL273" s="121">
        <f>'Key Inputs_New Techs'!AF208</f>
        <v>1561.1324732149471</v>
      </c>
      <c r="AM273" s="121">
        <f>'Key Inputs_New Techs'!AG208</f>
        <v>1489.7243579188346</v>
      </c>
      <c r="AN273" s="121">
        <f>'Key Inputs_New Techs'!AH208</f>
        <v>1506.1160245728904</v>
      </c>
      <c r="AO273" s="121">
        <f>'Key Inputs_New Techs'!AI208</f>
        <v>1391.414792136211</v>
      </c>
      <c r="AP273" s="121">
        <f>'Key Inputs_New Techs'!AJ208</f>
        <v>1570.4334613950464</v>
      </c>
      <c r="AQ273" s="121">
        <f>'Key Inputs_New Techs'!AK208</f>
        <v>1666.6440867482575</v>
      </c>
      <c r="AR273" s="121">
        <f>'Key Inputs_New Techs'!AL208</f>
        <v>1804.8770595162298</v>
      </c>
    </row>
    <row r="274" spans="11:44" x14ac:dyDescent="0.25">
      <c r="K274" s="201" t="str">
        <f>IF('Key Inputs_New Techs'!B209="","",'Key Inputs_New Techs'!B209)</f>
        <v>R-THH-HPG_ELC01</v>
      </c>
      <c r="L274" s="109" t="str">
        <f>IFERROR(VLOOKUP(K274,'Commodities &amp; Processes'!L:M,2,FALSE),"")</f>
        <v>RSD Thermal uses technology: Electricity Ground Heat Pump (Ord.) -New</v>
      </c>
      <c r="N274" s="109">
        <f>'Key Inputs_New Techs'!H209</f>
        <v>2020</v>
      </c>
      <c r="O274" s="206" t="s">
        <v>312</v>
      </c>
      <c r="P274" s="114" t="str">
        <f>'Key Inputs_New Techs'!J209</f>
        <v>USD/kW</v>
      </c>
      <c r="Q274" s="121">
        <f>'Key Inputs_New Techs'!K209</f>
        <v>1752.6999537709578</v>
      </c>
      <c r="R274" s="121">
        <f>'Key Inputs_New Techs'!L209</f>
        <v>1830.4135174181179</v>
      </c>
      <c r="S274" s="121">
        <f>'Key Inputs_New Techs'!M209</f>
        <v>1761.7137760280102</v>
      </c>
      <c r="T274" s="121">
        <f>'Key Inputs_New Techs'!N209</f>
        <v>1761.8306180077491</v>
      </c>
      <c r="U274" s="121">
        <f>'Key Inputs_New Techs'!O209</f>
        <v>2162.1857432270231</v>
      </c>
      <c r="V274" s="121">
        <f>'Key Inputs_New Techs'!P209</f>
        <v>1795.7839960351896</v>
      </c>
      <c r="W274" s="121">
        <f>'Key Inputs_New Techs'!Q209</f>
        <v>1844.5369481306425</v>
      </c>
      <c r="X274" s="121">
        <f>'Key Inputs_New Techs'!R209</f>
        <v>1781.4999578274153</v>
      </c>
      <c r="Y274" s="121">
        <f>'Key Inputs_New Techs'!S209</f>
        <v>1861.9698534823558</v>
      </c>
      <c r="Z274" s="121">
        <f>'Key Inputs_New Techs'!T209</f>
        <v>2171.7321795532339</v>
      </c>
      <c r="AA274" s="121">
        <f>'Key Inputs_New Techs'!U209</f>
        <v>1835.5194552321775</v>
      </c>
      <c r="AB274" s="121">
        <f>'Key Inputs_New Techs'!V209</f>
        <v>1866.1934135700008</v>
      </c>
      <c r="AC274" s="121">
        <f>'Key Inputs_New Techs'!W209</f>
        <v>1851.6992628611777</v>
      </c>
      <c r="AD274" s="121">
        <f>'Key Inputs_New Techs'!X209</f>
        <v>2351.9479339173454</v>
      </c>
      <c r="AE274" s="121">
        <f>'Key Inputs_New Techs'!Y209</f>
        <v>2012.0760684773461</v>
      </c>
      <c r="AF274" s="121">
        <f>'Key Inputs_New Techs'!Z209</f>
        <v>2161.1883930000004</v>
      </c>
      <c r="AG274" s="121">
        <f>'Key Inputs_New Techs'!AA209</f>
        <v>2161.1883930000004</v>
      </c>
      <c r="AH274" s="121">
        <f>'Key Inputs_New Techs'!AB209</f>
        <v>1832.075252618929</v>
      </c>
      <c r="AI274" s="121">
        <f>'Key Inputs_New Techs'!AC209</f>
        <v>1788.0229723432883</v>
      </c>
      <c r="AJ274" s="121">
        <f>'Key Inputs_New Techs'!AD209</f>
        <v>2101.9725953479169</v>
      </c>
      <c r="AK274" s="121">
        <f>'Key Inputs_New Techs'!AE209</f>
        <v>1835.5194552321775</v>
      </c>
      <c r="AL274" s="121">
        <f>'Key Inputs_New Techs'!AF209</f>
        <v>1976.5986388897154</v>
      </c>
      <c r="AM274" s="121">
        <f>'Key Inputs_New Techs'!AG209</f>
        <v>1886.1865912757767</v>
      </c>
      <c r="AN274" s="121">
        <f>'Key Inputs_New Techs'!AH209</f>
        <v>1906.9405929722614</v>
      </c>
      <c r="AO274" s="121">
        <f>'Key Inputs_New Techs'!AI209</f>
        <v>1761.7137760280102</v>
      </c>
      <c r="AP274" s="121">
        <f>'Key Inputs_New Techs'!AJ209</f>
        <v>1988.3749108541654</v>
      </c>
      <c r="AQ274" s="121">
        <f>'Key Inputs_New Techs'!AK209</f>
        <v>2110.1901919931552</v>
      </c>
      <c r="AR274" s="121">
        <f>'Key Inputs_New Techs'!AL209</f>
        <v>2285.2112811773227</v>
      </c>
    </row>
    <row r="275" spans="11:44" x14ac:dyDescent="0.25">
      <c r="K275" s="201" t="str">
        <f>IF('Key Inputs_New Techs'!B210="","",'Key Inputs_New Techs'!B210)</f>
        <v>R-THH-HPG_ELC02</v>
      </c>
      <c r="L275" s="109" t="str">
        <f>IFERROR(VLOOKUP(K$275,'Commodities &amp; Processes'!L:M,2,FALSE),"")</f>
        <v>RSD Thermal uses technology: Electricity Ground Heat Pump (Imp.) -New</v>
      </c>
      <c r="N275" s="109">
        <f>'Key Inputs_New Techs'!H210</f>
        <v>2030</v>
      </c>
      <c r="O275" s="206" t="s">
        <v>312</v>
      </c>
      <c r="P275" s="114" t="str">
        <f>'Key Inputs_New Techs'!J210</f>
        <v>USD/kW</v>
      </c>
      <c r="Q275" s="121">
        <f>'Key Inputs_New Techs'!K210</f>
        <v>1866.953005994068</v>
      </c>
      <c r="R275" s="121">
        <f>'Key Inputs_New Techs'!L210</f>
        <v>1949.7324748617534</v>
      </c>
      <c r="S275" s="121">
        <f>'Key Inputs_New Techs'!M210</f>
        <v>1876.5544112557579</v>
      </c>
      <c r="T275" s="121">
        <f>'Key Inputs_New Techs'!N210</f>
        <v>1876.6788698003197</v>
      </c>
      <c r="U275" s="121">
        <f>'Key Inputs_New Techs'!O210</f>
        <v>2303.1318989597708</v>
      </c>
      <c r="V275" s="121">
        <f>'Key Inputs_New Techs'!P210</f>
        <v>1912.8455628133481</v>
      </c>
      <c r="W275" s="121">
        <f>'Key Inputs_New Techs'!Q210</f>
        <v>1964.7765680432283</v>
      </c>
      <c r="X275" s="121">
        <f>'Key Inputs_New Techs'!R210</f>
        <v>1897.6303926341268</v>
      </c>
      <c r="Y275" s="121">
        <f>'Key Inputs_New Techs'!S210</f>
        <v>1983.3458702101891</v>
      </c>
      <c r="Z275" s="121">
        <f>'Key Inputs_New Techs'!T210</f>
        <v>2313.3006377432716</v>
      </c>
      <c r="AA275" s="121">
        <f>'Key Inputs_New Techs'!U210</f>
        <v>1955.1712528624421</v>
      </c>
      <c r="AB275" s="121">
        <f>'Key Inputs_New Techs'!V210</f>
        <v>1987.8447510281296</v>
      </c>
      <c r="AC275" s="121">
        <f>'Key Inputs_New Techs'!W210</f>
        <v>1972.4057717681892</v>
      </c>
      <c r="AD275" s="121">
        <f>'Key Inputs_New Techs'!X210</f>
        <v>2505.2640959573719</v>
      </c>
      <c r="AE275" s="121">
        <f>'Key Inputs_New Techs'!Y210</f>
        <v>2143.2370419423196</v>
      </c>
      <c r="AF275" s="121">
        <f>'Key Inputs_New Techs'!Z210</f>
        <v>2302.0695345771151</v>
      </c>
      <c r="AG275" s="121">
        <f>'Key Inputs_New Techs'!AA210</f>
        <v>2302.0695345771151</v>
      </c>
      <c r="AH275" s="121">
        <f>'Key Inputs_New Techs'!AB210</f>
        <v>1951.5025334057989</v>
      </c>
      <c r="AI275" s="121">
        <f>'Key Inputs_New Techs'!AC210</f>
        <v>1904.5786221541598</v>
      </c>
      <c r="AJ275" s="121">
        <f>'Key Inputs_New Techs'!AD210</f>
        <v>2238.9936434692063</v>
      </c>
      <c r="AK275" s="121">
        <f>'Key Inputs_New Techs'!AE210</f>
        <v>1955.1712528624421</v>
      </c>
      <c r="AL275" s="121">
        <f>'Key Inputs_New Techs'!AF210</f>
        <v>2105.4469491936634</v>
      </c>
      <c r="AM275" s="121">
        <f>'Key Inputs_New Techs'!AG210</f>
        <v>2009.1412217314373</v>
      </c>
      <c r="AN275" s="121">
        <f>'Key Inputs_New Techs'!AH210</f>
        <v>2031.2481121722649</v>
      </c>
      <c r="AO275" s="121">
        <f>'Key Inputs_New Techs'!AI210</f>
        <v>1876.5544112557579</v>
      </c>
      <c r="AP275" s="121">
        <f>'Key Inputs_New Techs'!AJ210</f>
        <v>2117.9908796571349</v>
      </c>
      <c r="AQ275" s="121">
        <f>'Key Inputs_New Techs'!AK210</f>
        <v>2247.7469196508287</v>
      </c>
      <c r="AR275" s="121">
        <f>'Key Inputs_New Techs'!AL210</f>
        <v>2434.1770886376635</v>
      </c>
    </row>
    <row r="276" spans="11:44" x14ac:dyDescent="0.25">
      <c r="K276" s="201" t="str">
        <f>IF('Key Inputs_New Techs'!B211="","",'Key Inputs_New Techs'!B211)</f>
        <v/>
      </c>
      <c r="L276" s="109" t="str">
        <f>IFERROR(VLOOKUP(K$275,'Commodities &amp; Processes'!L:M,2,FALSE),"")</f>
        <v>RSD Thermal uses technology: Electricity Ground Heat Pump (Imp.) -New</v>
      </c>
      <c r="N276" s="109">
        <f>'Key Inputs_New Techs'!H211</f>
        <v>2050</v>
      </c>
      <c r="O276" s="206" t="s">
        <v>312</v>
      </c>
      <c r="P276" s="114" t="str">
        <f>'Key Inputs_New Techs'!J211</f>
        <v>USD/kW</v>
      </c>
      <c r="Q276" s="121">
        <f>'Key Inputs_New Techs'!K211</f>
        <v>1623.2698033386409</v>
      </c>
      <c r="R276" s="121">
        <f>'Key Inputs_New Techs'!L211</f>
        <v>1695.2445192087798</v>
      </c>
      <c r="S276" s="121">
        <f>'Key Inputs_New Techs'!M211</f>
        <v>1631.6179894905572</v>
      </c>
      <c r="T276" s="121">
        <f>'Key Inputs_New Techs'!N211</f>
        <v>1631.7262031394846</v>
      </c>
      <c r="U276" s="121">
        <f>'Key Inputs_New Techs'!O211</f>
        <v>2002.5166421887197</v>
      </c>
      <c r="V276" s="121">
        <f>'Key Inputs_New Techs'!P211</f>
        <v>1663.1722547895142</v>
      </c>
      <c r="W276" s="121">
        <f>'Key Inputs_New Techs'!Q211</f>
        <v>1708.3249888840719</v>
      </c>
      <c r="X276" s="121">
        <f>'Key Inputs_New Techs'!R211</f>
        <v>1649.9430378647753</v>
      </c>
      <c r="Y276" s="121">
        <f>'Key Inputs_New Techs'!S211</f>
        <v>1724.4705412251972</v>
      </c>
      <c r="Z276" s="121">
        <f>'Key Inputs_New Techs'!T211</f>
        <v>2011.3581109093027</v>
      </c>
      <c r="AA276" s="121">
        <f>'Key Inputs_New Techs'!U211</f>
        <v>1699.9734031534936</v>
      </c>
      <c r="AB276" s="121">
        <f>'Key Inputs_New Techs'!V211</f>
        <v>1728.3822076448314</v>
      </c>
      <c r="AC276" s="121">
        <f>'Key Inputs_New Techs'!W211</f>
        <v>1714.9583942191214</v>
      </c>
      <c r="AD276" s="121">
        <f>'Key Inputs_New Techs'!X211</f>
        <v>2178.2656249511415</v>
      </c>
      <c r="AE276" s="121">
        <f>'Key Inputs_New Techs'!Y211</f>
        <v>1863.4919895744035</v>
      </c>
      <c r="AF276" s="121">
        <f>'Key Inputs_New Techs'!Z211</f>
        <v>2001.5929424400003</v>
      </c>
      <c r="AG276" s="121">
        <f>'Key Inputs_New Techs'!AA211</f>
        <v>2001.5929424400003</v>
      </c>
      <c r="AH276" s="121">
        <f>'Key Inputs_New Techs'!AB211</f>
        <v>1696.7835416563003</v>
      </c>
      <c r="AI276" s="121">
        <f>'Key Inputs_New Techs'!AC211</f>
        <v>1655.9843528471686</v>
      </c>
      <c r="AJ276" s="121">
        <f>'Key Inputs_New Techs'!AD211</f>
        <v>1946.7500036914553</v>
      </c>
      <c r="AK276" s="121">
        <f>'Key Inputs_New Techs'!AE211</f>
        <v>1699.9734031534936</v>
      </c>
      <c r="AL276" s="121">
        <f>'Key Inputs_New Techs'!AF211</f>
        <v>1830.6344317101673</v>
      </c>
      <c r="AM276" s="121">
        <f>'Key Inputs_New Techs'!AG211</f>
        <v>1746.8989660738732</v>
      </c>
      <c r="AN276" s="121">
        <f>'Key Inputs_New Techs'!AH211</f>
        <v>1766.120364568156</v>
      </c>
      <c r="AO276" s="121">
        <f>'Key Inputs_New Techs'!AI211</f>
        <v>1631.6179894905572</v>
      </c>
      <c r="AP276" s="121">
        <f>'Key Inputs_New Techs'!AJ211</f>
        <v>1841.5410712833961</v>
      </c>
      <c r="AQ276" s="121">
        <f>'Key Inputs_New Techs'!AK211</f>
        <v>1954.3607624305837</v>
      </c>
      <c r="AR276" s="121">
        <f>'Key Inputs_New Techs'!AL211</f>
        <v>2116.4572173365355</v>
      </c>
    </row>
    <row r="277" spans="11:44" x14ac:dyDescent="0.25">
      <c r="K277" s="201" t="str">
        <f>IF('Key Inputs_New Techs'!B212="","",'Key Inputs_New Techs'!B212)</f>
        <v>R-THH-HPG_ELC03</v>
      </c>
      <c r="L277" s="109" t="str">
        <f>IFERROR(VLOOKUP(K$277,'Commodities &amp; Processes'!L:M,2,FALSE),"")</f>
        <v>RSD Thermal uses technology: Electricity Ground Heat Pump (Adv.) -New</v>
      </c>
      <c r="N277" s="109">
        <f>'Key Inputs_New Techs'!H212</f>
        <v>2030</v>
      </c>
      <c r="O277" s="206" t="s">
        <v>312</v>
      </c>
      <c r="P277" s="114" t="str">
        <f>'Key Inputs_New Techs'!J212</f>
        <v>USD/kW</v>
      </c>
      <c r="Q277" s="121">
        <f>'Key Inputs_New Techs'!K212</f>
        <v>2414.7416125432264</v>
      </c>
      <c r="R277" s="121">
        <f>'Key Inputs_New Techs'!L212</f>
        <v>2521.8096680846638</v>
      </c>
      <c r="S277" s="121">
        <f>'Key Inputs_New Techs'!M212</f>
        <v>2427.1601965942741</v>
      </c>
      <c r="T277" s="121">
        <f>'Key Inputs_New Techs'!N212</f>
        <v>2427.3211729153841</v>
      </c>
      <c r="U277" s="121">
        <f>'Key Inputs_New Techs'!O212</f>
        <v>2978.9011387743153</v>
      </c>
      <c r="V277" s="121">
        <f>'Key Inputs_New Techs'!P212</f>
        <v>2474.0996501058876</v>
      </c>
      <c r="W277" s="121">
        <f>'Key Inputs_New Techs'!Q212</f>
        <v>2541.2678963912417</v>
      </c>
      <c r="X277" s="121">
        <f>'Key Inputs_New Techs'!R212</f>
        <v>2454.4201485567155</v>
      </c>
      <c r="Y277" s="121">
        <f>'Key Inputs_New Techs'!S212</f>
        <v>2565.2856764395265</v>
      </c>
      <c r="Z277" s="121">
        <f>'Key Inputs_New Techs'!T212</f>
        <v>2992.0535194763279</v>
      </c>
      <c r="AA277" s="121">
        <f>'Key Inputs_New Techs'!U212</f>
        <v>2528.8442551993267</v>
      </c>
      <c r="AB277" s="121">
        <f>'Key Inputs_New Techs'!V212</f>
        <v>2571.104588156144</v>
      </c>
      <c r="AC277" s="121">
        <f>'Key Inputs_New Techs'!W212</f>
        <v>2551.1356089935866</v>
      </c>
      <c r="AD277" s="121">
        <f>'Key Inputs_New Techs'!X212</f>
        <v>3240.3415851903737</v>
      </c>
      <c r="AE277" s="121">
        <f>'Key Inputs_New Techs'!Y212</f>
        <v>2772.0910243086291</v>
      </c>
      <c r="AF277" s="121">
        <f>'Key Inputs_New Techs'!Z212</f>
        <v>2977.5270626865686</v>
      </c>
      <c r="AG277" s="121">
        <f>'Key Inputs_New Techs'!AA212</f>
        <v>2977.5270626865686</v>
      </c>
      <c r="AH277" s="121">
        <f>'Key Inputs_New Techs'!AB212</f>
        <v>2524.0990851236684</v>
      </c>
      <c r="AI277" s="121">
        <f>'Key Inputs_New Techs'!AC212</f>
        <v>2463.4070801514886</v>
      </c>
      <c r="AJ277" s="121">
        <f>'Key Inputs_New Techs'!AD212</f>
        <v>2895.9438741877161</v>
      </c>
      <c r="AK277" s="121">
        <f>'Key Inputs_New Techs'!AE212</f>
        <v>2528.8442551993267</v>
      </c>
      <c r="AL277" s="121">
        <f>'Key Inputs_New Techs'!AF212</f>
        <v>2723.2128205139602</v>
      </c>
      <c r="AM277" s="121">
        <f>'Key Inputs_New Techs'!AG212</f>
        <v>2598.6497239161108</v>
      </c>
      <c r="AN277" s="121">
        <f>'Key Inputs_New Techs'!AH212</f>
        <v>2627.2430672407745</v>
      </c>
      <c r="AO277" s="121">
        <f>'Key Inputs_New Techs'!AI212</f>
        <v>2427.1601965942741</v>
      </c>
      <c r="AP277" s="121">
        <f>'Key Inputs_New Techs'!AJ212</f>
        <v>2739.4373054247981</v>
      </c>
      <c r="AQ277" s="121">
        <f>'Key Inputs_New Techs'!AK212</f>
        <v>2907.2654769136475</v>
      </c>
      <c r="AR277" s="121">
        <f>'Key Inputs_New Techs'!AL212</f>
        <v>3148.3967134475179</v>
      </c>
    </row>
    <row r="278" spans="11:44" x14ac:dyDescent="0.25">
      <c r="K278" s="201" t="str">
        <f>IF('Key Inputs_New Techs'!B213="","",'Key Inputs_New Techs'!B213)</f>
        <v/>
      </c>
      <c r="L278" s="109" t="str">
        <f>IFERROR(VLOOKUP(K$277,'Commodities &amp; Processes'!L:M,2,FALSE),"")</f>
        <v>RSD Thermal uses technology: Electricity Ground Heat Pump (Adv.) -New</v>
      </c>
      <c r="N278" s="109">
        <f>'Key Inputs_New Techs'!H213</f>
        <v>2050</v>
      </c>
      <c r="O278" s="206" t="s">
        <v>312</v>
      </c>
      <c r="P278" s="114" t="str">
        <f>'Key Inputs_New Techs'!J213</f>
        <v>USD/kW</v>
      </c>
      <c r="Q278" s="121">
        <f>'Key Inputs_New Techs'!K213</f>
        <v>1833.9207160344101</v>
      </c>
      <c r="R278" s="121">
        <f>'Key Inputs_New Techs'!L213</f>
        <v>1915.2355548821834</v>
      </c>
      <c r="S278" s="121">
        <f>'Key Inputs_New Techs'!M213</f>
        <v>1843.3522421392031</v>
      </c>
      <c r="T278" s="121">
        <f>'Key Inputs_New Techs'!N213</f>
        <v>1843.474498619375</v>
      </c>
      <c r="U278" s="121">
        <f>'Key Inputs_New Techs'!O213</f>
        <v>2262.3822279945562</v>
      </c>
      <c r="V278" s="121">
        <f>'Key Inputs_New Techs'!P213</f>
        <v>1879.001288706806</v>
      </c>
      <c r="W278" s="121">
        <f>'Key Inputs_New Techs'!Q213</f>
        <v>1930.0134705827279</v>
      </c>
      <c r="X278" s="121">
        <f>'Key Inputs_New Techs'!R213</f>
        <v>1864.055322900449</v>
      </c>
      <c r="Y278" s="121">
        <f>'Key Inputs_New Techs'!S213</f>
        <v>1948.2542231977943</v>
      </c>
      <c r="Z278" s="121">
        <f>'Key Inputs_New Techs'!T213</f>
        <v>2272.3710497009038</v>
      </c>
      <c r="AA278" s="121">
        <f>'Key Inputs_New Techs'!U213</f>
        <v>1920.5781037376455</v>
      </c>
      <c r="AB278" s="121">
        <f>'Key Inputs_New Techs'!V213</f>
        <v>1952.6735046175738</v>
      </c>
      <c r="AC278" s="121">
        <f>'Key Inputs_New Techs'!W213</f>
        <v>1937.5076896193787</v>
      </c>
      <c r="AD278" s="121">
        <f>'Key Inputs_New Techs'!X213</f>
        <v>2460.9380685868427</v>
      </c>
      <c r="AE278" s="121">
        <f>'Key Inputs_New Techs'!Y213</f>
        <v>2105.3164155556778</v>
      </c>
      <c r="AF278" s="121">
        <f>'Key Inputs_New Techs'!Z213</f>
        <v>2261.3386601901848</v>
      </c>
      <c r="AG278" s="121">
        <f>'Key Inputs_New Techs'!AA213</f>
        <v>2261.3386601901848</v>
      </c>
      <c r="AH278" s="121">
        <f>'Key Inputs_New Techs'!AB213</f>
        <v>1916.9742955050574</v>
      </c>
      <c r="AI278" s="121">
        <f>'Key Inputs_New Techs'!AC213</f>
        <v>1870.8806163147124</v>
      </c>
      <c r="AJ278" s="121">
        <f>'Key Inputs_New Techs'!AD213</f>
        <v>2199.3787806357809</v>
      </c>
      <c r="AK278" s="121">
        <f>'Key Inputs_New Techs'!AE213</f>
        <v>1920.5781037376455</v>
      </c>
      <c r="AL278" s="121">
        <f>'Key Inputs_New Techs'!AF213</f>
        <v>2068.1949487966785</v>
      </c>
      <c r="AM278" s="121">
        <f>'Key Inputs_New Techs'!AG213</f>
        <v>1973.5931735518327</v>
      </c>
      <c r="AN278" s="121">
        <f>'Key Inputs_New Techs'!AH213</f>
        <v>1995.3089233411265</v>
      </c>
      <c r="AO278" s="121">
        <f>'Key Inputs_New Techs'!AI213</f>
        <v>1843.3522421392031</v>
      </c>
      <c r="AP278" s="121">
        <f>'Key Inputs_New Techs'!AJ213</f>
        <v>2080.5169375471173</v>
      </c>
      <c r="AQ278" s="121">
        <f>'Key Inputs_New Techs'!AK213</f>
        <v>2207.9771837402559</v>
      </c>
      <c r="AR278" s="121">
        <f>'Key Inputs_New Techs'!AL213</f>
        <v>2391.10881474599</v>
      </c>
    </row>
    <row r="279" spans="11:44" x14ac:dyDescent="0.25">
      <c r="K279" s="201" t="str">
        <f>IF('Key Inputs_New Techs'!B214="","",'Key Inputs_New Techs'!B214)</f>
        <v>R-THH-HEX_HET01</v>
      </c>
      <c r="L279" s="109" t="str">
        <f>IFERROR(VLOOKUP(K279,'Commodities &amp; Processes'!L:M,2,FALSE),"")</f>
        <v>RSD Thermal uses technology: Heat District Heat (Ord.) -New</v>
      </c>
      <c r="N279" s="109">
        <f>'Key Inputs_New Techs'!H214</f>
        <v>2020</v>
      </c>
      <c r="O279" s="206" t="s">
        <v>312</v>
      </c>
      <c r="P279" s="114" t="str">
        <f>'Key Inputs_New Techs'!J214</f>
        <v>USD/kW</v>
      </c>
      <c r="Q279" s="121">
        <f>'Key Inputs_New Techs'!K214</f>
        <v>94.499230445812856</v>
      </c>
      <c r="R279" s="121">
        <f>'Key Inputs_New Techs'!L214</f>
        <v>98.689264195775507</v>
      </c>
      <c r="S279" s="121">
        <f>'Key Inputs_New Techs'!M214</f>
        <v>94.985223079540106</v>
      </c>
      <c r="T279" s="121">
        <f>'Key Inputs_New Techs'!N214</f>
        <v>94.991522775700503</v>
      </c>
      <c r="U279" s="121">
        <f>'Key Inputs_New Techs'!O214</f>
        <v>116.57722040572536</v>
      </c>
      <c r="V279" s="121">
        <f>'Key Inputs_New Techs'!P214</f>
        <v>96.822165885906344</v>
      </c>
      <c r="W279" s="121">
        <f>'Key Inputs_New Techs'!Q214</f>
        <v>99.450748402308875</v>
      </c>
      <c r="X279" s="121">
        <f>'Key Inputs_New Techs'!R214</f>
        <v>96.052022305204417</v>
      </c>
      <c r="Y279" s="121">
        <f>'Key Inputs_New Techs'!S214</f>
        <v>100.3906674892166</v>
      </c>
      <c r="Z279" s="121">
        <f>'Key Inputs_New Techs'!T214</f>
        <v>117.09192966008798</v>
      </c>
      <c r="AA279" s="121">
        <f>'Key Inputs_New Techs'!U214</f>
        <v>98.964557860897543</v>
      </c>
      <c r="AB279" s="121">
        <f>'Key Inputs_New Techs'!V214</f>
        <v>100.61838654470318</v>
      </c>
      <c r="AC279" s="121">
        <f>'Key Inputs_New Techs'!W214</f>
        <v>99.836914459305717</v>
      </c>
      <c r="AD279" s="121">
        <f>'Key Inputs_New Techs'!X214</f>
        <v>126.80851010785908</v>
      </c>
      <c r="AE279" s="121">
        <f>'Key Inputs_New Techs'!Y214</f>
        <v>108.48385067875299</v>
      </c>
      <c r="AF279" s="121">
        <f>'Key Inputs_New Techs'!Z214</f>
        <v>116.52344689547003</v>
      </c>
      <c r="AG279" s="121">
        <f>'Key Inputs_New Techs'!AA214</f>
        <v>116.52344689547003</v>
      </c>
      <c r="AH279" s="121">
        <f>'Key Inputs_New Techs'!AB214</f>
        <v>98.778858936360464</v>
      </c>
      <c r="AI279" s="121">
        <f>'Key Inputs_New Techs'!AC214</f>
        <v>96.403719611186901</v>
      </c>
      <c r="AJ279" s="121">
        <f>'Key Inputs_New Techs'!AD214</f>
        <v>113.33074565968958</v>
      </c>
      <c r="AK279" s="121">
        <f>'Key Inputs_New Techs'!AE214</f>
        <v>98.964557860897543</v>
      </c>
      <c r="AL279" s="121">
        <f>'Key Inputs_New Techs'!AF214</f>
        <v>106.57103623095577</v>
      </c>
      <c r="AM279" s="121">
        <f>'Key Inputs_New Techs'!AG214</f>
        <v>101.69634623957124</v>
      </c>
      <c r="AN279" s="121">
        <f>'Key Inputs_New Techs'!AH214</f>
        <v>102.81532680710608</v>
      </c>
      <c r="AO279" s="121">
        <f>'Key Inputs_New Techs'!AI214</f>
        <v>94.985223079540106</v>
      </c>
      <c r="AP279" s="121">
        <f>'Key Inputs_New Techs'!AJ214</f>
        <v>107.20597014292787</v>
      </c>
      <c r="AQ279" s="121">
        <f>'Key Inputs_New Techs'!AK214</f>
        <v>113.77380869362094</v>
      </c>
      <c r="AR279" s="121">
        <f>'Key Inputs_New Techs'!AL214</f>
        <v>123.21031161821288</v>
      </c>
    </row>
    <row r="280" spans="11:44" x14ac:dyDescent="0.25">
      <c r="K280" s="201" t="str">
        <f>IF('Key Inputs_New Techs'!B215="","",'Key Inputs_New Techs'!B215)</f>
        <v>R-THH-HEX_HET02</v>
      </c>
      <c r="L280" s="109" t="str">
        <f>IFERROR(VLOOKUP(K$280,'Commodities &amp; Processes'!L:M,2,FALSE),"")</f>
        <v>RSD Thermal uses technology: Heat District Heat (Imp.) -New</v>
      </c>
      <c r="N280" s="109">
        <f>'Key Inputs_New Techs'!H215</f>
        <v>2030</v>
      </c>
      <c r="O280" s="206" t="s">
        <v>312</v>
      </c>
      <c r="P280" s="114" t="str">
        <f>'Key Inputs_New Techs'!J215</f>
        <v>USD/kW</v>
      </c>
      <c r="Q280" s="121">
        <f>'Key Inputs_New Techs'!K215</f>
        <v>110.51833100828317</v>
      </c>
      <c r="R280" s="121">
        <f>'Key Inputs_New Techs'!L215</f>
        <v>115.41864114551529</v>
      </c>
      <c r="S280" s="121">
        <f>'Key Inputs_New Techs'!M215</f>
        <v>111.08670700995499</v>
      </c>
      <c r="T280" s="121">
        <f>'Key Inputs_New Techs'!N215</f>
        <v>111.09407460334407</v>
      </c>
      <c r="U280" s="121">
        <f>'Key Inputs_New Techs'!O215</f>
        <v>136.33888627498774</v>
      </c>
      <c r="V280" s="121">
        <f>'Key Inputs_New Techs'!P215</f>
        <v>113.23504041076168</v>
      </c>
      <c r="W280" s="121">
        <f>'Key Inputs_New Techs'!Q215</f>
        <v>116.30920885911685</v>
      </c>
      <c r="X280" s="121">
        <f>'Key Inputs_New Techs'!R215</f>
        <v>112.33434542335938</v>
      </c>
      <c r="Y280" s="121">
        <f>'Key Inputs_New Techs'!S215</f>
        <v>117.40845896176648</v>
      </c>
      <c r="Z280" s="121">
        <f>'Key Inputs_New Techs'!T215</f>
        <v>136.94084681454254</v>
      </c>
      <c r="AA280" s="121">
        <f>'Key Inputs_New Techs'!U215</f>
        <v>115.74060140130685</v>
      </c>
      <c r="AB280" s="121">
        <f>'Key Inputs_New Techs'!V215</f>
        <v>117.67477996599509</v>
      </c>
      <c r="AC280" s="121">
        <f>'Key Inputs_New Techs'!W215</f>
        <v>116.76083611480983</v>
      </c>
      <c r="AD280" s="121">
        <f>'Key Inputs_New Techs'!X215</f>
        <v>148.30453992748429</v>
      </c>
      <c r="AE280" s="121">
        <f>'Key Inputs_New Techs'!Y215</f>
        <v>126.8735635391497</v>
      </c>
      <c r="AF280" s="121">
        <f>'Key Inputs_New Techs'!Z215</f>
        <v>136.27599731200002</v>
      </c>
      <c r="AG280" s="121">
        <f>'Key Inputs_New Techs'!AA215</f>
        <v>136.27599731200002</v>
      </c>
      <c r="AH280" s="121">
        <f>'Key Inputs_New Techs'!AB215</f>
        <v>115.52342359876762</v>
      </c>
      <c r="AI280" s="121">
        <f>'Key Inputs_New Techs'!AC215</f>
        <v>112.74566093454315</v>
      </c>
      <c r="AJ280" s="121">
        <f>'Key Inputs_New Techs'!AD215</f>
        <v>132.54208318040432</v>
      </c>
      <c r="AK280" s="121">
        <f>'Key Inputs_New Techs'!AE215</f>
        <v>115.74060140130685</v>
      </c>
      <c r="AL280" s="121">
        <f>'Key Inputs_New Techs'!AF215</f>
        <v>124.63649706462111</v>
      </c>
      <c r="AM280" s="121">
        <f>'Key Inputs_New Techs'!AG215</f>
        <v>118.93547072304129</v>
      </c>
      <c r="AN280" s="121">
        <f>'Key Inputs_New Techs'!AH215</f>
        <v>120.24413603355475</v>
      </c>
      <c r="AO280" s="121">
        <f>'Key Inputs_New Techs'!AI215</f>
        <v>111.08670700995499</v>
      </c>
      <c r="AP280" s="121">
        <f>'Key Inputs_New Techs'!AJ215</f>
        <v>125.3790622254237</v>
      </c>
      <c r="AQ280" s="121">
        <f>'Key Inputs_New Techs'!AK215</f>
        <v>133.06025234231765</v>
      </c>
      <c r="AR280" s="121">
        <f>'Key Inputs_New Techs'!AL215</f>
        <v>144.09639040249689</v>
      </c>
    </row>
    <row r="281" spans="11:44" x14ac:dyDescent="0.25">
      <c r="K281" s="201" t="str">
        <f>IF('Key Inputs_New Techs'!B216="","",'Key Inputs_New Techs'!B216)</f>
        <v/>
      </c>
      <c r="L281" s="109" t="str">
        <f>IFERROR(VLOOKUP(K$280,'Commodities &amp; Processes'!L:M,2,FALSE),"")</f>
        <v>RSD Thermal uses technology: Heat District Heat (Imp.) -New</v>
      </c>
      <c r="N281" s="109">
        <f>'Key Inputs_New Techs'!H216</f>
        <v>2050</v>
      </c>
      <c r="O281" s="206" t="s">
        <v>312</v>
      </c>
      <c r="P281" s="114" t="str">
        <f>'Key Inputs_New Techs'!J216</f>
        <v>USD/kW</v>
      </c>
      <c r="Q281" s="121">
        <f>'Key Inputs_New Techs'!K216</f>
        <v>103.45582912966627</v>
      </c>
      <c r="R281" s="121">
        <f>'Key Inputs_New Techs'!L216</f>
        <v>108.04299257680394</v>
      </c>
      <c r="S281" s="121">
        <f>'Key Inputs_New Techs'!M216</f>
        <v>103.98788394784802</v>
      </c>
      <c r="T281" s="121">
        <f>'Key Inputs_New Techs'!N216</f>
        <v>103.99478072665208</v>
      </c>
      <c r="U281" s="121">
        <f>'Key Inputs_New Techs'!O216</f>
        <v>127.62636201171897</v>
      </c>
      <c r="V281" s="121">
        <f>'Key Inputs_New Techs'!P216</f>
        <v>105.99893144738685</v>
      </c>
      <c r="W281" s="121">
        <f>'Key Inputs_New Techs'!Q216</f>
        <v>108.8766499471804</v>
      </c>
      <c r="X281" s="121">
        <f>'Key Inputs_New Techs'!R216</f>
        <v>105.15579397087485</v>
      </c>
      <c r="Y281" s="121">
        <f>'Key Inputs_New Techs'!S216</f>
        <v>109.90565418342754</v>
      </c>
      <c r="Z281" s="121">
        <f>'Key Inputs_New Techs'!T216</f>
        <v>128.18985520017759</v>
      </c>
      <c r="AA281" s="121">
        <f>'Key Inputs_New Techs'!U216</f>
        <v>108.34437846370463</v>
      </c>
      <c r="AB281" s="121">
        <f>'Key Inputs_New Techs'!V216</f>
        <v>110.15495635851242</v>
      </c>
      <c r="AC281" s="121">
        <f>'Key Inputs_New Techs'!W216</f>
        <v>109.29941666623057</v>
      </c>
      <c r="AD281" s="121">
        <f>'Key Inputs_New Techs'!X216</f>
        <v>138.8273691967141</v>
      </c>
      <c r="AE281" s="121">
        <f>'Key Inputs_New Techs'!Y216</f>
        <v>118.76590598888404</v>
      </c>
      <c r="AF281" s="121">
        <f>'Key Inputs_New Techs'!Z216</f>
        <v>127.56749187000001</v>
      </c>
      <c r="AG281" s="121">
        <f>'Key Inputs_New Techs'!AA216</f>
        <v>127.56749187000001</v>
      </c>
      <c r="AH281" s="121">
        <f>'Key Inputs_New Techs'!AB216</f>
        <v>108.14107907051553</v>
      </c>
      <c r="AI281" s="121">
        <f>'Key Inputs_New Techs'!AC216</f>
        <v>105.54082500468789</v>
      </c>
      <c r="AJ281" s="121">
        <f>'Key Inputs_New Techs'!AD216</f>
        <v>124.07218770770446</v>
      </c>
      <c r="AK281" s="121">
        <f>'Key Inputs_New Techs'!AE216</f>
        <v>108.34437846370463</v>
      </c>
      <c r="AL281" s="121">
        <f>'Key Inputs_New Techs'!AF216</f>
        <v>116.67179576455223</v>
      </c>
      <c r="AM281" s="121">
        <f>'Key Inputs_New Techs'!AG216</f>
        <v>111.33508463548168</v>
      </c>
      <c r="AN281" s="121">
        <f>'Key Inputs_New Techs'!AH216</f>
        <v>112.56012172676976</v>
      </c>
      <c r="AO281" s="121">
        <f>'Key Inputs_New Techs'!AI216</f>
        <v>103.98788394784802</v>
      </c>
      <c r="AP281" s="121">
        <f>'Key Inputs_New Techs'!AJ216</f>
        <v>117.3669084548432</v>
      </c>
      <c r="AQ281" s="121">
        <f>'Key Inputs_New Techs'!AK216</f>
        <v>124.55724407605614</v>
      </c>
      <c r="AR281" s="121">
        <f>'Key Inputs_New Techs'!AL216</f>
        <v>134.88813491551099</v>
      </c>
    </row>
    <row r="282" spans="11:44" x14ac:dyDescent="0.25">
      <c r="K282" s="201" t="str">
        <f>IF('Key Inputs_New Techs'!B217="","",'Key Inputs_New Techs'!B217)</f>
        <v>R-THH-BLR_OIL01</v>
      </c>
      <c r="L282" s="109" t="str">
        <f>IFERROR(VLOOKUP(K282,'Commodities &amp; Processes'!L:M,2,FALSE),"")</f>
        <v>RSD Thermal uses technology: Oil, Liquid biofuels Boiler (Ord.) -New</v>
      </c>
      <c r="N282" s="109">
        <f>'Key Inputs_New Techs'!H217</f>
        <v>2020</v>
      </c>
      <c r="O282" s="206" t="s">
        <v>312</v>
      </c>
      <c r="P282" s="114" t="str">
        <f>'Key Inputs_New Techs'!J217</f>
        <v>USD/kW</v>
      </c>
      <c r="Q282" s="121">
        <f>'Key Inputs_New Techs'!K217</f>
        <v>167.02749332538187</v>
      </c>
      <c r="R282" s="121">
        <f>'Key Inputs_New Techs'!L217</f>
        <v>174.43338256811296</v>
      </c>
      <c r="S282" s="121">
        <f>'Key Inputs_New Techs'!M217</f>
        <v>167.88648583784058</v>
      </c>
      <c r="T282" s="121">
        <f>'Key Inputs_New Techs'!N217</f>
        <v>167.89762055770461</v>
      </c>
      <c r="U282" s="121">
        <f>'Key Inputs_New Techs'!O217</f>
        <v>206.05036476327859</v>
      </c>
      <c r="V282" s="121">
        <f>'Key Inputs_New Techs'!P217</f>
        <v>171.1332842602402</v>
      </c>
      <c r="W282" s="121">
        <f>'Key Inputs_New Techs'!Q217</f>
        <v>175.77930673727397</v>
      </c>
      <c r="X282" s="121">
        <f>'Key Inputs_New Techs'!R217</f>
        <v>169.77205463775098</v>
      </c>
      <c r="Y282" s="121">
        <f>'Key Inputs_New Techs'!S217</f>
        <v>177.44061475295035</v>
      </c>
      <c r="Z282" s="121">
        <f>'Key Inputs_New Techs'!T217</f>
        <v>206.96011393416592</v>
      </c>
      <c r="AA282" s="121">
        <f>'Key Inputs_New Techs'!U217</f>
        <v>174.91996442276687</v>
      </c>
      <c r="AB282" s="121">
        <f>'Key Inputs_New Techs'!V217</f>
        <v>177.8431084329614</v>
      </c>
      <c r="AC282" s="121">
        <f>'Key Inputs_New Techs'!W217</f>
        <v>176.46185566601383</v>
      </c>
      <c r="AD282" s="121">
        <f>'Key Inputs_New Techs'!X217</f>
        <v>224.13418051893282</v>
      </c>
      <c r="AE282" s="121">
        <f>'Key Inputs_New Techs'!Y217</f>
        <v>191.74532490555328</v>
      </c>
      <c r="AF282" s="121">
        <f>'Key Inputs_New Techs'!Z217</f>
        <v>205.95532002499999</v>
      </c>
      <c r="AG282" s="121">
        <f>'Key Inputs_New Techs'!AA217</f>
        <v>205.95532002499999</v>
      </c>
      <c r="AH282" s="121">
        <f>'Key Inputs_New Techs'!AB217</f>
        <v>174.591741370237</v>
      </c>
      <c r="AI282" s="121">
        <f>'Key Inputs_New Techs'!AC217</f>
        <v>170.39368001131663</v>
      </c>
      <c r="AJ282" s="121">
        <f>'Key Inputs_New Techs'!AD217</f>
        <v>200.31221709354236</v>
      </c>
      <c r="AK282" s="121">
        <f>'Key Inputs_New Techs'!AE217</f>
        <v>174.91996442276687</v>
      </c>
      <c r="AL282" s="121">
        <f>'Key Inputs_New Techs'!AF217</f>
        <v>188.36442327381621</v>
      </c>
      <c r="AM282" s="121">
        <f>'Key Inputs_New Techs'!AG217</f>
        <v>179.74840337441438</v>
      </c>
      <c r="AN282" s="121">
        <f>'Key Inputs_New Techs'!AH217</f>
        <v>181.72620275323925</v>
      </c>
      <c r="AO282" s="121">
        <f>'Key Inputs_New Techs'!AI217</f>
        <v>167.88648583784058</v>
      </c>
      <c r="AP282" s="121">
        <f>'Key Inputs_New Techs'!AJ217</f>
        <v>189.48666965871973</v>
      </c>
      <c r="AQ282" s="121">
        <f>'Key Inputs_New Techs'!AK217</f>
        <v>201.09533149133767</v>
      </c>
      <c r="AR282" s="121">
        <f>'Key Inputs_New Techs'!AL217</f>
        <v>217.77436074709459</v>
      </c>
    </row>
    <row r="283" spans="11:44" x14ac:dyDescent="0.25">
      <c r="K283" s="201" t="str">
        <f>IF('Key Inputs_New Techs'!B218="","",'Key Inputs_New Techs'!B218)</f>
        <v>R-THH-BLR_OIL02</v>
      </c>
      <c r="L283" s="109" t="str">
        <f>IFERROR(VLOOKUP(K283,'Commodities &amp; Processes'!L:M,2,FALSE),"")</f>
        <v>RSD Thermal uses technology: Oil, Liquid biofuels Boiler cond. (Ord.) -New</v>
      </c>
      <c r="N283" s="109">
        <f>'Key Inputs_New Techs'!H218</f>
        <v>2020</v>
      </c>
      <c r="O283" s="206" t="s">
        <v>312</v>
      </c>
      <c r="P283" s="114" t="str">
        <f>'Key Inputs_New Techs'!J218</f>
        <v>USD/kW</v>
      </c>
      <c r="Q283" s="121">
        <f>'Key Inputs_New Techs'!K218</f>
        <v>207.4545299264297</v>
      </c>
      <c r="R283" s="121">
        <f>'Key Inputs_New Techs'!L218</f>
        <v>216.65292739351611</v>
      </c>
      <c r="S283" s="121">
        <f>'Key Inputs_New Techs'!M218</f>
        <v>208.52143145464277</v>
      </c>
      <c r="T283" s="121">
        <f>'Key Inputs_New Techs'!N218</f>
        <v>208.53526120224458</v>
      </c>
      <c r="U283" s="121">
        <f>'Key Inputs_New Techs'!O218</f>
        <v>255.92242757222502</v>
      </c>
      <c r="V283" s="121">
        <f>'Key Inputs_New Techs'!P218</f>
        <v>212.55407917673148</v>
      </c>
      <c r="W283" s="121">
        <f>'Key Inputs_New Techs'!Q218</f>
        <v>218.32461664820653</v>
      </c>
      <c r="X283" s="121">
        <f>'Key Inputs_New Techs'!R218</f>
        <v>210.86337996408562</v>
      </c>
      <c r="Y283" s="121">
        <f>'Key Inputs_New Techs'!S218</f>
        <v>220.3880246931549</v>
      </c>
      <c r="Z283" s="121">
        <f>'Key Inputs_New Techs'!T218</f>
        <v>257.0523708099513</v>
      </c>
      <c r="AA283" s="121">
        <f>'Key Inputs_New Techs'!U218</f>
        <v>217.25728065248114</v>
      </c>
      <c r="AB283" s="121">
        <f>'Key Inputs_New Techs'!V218</f>
        <v>220.88793722565271</v>
      </c>
      <c r="AC283" s="121">
        <f>'Key Inputs_New Techs'!W218</f>
        <v>219.17236850237387</v>
      </c>
      <c r="AD283" s="121">
        <f>'Key Inputs_New Techs'!X218</f>
        <v>278.38321784198666</v>
      </c>
      <c r="AE283" s="121">
        <f>'Key Inputs_New Techs'!Y218</f>
        <v>238.15502137950884</v>
      </c>
      <c r="AF283" s="121">
        <f>'Key Inputs_New Techs'!Z218</f>
        <v>255.804378375</v>
      </c>
      <c r="AG283" s="121">
        <f>'Key Inputs_New Techs'!AA218</f>
        <v>255.804378375</v>
      </c>
      <c r="AH283" s="121">
        <f>'Key Inputs_New Techs'!AB218</f>
        <v>216.84961507768293</v>
      </c>
      <c r="AI283" s="121">
        <f>'Key Inputs_New Techs'!AC218</f>
        <v>211.63546243443784</v>
      </c>
      <c r="AJ283" s="121">
        <f>'Key Inputs_New Techs'!AD218</f>
        <v>248.79542887414496</v>
      </c>
      <c r="AK283" s="121">
        <f>'Key Inputs_New Techs'!AE218</f>
        <v>217.25728065248114</v>
      </c>
      <c r="AL283" s="121">
        <f>'Key Inputs_New Techs'!AF218</f>
        <v>233.95581234645965</v>
      </c>
      <c r="AM283" s="121">
        <f>'Key Inputs_New Techs'!AG218</f>
        <v>223.2543863567567</v>
      </c>
      <c r="AN283" s="121">
        <f>'Key Inputs_New Techs'!AH218</f>
        <v>225.71088876994685</v>
      </c>
      <c r="AO283" s="121">
        <f>'Key Inputs_New Techs'!AI218</f>
        <v>208.52143145464277</v>
      </c>
      <c r="AP283" s="121">
        <f>'Key Inputs_New Techs'!AJ218</f>
        <v>235.34968524490668</v>
      </c>
      <c r="AQ283" s="121">
        <f>'Key Inputs_New Techs'!AK218</f>
        <v>249.76808688414553</v>
      </c>
      <c r="AR283" s="121">
        <f>'Key Inputs_New Techs'!AL218</f>
        <v>270.48407863492639</v>
      </c>
    </row>
    <row r="284" spans="11:44" x14ac:dyDescent="0.25">
      <c r="K284" s="201" t="str">
        <f>IF('Key Inputs_New Techs'!B219="","",'Key Inputs_New Techs'!B219)</f>
        <v>R-THH-BLR_OIL03</v>
      </c>
      <c r="L284" s="109" t="str">
        <f>IFERROR(VLOOKUP(K$284,'Commodities &amp; Processes'!L:M,2,FALSE),"")</f>
        <v>RSD Thermal uses technology: Oil, Liquid biofuels Boiler cond. (Imp.) -New</v>
      </c>
      <c r="N284" s="109">
        <f>'Key Inputs_New Techs'!H219</f>
        <v>2030</v>
      </c>
      <c r="O284" s="206" t="s">
        <v>312</v>
      </c>
      <c r="P284" s="114" t="str">
        <f>'Key Inputs_New Techs'!J219</f>
        <v>USD/kW</v>
      </c>
      <c r="Q284" s="121">
        <f>'Key Inputs_New Techs'!K219</f>
        <v>238.18242391622894</v>
      </c>
      <c r="R284" s="121">
        <f>'Key Inputs_New Techs'!L219</f>
        <v>248.74327600093639</v>
      </c>
      <c r="S284" s="121">
        <f>'Key Inputs_New Techs'!M219</f>
        <v>239.40735350518432</v>
      </c>
      <c r="T284" s="121">
        <f>'Key Inputs_New Techs'!N219</f>
        <v>239.42323169693614</v>
      </c>
      <c r="U284" s="121">
        <f>'Key Inputs_New Techs'!O219</f>
        <v>293.82932325119731</v>
      </c>
      <c r="V284" s="121">
        <f>'Key Inputs_New Techs'!P219</f>
        <v>244.03731174031168</v>
      </c>
      <c r="W284" s="121">
        <f>'Key Inputs_New Techs'!Q219</f>
        <v>250.66257368442436</v>
      </c>
      <c r="X284" s="121">
        <f>'Key Inputs_New Techs'!R219</f>
        <v>242.09618836872727</v>
      </c>
      <c r="Y284" s="121">
        <f>'Key Inputs_New Techs'!S219</f>
        <v>253.03161103370923</v>
      </c>
      <c r="Z284" s="121">
        <f>'Key Inputs_New Techs'!T219</f>
        <v>295.12663220533216</v>
      </c>
      <c r="AA284" s="121">
        <f>'Key Inputs_New Techs'!U219</f>
        <v>249.4371452751962</v>
      </c>
      <c r="AB284" s="121">
        <f>'Key Inputs_New Techs'!V219</f>
        <v>253.60556995752088</v>
      </c>
      <c r="AC284" s="121">
        <f>'Key Inputs_New Techs'!W219</f>
        <v>251.63589343587378</v>
      </c>
      <c r="AD284" s="121">
        <f>'Key Inputs_New Techs'!X219</f>
        <v>319.61697643680418</v>
      </c>
      <c r="AE284" s="121">
        <f>'Key Inputs_New Techs'!Y219</f>
        <v>273.43023206149837</v>
      </c>
      <c r="AF284" s="121">
        <f>'Key Inputs_New Techs'!Z219</f>
        <v>293.69378876107845</v>
      </c>
      <c r="AG284" s="121">
        <f>'Key Inputs_New Techs'!AA219</f>
        <v>293.69378876107845</v>
      </c>
      <c r="AH284" s="121">
        <f>'Key Inputs_New Techs'!AB219</f>
        <v>248.96909680796304</v>
      </c>
      <c r="AI284" s="121">
        <f>'Key Inputs_New Techs'!AC219</f>
        <v>242.98263068607238</v>
      </c>
      <c r="AJ284" s="121">
        <f>'Key Inputs_New Techs'!AD219</f>
        <v>285.64668281544243</v>
      </c>
      <c r="AK284" s="121">
        <f>'Key Inputs_New Techs'!AE219</f>
        <v>249.4371452751962</v>
      </c>
      <c r="AL284" s="121">
        <f>'Key Inputs_New Techs'!AF219</f>
        <v>268.60904167159811</v>
      </c>
      <c r="AM284" s="121">
        <f>'Key Inputs_New Techs'!AG219</f>
        <v>256.32253444280201</v>
      </c>
      <c r="AN284" s="121">
        <f>'Key Inputs_New Techs'!AH219</f>
        <v>259.14289078468181</v>
      </c>
      <c r="AO284" s="121">
        <f>'Key Inputs_New Techs'!AI219</f>
        <v>239.40735350518432</v>
      </c>
      <c r="AP284" s="121">
        <f>'Key Inputs_New Techs'!AJ219</f>
        <v>270.20937320304739</v>
      </c>
      <c r="AQ284" s="121">
        <f>'Key Inputs_New Techs'!AK219</f>
        <v>286.76340965937123</v>
      </c>
      <c r="AR284" s="121">
        <f>'Key Inputs_New Techs'!AL219</f>
        <v>310.54782704847048</v>
      </c>
    </row>
    <row r="285" spans="11:44" x14ac:dyDescent="0.25">
      <c r="K285" s="201" t="str">
        <f>IF('Key Inputs_New Techs'!B220="","",'Key Inputs_New Techs'!B220)</f>
        <v/>
      </c>
      <c r="L285" s="109" t="str">
        <f>IFERROR(VLOOKUP(K$284,'Commodities &amp; Processes'!L:M,2,FALSE),"")</f>
        <v>RSD Thermal uses technology: Oil, Liquid biofuels Boiler cond. (Imp.) -New</v>
      </c>
      <c r="N285" s="109">
        <f>'Key Inputs_New Techs'!H220</f>
        <v>2050</v>
      </c>
      <c r="O285" s="206" t="s">
        <v>312</v>
      </c>
      <c r="P285" s="114" t="str">
        <f>'Key Inputs_New Techs'!J220</f>
        <v>USD/kW</v>
      </c>
      <c r="Q285" s="121">
        <f>'Key Inputs_New Techs'!K220</f>
        <v>223.41257069000122</v>
      </c>
      <c r="R285" s="121">
        <f>'Key Inputs_New Techs'!L220</f>
        <v>233.31853719301736</v>
      </c>
      <c r="S285" s="121">
        <f>'Key Inputs_New Techs'!M220</f>
        <v>224.56154156653835</v>
      </c>
      <c r="T285" s="121">
        <f>'Key Inputs_New Techs'!N220</f>
        <v>224.5764351408788</v>
      </c>
      <c r="U285" s="121">
        <f>'Key Inputs_New Techs'!O220</f>
        <v>275.60876815470391</v>
      </c>
      <c r="V285" s="121">
        <f>'Key Inputs_New Techs'!P220</f>
        <v>228.90439295955699</v>
      </c>
      <c r="W285" s="121">
        <f>'Key Inputs_New Techs'!Q220</f>
        <v>235.11881792883781</v>
      </c>
      <c r="X285" s="121">
        <f>'Key Inputs_New Techs'!R220</f>
        <v>227.08363996132297</v>
      </c>
      <c r="Y285" s="121">
        <f>'Key Inputs_New Techs'!S220</f>
        <v>237.34094966955143</v>
      </c>
      <c r="Z285" s="121">
        <f>'Key Inputs_New Techs'!T220</f>
        <v>276.82563010302448</v>
      </c>
      <c r="AA285" s="121">
        <f>'Key Inputs_New Techs'!U220</f>
        <v>233.96937916421047</v>
      </c>
      <c r="AB285" s="121">
        <f>'Key Inputs_New Techs'!V220</f>
        <v>237.87931701224139</v>
      </c>
      <c r="AC285" s="121">
        <f>'Key Inputs_New Techs'!W220</f>
        <v>236.03178146409493</v>
      </c>
      <c r="AD285" s="121">
        <f>'Key Inputs_New Techs'!X220</f>
        <v>299.79731152213947</v>
      </c>
      <c r="AE285" s="121">
        <f>'Key Inputs_New Techs'!Y220</f>
        <v>256.47463840870182</v>
      </c>
      <c r="AF285" s="121">
        <f>'Key Inputs_New Techs'!Z220</f>
        <v>275.48163825</v>
      </c>
      <c r="AG285" s="121">
        <f>'Key Inputs_New Techs'!AA220</f>
        <v>275.48163825</v>
      </c>
      <c r="AH285" s="121">
        <f>'Key Inputs_New Techs'!AB220</f>
        <v>233.53035469904313</v>
      </c>
      <c r="AI285" s="121">
        <f>'Key Inputs_New Techs'!AC220</f>
        <v>227.91511339093307</v>
      </c>
      <c r="AJ285" s="121">
        <f>'Key Inputs_New Techs'!AD220</f>
        <v>267.93353878754073</v>
      </c>
      <c r="AK285" s="121">
        <f>'Key Inputs_New Techs'!AE220</f>
        <v>233.96937916421047</v>
      </c>
      <c r="AL285" s="121">
        <f>'Key Inputs_New Techs'!AF220</f>
        <v>251.95241329618733</v>
      </c>
      <c r="AM285" s="121">
        <f>'Key Inputs_New Techs'!AG220</f>
        <v>240.42780069189183</v>
      </c>
      <c r="AN285" s="121">
        <f>'Key Inputs_New Techs'!AH220</f>
        <v>243.07326482917352</v>
      </c>
      <c r="AO285" s="121">
        <f>'Key Inputs_New Techs'!AI220</f>
        <v>224.56154156653835</v>
      </c>
      <c r="AP285" s="121">
        <f>'Key Inputs_New Techs'!AJ220</f>
        <v>253.45350718682261</v>
      </c>
      <c r="AQ285" s="121">
        <f>'Key Inputs_New Techs'!AK220</f>
        <v>268.98101664446443</v>
      </c>
      <c r="AR285" s="121">
        <f>'Key Inputs_New Techs'!AL220</f>
        <v>291.29054622222844</v>
      </c>
    </row>
    <row r="286" spans="11:44" x14ac:dyDescent="0.25">
      <c r="K286" s="201" t="str">
        <f>IF('Key Inputs_New Techs'!B221="","",'Key Inputs_New Techs'!B221)</f>
        <v>R-THH-BLR_LPG01</v>
      </c>
      <c r="L286" s="109" t="str">
        <f>IFERROR(VLOOKUP(K$284,'Commodities &amp; Processes'!L:M,2,FALSE),"")</f>
        <v>RSD Thermal uses technology: Oil, Liquid biofuels Boiler cond. (Imp.) -New</v>
      </c>
      <c r="N286" s="109">
        <f>'Key Inputs_New Techs'!H221</f>
        <v>2020</v>
      </c>
      <c r="O286" s="206" t="s">
        <v>312</v>
      </c>
      <c r="P286" s="114" t="str">
        <f>'Key Inputs_New Techs'!J221</f>
        <v>USD/kW</v>
      </c>
      <c r="Q286" s="121">
        <f>'Key Inputs_New Techs'!K221</f>
        <v>167.02749332538187</v>
      </c>
      <c r="R286" s="121">
        <f>'Key Inputs_New Techs'!L221</f>
        <v>174.43338256811296</v>
      </c>
      <c r="S286" s="121">
        <f>'Key Inputs_New Techs'!M221</f>
        <v>167.88648583784058</v>
      </c>
      <c r="T286" s="121">
        <f>'Key Inputs_New Techs'!N221</f>
        <v>167.89762055770461</v>
      </c>
      <c r="U286" s="121">
        <f>'Key Inputs_New Techs'!O221</f>
        <v>206.05036476327859</v>
      </c>
      <c r="V286" s="121">
        <f>'Key Inputs_New Techs'!P221</f>
        <v>171.1332842602402</v>
      </c>
      <c r="W286" s="121">
        <f>'Key Inputs_New Techs'!Q221</f>
        <v>175.77930673727397</v>
      </c>
      <c r="X286" s="121">
        <f>'Key Inputs_New Techs'!R221</f>
        <v>169.77205463775098</v>
      </c>
      <c r="Y286" s="121">
        <f>'Key Inputs_New Techs'!S221</f>
        <v>177.44061475295035</v>
      </c>
      <c r="Z286" s="121">
        <f>'Key Inputs_New Techs'!T221</f>
        <v>206.96011393416592</v>
      </c>
      <c r="AA286" s="121">
        <f>'Key Inputs_New Techs'!U221</f>
        <v>174.91996442276687</v>
      </c>
      <c r="AB286" s="121">
        <f>'Key Inputs_New Techs'!V221</f>
        <v>177.8431084329614</v>
      </c>
      <c r="AC286" s="121">
        <f>'Key Inputs_New Techs'!W221</f>
        <v>176.46185566601383</v>
      </c>
      <c r="AD286" s="121">
        <f>'Key Inputs_New Techs'!X221</f>
        <v>224.13418051893282</v>
      </c>
      <c r="AE286" s="121">
        <f>'Key Inputs_New Techs'!Y221</f>
        <v>191.74532490555328</v>
      </c>
      <c r="AF286" s="121">
        <f>'Key Inputs_New Techs'!Z221</f>
        <v>205.95532002499999</v>
      </c>
      <c r="AG286" s="121">
        <f>'Key Inputs_New Techs'!AA221</f>
        <v>205.95532002499999</v>
      </c>
      <c r="AH286" s="121">
        <f>'Key Inputs_New Techs'!AB221</f>
        <v>174.591741370237</v>
      </c>
      <c r="AI286" s="121">
        <f>'Key Inputs_New Techs'!AC221</f>
        <v>170.39368001131663</v>
      </c>
      <c r="AJ286" s="121">
        <f>'Key Inputs_New Techs'!AD221</f>
        <v>200.31221709354236</v>
      </c>
      <c r="AK286" s="121">
        <f>'Key Inputs_New Techs'!AE221</f>
        <v>174.91996442276687</v>
      </c>
      <c r="AL286" s="121">
        <f>'Key Inputs_New Techs'!AF221</f>
        <v>188.36442327381621</v>
      </c>
      <c r="AM286" s="121">
        <f>'Key Inputs_New Techs'!AG221</f>
        <v>179.74840337441438</v>
      </c>
      <c r="AN286" s="121">
        <f>'Key Inputs_New Techs'!AH221</f>
        <v>181.72620275323925</v>
      </c>
      <c r="AO286" s="121">
        <f>'Key Inputs_New Techs'!AI221</f>
        <v>167.88648583784058</v>
      </c>
      <c r="AP286" s="121">
        <f>'Key Inputs_New Techs'!AJ221</f>
        <v>189.48666965871973</v>
      </c>
      <c r="AQ286" s="121">
        <f>'Key Inputs_New Techs'!AK221</f>
        <v>201.09533149133767</v>
      </c>
      <c r="AR286" s="121">
        <f>'Key Inputs_New Techs'!AL221</f>
        <v>217.77436074709459</v>
      </c>
    </row>
    <row r="287" spans="11:44" x14ac:dyDescent="0.25">
      <c r="K287" s="201" t="str">
        <f>IF('Key Inputs_New Techs'!B222="","",'Key Inputs_New Techs'!B222)</f>
        <v>R-THH-HEX_SOL01</v>
      </c>
      <c r="L287" s="109" t="str">
        <f>IFERROR(VLOOKUP(K$287,'Commodities &amp; Processes'!L:M,2,FALSE),"")</f>
        <v>RSD Thermal uses technology: Solar Thermal (Ord.) -New</v>
      </c>
      <c r="N287" s="109">
        <f>'Key Inputs_New Techs'!H222</f>
        <v>2020</v>
      </c>
      <c r="O287" s="206" t="s">
        <v>312</v>
      </c>
      <c r="P287" s="114" t="str">
        <f>'Key Inputs_New Techs'!J222</f>
        <v>USD/kW</v>
      </c>
      <c r="Q287" s="121">
        <f>'Key Inputs_New Techs'!K222</f>
        <v>1292.5515883266651</v>
      </c>
      <c r="R287" s="121">
        <f>'Key Inputs_New Techs'!L222</f>
        <v>1349.8624759720633</v>
      </c>
      <c r="S287" s="121">
        <f>'Key Inputs_New Techs'!M222</f>
        <v>1299.1989498731639</v>
      </c>
      <c r="T287" s="121">
        <f>'Key Inputs_New Techs'!N222</f>
        <v>1299.2851165248887</v>
      </c>
      <c r="U287" s="121">
        <f>'Key Inputs_New Techs'!O222</f>
        <v>1594.5322590169785</v>
      </c>
      <c r="V287" s="121">
        <f>'Key Inputs_New Techs'!P222</f>
        <v>1324.3244808519098</v>
      </c>
      <c r="W287" s="121">
        <f>'Key Inputs_New Techs'!Q222</f>
        <v>1360.2779853470813</v>
      </c>
      <c r="X287" s="121">
        <f>'Key Inputs_New Techs'!R222</f>
        <v>1313.7905293712502</v>
      </c>
      <c r="Y287" s="121">
        <f>'Key Inputs_New Techs'!S222</f>
        <v>1373.1341102377255</v>
      </c>
      <c r="Z287" s="121">
        <f>'Key Inputs_New Techs'!T222</f>
        <v>1601.57240380032</v>
      </c>
      <c r="AA287" s="121">
        <f>'Key Inputs_New Techs'!U222</f>
        <v>1353.627916837889</v>
      </c>
      <c r="AB287" s="121">
        <f>'Key Inputs_New Techs'!V222</f>
        <v>1376.2488300663722</v>
      </c>
      <c r="AC287" s="121">
        <f>'Key Inputs_New Techs'!W222</f>
        <v>1365.5599283637002</v>
      </c>
      <c r="AD287" s="121">
        <f>'Key Inputs_New Techs'!X222</f>
        <v>1734.4748775201663</v>
      </c>
      <c r="AE287" s="121">
        <f>'Key Inputs_New Techs'!Y222</f>
        <v>1483.8319089065974</v>
      </c>
      <c r="AF287" s="121">
        <f>'Key Inputs_New Techs'!Z222</f>
        <v>1593.7967500000002</v>
      </c>
      <c r="AG287" s="121">
        <f>'Key Inputs_New Techs'!AA222</f>
        <v>1593.7967500000002</v>
      </c>
      <c r="AH287" s="121">
        <f>'Key Inputs_New Techs'!AB222</f>
        <v>1351.0879444092395</v>
      </c>
      <c r="AI287" s="121">
        <f>'Key Inputs_New Techs'!AC222</f>
        <v>1318.6010120525725</v>
      </c>
      <c r="AJ287" s="121">
        <f>'Key Inputs_New Techs'!AD222</f>
        <v>1550.1272827049534</v>
      </c>
      <c r="AK287" s="121">
        <f>'Key Inputs_New Techs'!AE222</f>
        <v>1353.627916837889</v>
      </c>
      <c r="AL287" s="121">
        <f>'Key Inputs_New Techs'!AF222</f>
        <v>1457.6686127505277</v>
      </c>
      <c r="AM287" s="121">
        <f>'Key Inputs_New Techs'!AG222</f>
        <v>1390.9930614128145</v>
      </c>
      <c r="AN287" s="121">
        <f>'Key Inputs_New Techs'!AH222</f>
        <v>1406.2983723984228</v>
      </c>
      <c r="AO287" s="121">
        <f>'Key Inputs_New Techs'!AI222</f>
        <v>1299.1989498731639</v>
      </c>
      <c r="AP287" s="121">
        <f>'Key Inputs_New Techs'!AJ222</f>
        <v>1466.3531790959921</v>
      </c>
      <c r="AQ287" s="121">
        <f>'Key Inputs_New Techs'!AK222</f>
        <v>1556.1874572220906</v>
      </c>
      <c r="AR287" s="121">
        <f>'Key Inputs_New Techs'!AL222</f>
        <v>1685.2590569154295</v>
      </c>
    </row>
    <row r="288" spans="11:44" x14ac:dyDescent="0.25">
      <c r="K288" s="201" t="str">
        <f>IF('Key Inputs_New Techs'!B223="","",'Key Inputs_New Techs'!B223)</f>
        <v/>
      </c>
      <c r="L288" s="109" t="str">
        <f>IFERROR(VLOOKUP(K$287,'Commodities &amp; Processes'!L:M,2,FALSE),"")</f>
        <v>RSD Thermal uses technology: Solar Thermal (Ord.) -New</v>
      </c>
      <c r="N288" s="109">
        <f>'Key Inputs_New Techs'!H223</f>
        <v>2030</v>
      </c>
      <c r="O288" s="206" t="s">
        <v>312</v>
      </c>
      <c r="P288" s="114" t="str">
        <f>'Key Inputs_New Techs'!J223</f>
        <v>USD/kW</v>
      </c>
      <c r="Q288" s="121">
        <f>'Key Inputs_New Techs'!K223</f>
        <v>1429.6403931491902</v>
      </c>
      <c r="R288" s="121">
        <f>'Key Inputs_New Techs'!L223</f>
        <v>1493.0297082721306</v>
      </c>
      <c r="S288" s="121">
        <f>'Key Inputs_New Techs'!M223</f>
        <v>1436.9927778900146</v>
      </c>
      <c r="T288" s="121">
        <f>'Key Inputs_New Techs'!N223</f>
        <v>1437.0880834290435</v>
      </c>
      <c r="U288" s="121">
        <f>'Key Inputs_New Techs'!O223</f>
        <v>1763.6493167915069</v>
      </c>
      <c r="V288" s="121">
        <f>'Key Inputs_New Techs'!P223</f>
        <v>1464.7831379119609</v>
      </c>
      <c r="W288" s="121">
        <f>'Key Inputs_New Techs'!Q223</f>
        <v>1504.5498928838933</v>
      </c>
      <c r="X288" s="121">
        <f>'Key Inputs_New Techs'!R223</f>
        <v>1453.1319491530496</v>
      </c>
      <c r="Y288" s="121">
        <f>'Key Inputs_New Techs'!S223</f>
        <v>1518.7695461720298</v>
      </c>
      <c r="Z288" s="121">
        <f>'Key Inputs_New Techs'!T223</f>
        <v>1771.4361435973237</v>
      </c>
      <c r="AA288" s="121">
        <f>'Key Inputs_New Techs'!U223</f>
        <v>1497.1945140782711</v>
      </c>
      <c r="AB288" s="121">
        <f>'Key Inputs_New Techs'!V223</f>
        <v>1522.2146150734118</v>
      </c>
      <c r="AC288" s="121">
        <f>'Key Inputs_New Techs'!W223</f>
        <v>1510.3920419780322</v>
      </c>
      <c r="AD288" s="121">
        <f>'Key Inputs_New Techs'!X223</f>
        <v>1918.4343342268508</v>
      </c>
      <c r="AE288" s="121">
        <f>'Key Inputs_New Techs'!Y223</f>
        <v>1641.2080204572972</v>
      </c>
      <c r="AF288" s="121">
        <f>'Key Inputs_New Techs'!Z223</f>
        <v>1762.8357992424246</v>
      </c>
      <c r="AG288" s="121">
        <f>'Key Inputs_New Techs'!AA223</f>
        <v>1762.8357992424246</v>
      </c>
      <c r="AH288" s="121">
        <f>'Key Inputs_New Techs'!AB223</f>
        <v>1494.385150634462</v>
      </c>
      <c r="AI288" s="121">
        <f>'Key Inputs_New Techs'!AC223</f>
        <v>1458.452634542997</v>
      </c>
      <c r="AJ288" s="121">
        <f>'Key Inputs_New Techs'!AD223</f>
        <v>1714.5347217797212</v>
      </c>
      <c r="AK288" s="121">
        <f>'Key Inputs_New Techs'!AE223</f>
        <v>1497.1945140782711</v>
      </c>
      <c r="AL288" s="121">
        <f>'Key Inputs_New Techs'!AF223</f>
        <v>1612.2698292543716</v>
      </c>
      <c r="AM288" s="121">
        <f>'Key Inputs_New Techs'!AG223</f>
        <v>1538.5226285323556</v>
      </c>
      <c r="AN288" s="121">
        <f>'Key Inputs_New Techs'!AH223</f>
        <v>1555.4512300770436</v>
      </c>
      <c r="AO288" s="121">
        <f>'Key Inputs_New Techs'!AI223</f>
        <v>1436.9927778900146</v>
      </c>
      <c r="AP288" s="121">
        <f>'Key Inputs_New Techs'!AJ223</f>
        <v>1621.8754859698095</v>
      </c>
      <c r="AQ288" s="121">
        <f>'Key Inputs_New Techs'!AK223</f>
        <v>1721.2376420789792</v>
      </c>
      <c r="AR288" s="121">
        <f>'Key Inputs_New Techs'!AL223</f>
        <v>1863.9986538610056</v>
      </c>
    </row>
    <row r="289" spans="11:44" x14ac:dyDescent="0.25">
      <c r="K289" s="201" t="str">
        <f>IF('Key Inputs_New Techs'!B224="","",'Key Inputs_New Techs'!B224)</f>
        <v/>
      </c>
      <c r="L289" s="109" t="str">
        <f>IFERROR(VLOOKUP(K$287,'Commodities &amp; Processes'!L:M,2,FALSE),"")</f>
        <v>RSD Thermal uses technology: Solar Thermal (Ord.) -New</v>
      </c>
      <c r="N289" s="109">
        <f>'Key Inputs_New Techs'!H224</f>
        <v>2050</v>
      </c>
      <c r="O289" s="206" t="s">
        <v>312</v>
      </c>
      <c r="P289" s="114" t="str">
        <f>'Key Inputs_New Techs'!J224</f>
        <v>USD/kW</v>
      </c>
      <c r="Q289" s="121">
        <f>'Key Inputs_New Techs'!K224</f>
        <v>1116.7645723142386</v>
      </c>
      <c r="R289" s="121">
        <f>'Key Inputs_New Techs'!L224</f>
        <v>1166.2811792398627</v>
      </c>
      <c r="S289" s="121">
        <f>'Key Inputs_New Techs'!M224</f>
        <v>1122.5078926904137</v>
      </c>
      <c r="T289" s="121">
        <f>'Key Inputs_New Techs'!N224</f>
        <v>1122.5823406775039</v>
      </c>
      <c r="U289" s="121">
        <f>'Key Inputs_New Techs'!O224</f>
        <v>1377.6758717906696</v>
      </c>
      <c r="V289" s="121">
        <f>'Key Inputs_New Techs'!P224</f>
        <v>1144.2163514560502</v>
      </c>
      <c r="W289" s="121">
        <f>'Key Inputs_New Techs'!Q224</f>
        <v>1175.2801793398785</v>
      </c>
      <c r="X289" s="121">
        <f>'Key Inputs_New Techs'!R224</f>
        <v>1135.1150173767603</v>
      </c>
      <c r="Y289" s="121">
        <f>'Key Inputs_New Techs'!S224</f>
        <v>1186.387871245395</v>
      </c>
      <c r="Z289" s="121">
        <f>'Key Inputs_New Techs'!T224</f>
        <v>1383.7585568834766</v>
      </c>
      <c r="AA289" s="121">
        <f>'Key Inputs_New Techs'!U224</f>
        <v>1169.5345201479361</v>
      </c>
      <c r="AB289" s="121">
        <f>'Key Inputs_New Techs'!V224</f>
        <v>1189.0789891773456</v>
      </c>
      <c r="AC289" s="121">
        <f>'Key Inputs_New Techs'!W224</f>
        <v>1179.8437781062371</v>
      </c>
      <c r="AD289" s="121">
        <f>'Key Inputs_New Techs'!X224</f>
        <v>1498.5862941774237</v>
      </c>
      <c r="AE289" s="121">
        <f>'Key Inputs_New Techs'!Y224</f>
        <v>1282.0307692953002</v>
      </c>
      <c r="AF289" s="121">
        <f>'Key Inputs_New Techs'!Z224</f>
        <v>1377.0403920000003</v>
      </c>
      <c r="AG289" s="121">
        <f>'Key Inputs_New Techs'!AA224</f>
        <v>1377.0403920000003</v>
      </c>
      <c r="AH289" s="121">
        <f>'Key Inputs_New Techs'!AB224</f>
        <v>1167.339983969583</v>
      </c>
      <c r="AI289" s="121">
        <f>'Key Inputs_New Techs'!AC224</f>
        <v>1139.2712744134228</v>
      </c>
      <c r="AJ289" s="121">
        <f>'Key Inputs_New Techs'!AD224</f>
        <v>1339.3099722570798</v>
      </c>
      <c r="AK289" s="121">
        <f>'Key Inputs_New Techs'!AE224</f>
        <v>1169.5345201479361</v>
      </c>
      <c r="AL289" s="121">
        <f>'Key Inputs_New Techs'!AF224</f>
        <v>1259.425681416456</v>
      </c>
      <c r="AM289" s="121">
        <f>'Key Inputs_New Techs'!AG224</f>
        <v>1201.818005060672</v>
      </c>
      <c r="AN289" s="121">
        <f>'Key Inputs_New Techs'!AH224</f>
        <v>1215.0417937522375</v>
      </c>
      <c r="AO289" s="121">
        <f>'Key Inputs_New Techs'!AI224</f>
        <v>1122.5078926904137</v>
      </c>
      <c r="AP289" s="121">
        <f>'Key Inputs_New Techs'!AJ224</f>
        <v>1266.9291467389373</v>
      </c>
      <c r="AQ289" s="121">
        <f>'Key Inputs_New Techs'!AK224</f>
        <v>1344.5459630398866</v>
      </c>
      <c r="AR289" s="121">
        <f>'Key Inputs_New Techs'!AL224</f>
        <v>1456.0638251749313</v>
      </c>
    </row>
    <row r="290" spans="11:44" x14ac:dyDescent="0.25">
      <c r="K290" s="201" t="str">
        <f>IF('Key Inputs_New Techs'!B225="","",'Key Inputs_New Techs'!B225)</f>
        <v>R-ACH_ELC01</v>
      </c>
      <c r="L290" s="109" t="str">
        <f>IFERROR(VLOOKUP(K290,'Commodities &amp; Processes'!L:M,2,FALSE),"")</f>
        <v>RSD Air conditioning technology: Electricity Air conditioning (Ord.) -New</v>
      </c>
      <c r="N290" s="109">
        <f>'Key Inputs_New Techs'!H225</f>
        <v>2020</v>
      </c>
      <c r="O290" s="206" t="s">
        <v>312</v>
      </c>
      <c r="P290" s="114" t="str">
        <f>'Key Inputs_New Techs'!J225</f>
        <v>USD/kW</v>
      </c>
      <c r="Q290" s="121">
        <f>'Key Inputs_New Techs'!K225</f>
        <v>201.63804777895976</v>
      </c>
      <c r="R290" s="121">
        <f>'Key Inputs_New Techs'!L225</f>
        <v>210.57854625164185</v>
      </c>
      <c r="S290" s="121">
        <f>'Key Inputs_New Techs'!M225</f>
        <v>202.67503618021354</v>
      </c>
      <c r="T290" s="121">
        <f>'Key Inputs_New Techs'!N225</f>
        <v>202.68847817788262</v>
      </c>
      <c r="U290" s="121">
        <f>'Key Inputs_New Techs'!O225</f>
        <v>248.74703240664866</v>
      </c>
      <c r="V290" s="121">
        <f>'Key Inputs_New Techs'!P225</f>
        <v>206.59461901289791</v>
      </c>
      <c r="W290" s="121">
        <f>'Key Inputs_New Techs'!Q225</f>
        <v>212.2033657141447</v>
      </c>
      <c r="X290" s="121">
        <f>'Key Inputs_New Techs'!R225</f>
        <v>204.95132258191504</v>
      </c>
      <c r="Y290" s="121">
        <f>'Key Inputs_New Techs'!S225</f>
        <v>214.20892119708517</v>
      </c>
      <c r="Z290" s="121">
        <f>'Key Inputs_New Techs'!T225</f>
        <v>249.84529499284992</v>
      </c>
      <c r="AA290" s="121">
        <f>'Key Inputs_New Techs'!U225</f>
        <v>211.16595502671066</v>
      </c>
      <c r="AB290" s="121">
        <f>'Key Inputs_New Techs'!V225</f>
        <v>214.69481749035407</v>
      </c>
      <c r="AC290" s="121">
        <f>'Key Inputs_New Techs'!W225</f>
        <v>213.02734882473723</v>
      </c>
      <c r="AD290" s="121">
        <f>'Key Inputs_New Techs'!X225</f>
        <v>270.57808089314591</v>
      </c>
      <c r="AE290" s="121">
        <f>'Key Inputs_New Techs'!Y225</f>
        <v>231.47777778942918</v>
      </c>
      <c r="AF290" s="121">
        <f>'Key Inputs_New Techs'!Z225</f>
        <v>248.63229300000003</v>
      </c>
      <c r="AG290" s="121">
        <f>'Key Inputs_New Techs'!AA225</f>
        <v>248.63229300000003</v>
      </c>
      <c r="AH290" s="121">
        <f>'Key Inputs_New Techs'!AB225</f>
        <v>210.76971932784136</v>
      </c>
      <c r="AI290" s="121">
        <f>'Key Inputs_New Techs'!AC225</f>
        <v>205.70175788020131</v>
      </c>
      <c r="AJ290" s="121">
        <f>'Key Inputs_New Techs'!AD225</f>
        <v>241.8198561019727</v>
      </c>
      <c r="AK290" s="121">
        <f>'Key Inputs_New Techs'!AE225</f>
        <v>211.16595502671066</v>
      </c>
      <c r="AL290" s="121">
        <f>'Key Inputs_New Techs'!AF225</f>
        <v>227.39630358908229</v>
      </c>
      <c r="AM290" s="121">
        <f>'Key Inputs_New Techs'!AG225</f>
        <v>216.99491758039906</v>
      </c>
      <c r="AN290" s="121">
        <f>'Key Inputs_New Techs'!AH225</f>
        <v>219.38254609415398</v>
      </c>
      <c r="AO290" s="121">
        <f>'Key Inputs_New Techs'!AI225</f>
        <v>202.67503618021354</v>
      </c>
      <c r="AP290" s="121">
        <f>'Key Inputs_New Techs'!AJ225</f>
        <v>228.75109593897477</v>
      </c>
      <c r="AQ290" s="121">
        <f>'Key Inputs_New Techs'!AK225</f>
        <v>242.76524332664616</v>
      </c>
      <c r="AR290" s="121">
        <f>'Key Inputs_New Techs'!AL225</f>
        <v>262.900412878807</v>
      </c>
    </row>
    <row r="291" spans="11:44" x14ac:dyDescent="0.25">
      <c r="K291" s="201" t="str">
        <f>IF('Key Inputs_New Techs'!B226="","",'Key Inputs_New Techs'!B226)</f>
        <v>R-ACH_ELC02</v>
      </c>
      <c r="L291" s="109" t="str">
        <f>IFERROR(VLOOKUP(K$291,'Commodities &amp; Processes'!L:M,2,FALSE),"")</f>
        <v>RSD Air conditioning technology: Electricity Air conditioning (Imp.) -New</v>
      </c>
      <c r="N291" s="109">
        <f>'Key Inputs_New Techs'!H226</f>
        <v>2030</v>
      </c>
      <c r="O291" s="206" t="s">
        <v>312</v>
      </c>
      <c r="P291" s="114" t="str">
        <f>'Key Inputs_New Techs'!J226</f>
        <v>USD/kW</v>
      </c>
      <c r="Q291" s="121">
        <f>'Key Inputs_New Techs'!K226</f>
        <v>270.91881291326899</v>
      </c>
      <c r="R291" s="121">
        <f>'Key Inputs_New Techs'!L226</f>
        <v>282.93117496374447</v>
      </c>
      <c r="S291" s="121">
        <f>'Key Inputs_New Techs'!M226</f>
        <v>272.31209989341517</v>
      </c>
      <c r="T291" s="121">
        <f>'Key Inputs_New Techs'!N226</f>
        <v>272.33016042361669</v>
      </c>
      <c r="U291" s="121">
        <f>'Key Inputs_New Techs'!O226</f>
        <v>334.21396148995876</v>
      </c>
      <c r="V291" s="121">
        <f>'Key Inputs_New Techs'!P226</f>
        <v>277.57841118656029</v>
      </c>
      <c r="W291" s="121">
        <f>'Key Inputs_New Techs'!Q226</f>
        <v>285.11426572874831</v>
      </c>
      <c r="X291" s="121">
        <f>'Key Inputs_New Techs'!R226</f>
        <v>275.37049495621403</v>
      </c>
      <c r="Y291" s="121">
        <f>'Key Inputs_New Techs'!S226</f>
        <v>287.80890950582727</v>
      </c>
      <c r="Z291" s="121">
        <f>'Key Inputs_New Techs'!T226</f>
        <v>335.68957583654708</v>
      </c>
      <c r="AA291" s="121">
        <f>'Key Inputs_New Techs'!U226</f>
        <v>283.72041136922155</v>
      </c>
      <c r="AB291" s="121">
        <f>'Key Inputs_New Techs'!V226</f>
        <v>288.46175478191162</v>
      </c>
      <c r="AC291" s="121">
        <f>'Key Inputs_New Techs'!W226</f>
        <v>286.22136098503159</v>
      </c>
      <c r="AD291" s="121">
        <f>'Key Inputs_New Techs'!X226</f>
        <v>363.54593432822685</v>
      </c>
      <c r="AE291" s="121">
        <f>'Key Inputs_New Techs'!Y226</f>
        <v>311.01116810682282</v>
      </c>
      <c r="AF291" s="121">
        <f>'Key Inputs_New Techs'!Z226</f>
        <v>334.05979880000007</v>
      </c>
      <c r="AG291" s="121">
        <f>'Key Inputs_New Techs'!AA226</f>
        <v>334.05979880000007</v>
      </c>
      <c r="AH291" s="121">
        <f>'Key Inputs_New Techs'!AB226</f>
        <v>283.1880331481766</v>
      </c>
      <c r="AI291" s="121">
        <f>'Key Inputs_New Techs'!AC226</f>
        <v>276.37877212621919</v>
      </c>
      <c r="AJ291" s="121">
        <f>'Key Inputs_New Techs'!AD226</f>
        <v>324.90667845495824</v>
      </c>
      <c r="AK291" s="121">
        <f>'Key Inputs_New Techs'!AE226</f>
        <v>283.72041136922155</v>
      </c>
      <c r="AL291" s="121">
        <f>'Key Inputs_New Techs'!AF226</f>
        <v>305.52734123251059</v>
      </c>
      <c r="AM291" s="121">
        <f>'Key Inputs_New Techs'!AG226</f>
        <v>291.55214567212596</v>
      </c>
      <c r="AN291" s="121">
        <f>'Key Inputs_New Techs'!AH226</f>
        <v>294.76013885470945</v>
      </c>
      <c r="AO291" s="121">
        <f>'Key Inputs_New Techs'!AI226</f>
        <v>272.31209989341517</v>
      </c>
      <c r="AP291" s="121">
        <f>'Key Inputs_New Techs'!AJ226</f>
        <v>307.34762633851994</v>
      </c>
      <c r="AQ291" s="121">
        <f>'Key Inputs_New Techs'!AK226</f>
        <v>326.17689103375022</v>
      </c>
      <c r="AR291" s="121">
        <f>'Key Inputs_New Techs'!AL226</f>
        <v>353.23029832947407</v>
      </c>
    </row>
    <row r="292" spans="11:44" x14ac:dyDescent="0.25">
      <c r="K292" s="201" t="str">
        <f>IF('Key Inputs_New Techs'!B227="","",'Key Inputs_New Techs'!B227)</f>
        <v/>
      </c>
      <c r="L292" s="109" t="str">
        <f>IFERROR(VLOOKUP(K$291,'Commodities &amp; Processes'!L:M,2,FALSE),"")</f>
        <v>RSD Air conditioning technology: Electricity Air conditioning (Imp.) -New</v>
      </c>
      <c r="N292" s="109">
        <f>'Key Inputs_New Techs'!H227</f>
        <v>2050</v>
      </c>
      <c r="O292" s="206" t="s">
        <v>312</v>
      </c>
      <c r="P292" s="114" t="str">
        <f>'Key Inputs_New Techs'!J227</f>
        <v>USD/kW</v>
      </c>
      <c r="Q292" s="121">
        <f>'Key Inputs_New Techs'!K227</f>
        <v>258.51031766533299</v>
      </c>
      <c r="R292" s="121">
        <f>'Key Inputs_New Techs'!L227</f>
        <v>269.97249519441266</v>
      </c>
      <c r="S292" s="121">
        <f>'Key Inputs_New Techs'!M227</f>
        <v>259.83978997463277</v>
      </c>
      <c r="T292" s="121">
        <f>'Key Inputs_New Techs'!N227</f>
        <v>259.8570233049777</v>
      </c>
      <c r="U292" s="121">
        <f>'Key Inputs_New Techs'!O227</f>
        <v>318.90645180339573</v>
      </c>
      <c r="V292" s="121">
        <f>'Key Inputs_New Techs'!P227</f>
        <v>264.86489617038194</v>
      </c>
      <c r="W292" s="121">
        <f>'Key Inputs_New Techs'!Q227</f>
        <v>272.05559706941631</v>
      </c>
      <c r="X292" s="121">
        <f>'Key Inputs_New Techs'!R227</f>
        <v>262.75810587425002</v>
      </c>
      <c r="Y292" s="121">
        <f>'Key Inputs_New Techs'!S227</f>
        <v>274.62682204754509</v>
      </c>
      <c r="Z292" s="121">
        <f>'Key Inputs_New Techs'!T227</f>
        <v>320.31448076006399</v>
      </c>
      <c r="AA292" s="121">
        <f>'Key Inputs_New Techs'!U227</f>
        <v>270.72558336757777</v>
      </c>
      <c r="AB292" s="121">
        <f>'Key Inputs_New Techs'!V227</f>
        <v>275.24976601327444</v>
      </c>
      <c r="AC292" s="121">
        <f>'Key Inputs_New Techs'!W227</f>
        <v>273.11198567274005</v>
      </c>
      <c r="AD292" s="121">
        <f>'Key Inputs_New Techs'!X227</f>
        <v>346.89497550403325</v>
      </c>
      <c r="AE292" s="121">
        <f>'Key Inputs_New Techs'!Y227</f>
        <v>296.76638178131947</v>
      </c>
      <c r="AF292" s="121">
        <f>'Key Inputs_New Techs'!Z227</f>
        <v>318.75935000000004</v>
      </c>
      <c r="AG292" s="121">
        <f>'Key Inputs_New Techs'!AA227</f>
        <v>318.75935000000004</v>
      </c>
      <c r="AH292" s="121">
        <f>'Key Inputs_New Techs'!AB227</f>
        <v>270.21758888184792</v>
      </c>
      <c r="AI292" s="121">
        <f>'Key Inputs_New Techs'!AC227</f>
        <v>263.7202024105145</v>
      </c>
      <c r="AJ292" s="121">
        <f>'Key Inputs_New Techs'!AD227</f>
        <v>310.02545654099066</v>
      </c>
      <c r="AK292" s="121">
        <f>'Key Inputs_New Techs'!AE227</f>
        <v>270.72558336757777</v>
      </c>
      <c r="AL292" s="121">
        <f>'Key Inputs_New Techs'!AF227</f>
        <v>291.53372255010549</v>
      </c>
      <c r="AM292" s="121">
        <f>'Key Inputs_New Techs'!AG227</f>
        <v>278.19861228256292</v>
      </c>
      <c r="AN292" s="121">
        <f>'Key Inputs_New Techs'!AH227</f>
        <v>281.25967447968458</v>
      </c>
      <c r="AO292" s="121">
        <f>'Key Inputs_New Techs'!AI227</f>
        <v>259.83978997463277</v>
      </c>
      <c r="AP292" s="121">
        <f>'Key Inputs_New Techs'!AJ227</f>
        <v>293.27063581919839</v>
      </c>
      <c r="AQ292" s="121">
        <f>'Key Inputs_New Techs'!AK227</f>
        <v>311.23749144441814</v>
      </c>
      <c r="AR292" s="121">
        <f>'Key Inputs_New Techs'!AL227</f>
        <v>337.05181138308592</v>
      </c>
    </row>
    <row r="293" spans="11:44" x14ac:dyDescent="0.25">
      <c r="K293" s="201" t="str">
        <f>IF('Key Inputs_New Techs'!B228="","",'Key Inputs_New Techs'!B228)</f>
        <v>R-ACH_ELC03</v>
      </c>
      <c r="L293" s="109" t="str">
        <f>IFERROR(VLOOKUP(K$293,'Commodities &amp; Processes'!L:M,2,FALSE),"")</f>
        <v>RSD Air conditioning technology: Electricity Air conditioning (Adv.) -New</v>
      </c>
      <c r="N293" s="109">
        <f>'Key Inputs_New Techs'!H228</f>
        <v>2030</v>
      </c>
      <c r="O293" s="206" t="s">
        <v>312</v>
      </c>
      <c r="P293" s="114" t="str">
        <f>'Key Inputs_New Techs'!J228</f>
        <v>USD/kW</v>
      </c>
      <c r="Q293" s="121">
        <f>'Key Inputs_New Techs'!K228</f>
        <v>364.88082651190763</v>
      </c>
      <c r="R293" s="121">
        <f>'Key Inputs_New Techs'!L228</f>
        <v>381.05940247053229</v>
      </c>
      <c r="S293" s="121">
        <f>'Key Inputs_New Techs'!M228</f>
        <v>366.75734331565855</v>
      </c>
      <c r="T293" s="121">
        <f>'Key Inputs_New Techs'!N228</f>
        <v>366.78166772899959</v>
      </c>
      <c r="U293" s="121">
        <f>'Key Inputs_New Techs'!O228</f>
        <v>450.12845431046196</v>
      </c>
      <c r="V293" s="121">
        <f>'Key Inputs_New Techs'!P228</f>
        <v>373.85015461454373</v>
      </c>
      <c r="W293" s="121">
        <f>'Key Inputs_New Techs'!Q228</f>
        <v>383.99964849523388</v>
      </c>
      <c r="X293" s="121">
        <f>'Key Inputs_New Techs'!R228</f>
        <v>370.87647297783985</v>
      </c>
      <c r="Y293" s="121">
        <f>'Key Inputs_New Techs'!S228</f>
        <v>387.62886803138514</v>
      </c>
      <c r="Z293" s="121">
        <f>'Key Inputs_New Techs'!T228</f>
        <v>452.11585185072931</v>
      </c>
      <c r="AA293" s="121">
        <f>'Key Inputs_New Techs'!U228</f>
        <v>382.1223675294998</v>
      </c>
      <c r="AB293" s="121">
        <f>'Key Inputs_New Techs'!V228</f>
        <v>388.50813780730255</v>
      </c>
      <c r="AC293" s="121">
        <f>'Key Inputs_New Techs'!W228</f>
        <v>385.49071450056658</v>
      </c>
      <c r="AD293" s="121">
        <f>'Key Inputs_New Techs'!X228</f>
        <v>489.63355318994957</v>
      </c>
      <c r="AE293" s="121">
        <f>'Key Inputs_New Techs'!Y228</f>
        <v>418.87830104135691</v>
      </c>
      <c r="AF293" s="121">
        <f>'Key Inputs_New Techs'!Z228</f>
        <v>449.92082380623623</v>
      </c>
      <c r="AG293" s="121">
        <f>'Key Inputs_New Techs'!AA228</f>
        <v>449.92082380623623</v>
      </c>
      <c r="AH293" s="121">
        <f>'Key Inputs_New Techs'!AB228</f>
        <v>381.40534606014177</v>
      </c>
      <c r="AI293" s="121">
        <f>'Key Inputs_New Techs'!AC228</f>
        <v>372.23444809661595</v>
      </c>
      <c r="AJ293" s="121">
        <f>'Key Inputs_New Techs'!AD228</f>
        <v>437.5931523509098</v>
      </c>
      <c r="AK293" s="121">
        <f>'Key Inputs_New Techs'!AE228</f>
        <v>382.1223675294998</v>
      </c>
      <c r="AL293" s="121">
        <f>'Key Inputs_New Techs'!AF228</f>
        <v>411.4925338411004</v>
      </c>
      <c r="AM293" s="121">
        <f>'Key Inputs_New Techs'!AG228</f>
        <v>392.67036032016756</v>
      </c>
      <c r="AN293" s="121">
        <f>'Key Inputs_New Techs'!AH228</f>
        <v>396.99097279930299</v>
      </c>
      <c r="AO293" s="121">
        <f>'Key Inputs_New Techs'!AI228</f>
        <v>366.75734331565855</v>
      </c>
      <c r="AP293" s="121">
        <f>'Key Inputs_New Techs'!AJ228</f>
        <v>413.94414333556779</v>
      </c>
      <c r="AQ293" s="121">
        <f>'Key Inputs_New Techs'!AK228</f>
        <v>439.30390920316216</v>
      </c>
      <c r="AR293" s="121">
        <f>'Key Inputs_New Techs'!AL228</f>
        <v>475.74017403054103</v>
      </c>
    </row>
    <row r="294" spans="11:44" x14ac:dyDescent="0.25">
      <c r="K294" s="201" t="str">
        <f>IF('Key Inputs_New Techs'!B229="","",'Key Inputs_New Techs'!B229)</f>
        <v/>
      </c>
      <c r="L294" s="109" t="str">
        <f>IFERROR(VLOOKUP(K$293,'Commodities &amp; Processes'!L:M,2,FALSE),"")</f>
        <v>RSD Air conditioning technology: Electricity Air conditioning (Adv.) -New</v>
      </c>
      <c r="N294" s="109">
        <f>'Key Inputs_New Techs'!H229</f>
        <v>2050</v>
      </c>
      <c r="O294" s="206" t="s">
        <v>312</v>
      </c>
      <c r="P294" s="114" t="str">
        <f>'Key Inputs_New Techs'!J229</f>
        <v>USD/kW</v>
      </c>
      <c r="Q294" s="121">
        <f>'Key Inputs_New Techs'!K229</f>
        <v>359.48849902651006</v>
      </c>
      <c r="R294" s="121">
        <f>'Key Inputs_New Techs'!L229</f>
        <v>375.42798272958856</v>
      </c>
      <c r="S294" s="121">
        <f>'Key Inputs_New Techs'!M229</f>
        <v>361.33728405483606</v>
      </c>
      <c r="T294" s="121">
        <f>'Key Inputs_New Techs'!N229</f>
        <v>361.36124899408838</v>
      </c>
      <c r="U294" s="121">
        <f>'Key Inputs_New Techs'!O229</f>
        <v>443.47630966547985</v>
      </c>
      <c r="V294" s="121">
        <f>'Key Inputs_New Techs'!P229</f>
        <v>368.32527548230917</v>
      </c>
      <c r="W294" s="121">
        <f>'Key Inputs_New Techs'!Q229</f>
        <v>378.32477684259504</v>
      </c>
      <c r="X294" s="121">
        <f>'Key Inputs_New Techs'!R229</f>
        <v>365.39553987964524</v>
      </c>
      <c r="Y294" s="121">
        <f>'Key Inputs_New Techs'!S229</f>
        <v>381.9003625924978</v>
      </c>
      <c r="Z294" s="121">
        <f>'Key Inputs_New Techs'!T229</f>
        <v>445.43433679874818</v>
      </c>
      <c r="AA294" s="121">
        <f>'Key Inputs_New Techs'!U229</f>
        <v>376.47523894532009</v>
      </c>
      <c r="AB294" s="121">
        <f>'Key Inputs_New Techs'!V229</f>
        <v>382.76663823379567</v>
      </c>
      <c r="AC294" s="121">
        <f>'Key Inputs_New Techs'!W229</f>
        <v>379.79380738972083</v>
      </c>
      <c r="AD294" s="121">
        <f>'Key Inputs_New Techs'!X229</f>
        <v>482.39758934970411</v>
      </c>
      <c r="AE294" s="121">
        <f>'Key Inputs_New Techs'!Y229</f>
        <v>412.68798132153398</v>
      </c>
      <c r="AF294" s="121">
        <f>'Key Inputs_New Techs'!Z229</f>
        <v>443.27174759235106</v>
      </c>
      <c r="AG294" s="121">
        <f>'Key Inputs_New Techs'!AA229</f>
        <v>443.27174759235106</v>
      </c>
      <c r="AH294" s="121">
        <f>'Key Inputs_New Techs'!AB229</f>
        <v>375.76881385235652</v>
      </c>
      <c r="AI294" s="121">
        <f>'Key Inputs_New Techs'!AC229</f>
        <v>366.73344640060691</v>
      </c>
      <c r="AJ294" s="121">
        <f>'Key Inputs_New Techs'!AD229</f>
        <v>431.12625847380286</v>
      </c>
      <c r="AK294" s="121">
        <f>'Key Inputs_New Techs'!AE229</f>
        <v>376.47523894532009</v>
      </c>
      <c r="AL294" s="121">
        <f>'Key Inputs_New Techs'!AF229</f>
        <v>405.41136339024678</v>
      </c>
      <c r="AM294" s="121">
        <f>'Key Inputs_New Techs'!AG229</f>
        <v>386.86735006913068</v>
      </c>
      <c r="AN294" s="121">
        <f>'Key Inputs_New Techs'!AH229</f>
        <v>391.12411113231832</v>
      </c>
      <c r="AO294" s="121">
        <f>'Key Inputs_New Techs'!AI229</f>
        <v>361.33728405483606</v>
      </c>
      <c r="AP294" s="121">
        <f>'Key Inputs_New Techs'!AJ229</f>
        <v>407.82674220252994</v>
      </c>
      <c r="AQ294" s="121">
        <f>'Key Inputs_New Techs'!AK229</f>
        <v>432.811733205086</v>
      </c>
      <c r="AR294" s="121">
        <f>'Key Inputs_New Techs'!AL229</f>
        <v>468.70953106457256</v>
      </c>
    </row>
    <row r="295" spans="11:44" x14ac:dyDescent="0.25">
      <c r="K295" s="201" t="str">
        <f>IF('Key Inputs_New Techs'!B230="","",'Key Inputs_New Techs'!B230)</f>
        <v>R-CK_ELC01</v>
      </c>
      <c r="L295" s="109" t="str">
        <f>IFERROR(VLOOKUP(K295,'Commodities &amp; Processes'!L:M,2,FALSE),"")</f>
        <v>RSD Cooking technology: Electricity Cooking system (Ord.) -New</v>
      </c>
      <c r="N295" s="109">
        <f>'Key Inputs_New Techs'!H230</f>
        <v>2020</v>
      </c>
      <c r="O295" s="206" t="s">
        <v>312</v>
      </c>
      <c r="P295" s="114" t="str">
        <f>'Key Inputs_New Techs'!J230</f>
        <v>USD/kW</v>
      </c>
      <c r="Q295" s="121">
        <f>'Key Inputs_New Techs'!K230</f>
        <v>193.36571761366909</v>
      </c>
      <c r="R295" s="121">
        <f>'Key Inputs_New Techs'!L230</f>
        <v>201.93942640542068</v>
      </c>
      <c r="S295" s="121">
        <f>'Key Inputs_New Techs'!M230</f>
        <v>194.36016290102532</v>
      </c>
      <c r="T295" s="121">
        <f>'Key Inputs_New Techs'!N230</f>
        <v>194.37305343212336</v>
      </c>
      <c r="U295" s="121">
        <f>'Key Inputs_New Techs'!O230</f>
        <v>238.54202594894002</v>
      </c>
      <c r="V295" s="121">
        <f>'Key Inputs_New Techs'!P230</f>
        <v>198.11894233544569</v>
      </c>
      <c r="W295" s="121">
        <f>'Key Inputs_New Techs'!Q230</f>
        <v>203.49758660792338</v>
      </c>
      <c r="X295" s="121">
        <f>'Key Inputs_New Techs'!R230</f>
        <v>196.54306319393905</v>
      </c>
      <c r="Y295" s="121">
        <f>'Key Inputs_New Techs'!S230</f>
        <v>205.42086289156376</v>
      </c>
      <c r="Z295" s="121">
        <f>'Key Inputs_New Techs'!T230</f>
        <v>239.59523160852788</v>
      </c>
      <c r="AA295" s="121">
        <f>'Key Inputs_New Techs'!U230</f>
        <v>202.5027363589482</v>
      </c>
      <c r="AB295" s="121">
        <f>'Key Inputs_New Techs'!V230</f>
        <v>205.88682497792928</v>
      </c>
      <c r="AC295" s="121">
        <f>'Key Inputs_New Techs'!W230</f>
        <v>204.28776528320958</v>
      </c>
      <c r="AD295" s="121">
        <f>'Key Inputs_New Techs'!X230</f>
        <v>259.47744167701688</v>
      </c>
      <c r="AE295" s="121">
        <f>'Key Inputs_New Techs'!Y230</f>
        <v>221.98125357242697</v>
      </c>
      <c r="AF295" s="121">
        <f>'Key Inputs_New Techs'!Z230</f>
        <v>238.43199380000004</v>
      </c>
      <c r="AG295" s="121">
        <f>'Key Inputs_New Techs'!AA230</f>
        <v>238.43199380000004</v>
      </c>
      <c r="AH295" s="121">
        <f>'Key Inputs_New Techs'!AB230</f>
        <v>202.12275648362225</v>
      </c>
      <c r="AI295" s="121">
        <f>'Key Inputs_New Techs'!AC230</f>
        <v>197.26271140306486</v>
      </c>
      <c r="AJ295" s="121">
        <f>'Key Inputs_New Techs'!AD230</f>
        <v>231.89904149266101</v>
      </c>
      <c r="AK295" s="121">
        <f>'Key Inputs_New Techs'!AE230</f>
        <v>202.5027363589482</v>
      </c>
      <c r="AL295" s="121">
        <f>'Key Inputs_New Techs'!AF230</f>
        <v>218.06722446747895</v>
      </c>
      <c r="AM295" s="121">
        <f>'Key Inputs_New Techs'!AG230</f>
        <v>208.09256198735707</v>
      </c>
      <c r="AN295" s="121">
        <f>'Key Inputs_New Techs'!AH230</f>
        <v>210.38223651080406</v>
      </c>
      <c r="AO295" s="121">
        <f>'Key Inputs_New Techs'!AI230</f>
        <v>194.36016290102532</v>
      </c>
      <c r="AP295" s="121">
        <f>'Key Inputs_New Techs'!AJ230</f>
        <v>219.36643559276041</v>
      </c>
      <c r="AQ295" s="121">
        <f>'Key Inputs_New Techs'!AK230</f>
        <v>232.80564360042479</v>
      </c>
      <c r="AR295" s="121">
        <f>'Key Inputs_New Techs'!AL230</f>
        <v>252.11475491454826</v>
      </c>
    </row>
    <row r="296" spans="11:44" x14ac:dyDescent="0.25">
      <c r="K296" s="201" t="str">
        <f>IF('Key Inputs_New Techs'!B231="","",'Key Inputs_New Techs'!B231)</f>
        <v>R-CK_GAS01</v>
      </c>
      <c r="L296" s="109" t="str">
        <f>IFERROR(VLOOKUP(K296,'Commodities &amp; Processes'!L:M,2,FALSE),"")</f>
        <v>RSD Cooking technology: Natural gas,Biogas Cooking system (Ord.) -New</v>
      </c>
      <c r="N296" s="109">
        <f>'Key Inputs_New Techs'!H231</f>
        <v>2020</v>
      </c>
      <c r="O296" s="206" t="s">
        <v>312</v>
      </c>
      <c r="P296" s="114" t="str">
        <f>'Key Inputs_New Techs'!J231</f>
        <v>USD/kW</v>
      </c>
      <c r="Q296" s="121">
        <f>'Key Inputs_New Techs'!K231</f>
        <v>201.8420230433093</v>
      </c>
      <c r="R296" s="121">
        <f>'Key Inputs_New Techs'!L231</f>
        <v>210.79156564511027</v>
      </c>
      <c r="S296" s="121">
        <f>'Key Inputs_New Techs'!M231</f>
        <v>202.88006045285098</v>
      </c>
      <c r="T296" s="121">
        <f>'Key Inputs_New Techs'!N231</f>
        <v>202.89351604832592</v>
      </c>
      <c r="U296" s="121">
        <f>'Key Inputs_New Techs'!O231</f>
        <v>248.99866270286606</v>
      </c>
      <c r="V296" s="121">
        <f>'Key Inputs_New Techs'!P231</f>
        <v>206.80360830083501</v>
      </c>
      <c r="W296" s="121">
        <f>'Key Inputs_New Techs'!Q231</f>
        <v>212.41802876059938</v>
      </c>
      <c r="X296" s="121">
        <f>'Key Inputs_New Techs'!R231</f>
        <v>205.15864952572807</v>
      </c>
      <c r="Y296" s="121">
        <f>'Key Inputs_New Techs'!S231</f>
        <v>214.42561304571439</v>
      </c>
      <c r="Z296" s="121">
        <f>'Key Inputs_New Techs'!T231</f>
        <v>250.09803628177832</v>
      </c>
      <c r="AA296" s="121">
        <f>'Key Inputs_New Techs'!U231</f>
        <v>211.37956863769651</v>
      </c>
      <c r="AB296" s="121">
        <f>'Key Inputs_New Techs'!V231</f>
        <v>214.91200086737268</v>
      </c>
      <c r="AC296" s="121">
        <f>'Key Inputs_New Techs'!W231</f>
        <v>213.24284540521319</v>
      </c>
      <c r="AD296" s="121">
        <f>'Key Inputs_New Techs'!X231</f>
        <v>270.85179528477641</v>
      </c>
      <c r="AE296" s="121">
        <f>'Key Inputs_New Techs'!Y231</f>
        <v>231.71193866053326</v>
      </c>
      <c r="AF296" s="121">
        <f>'Key Inputs_New Techs'!Z231</f>
        <v>248.88380722684926</v>
      </c>
      <c r="AG296" s="121">
        <f>'Key Inputs_New Techs'!AA231</f>
        <v>248.88380722684926</v>
      </c>
      <c r="AH296" s="121">
        <f>'Key Inputs_New Techs'!AB231</f>
        <v>210.98293211030148</v>
      </c>
      <c r="AI296" s="121">
        <f>'Key Inputs_New Techs'!AC231</f>
        <v>205.90984395771966</v>
      </c>
      <c r="AJ296" s="121">
        <f>'Key Inputs_New Techs'!AD231</f>
        <v>242.06447892795566</v>
      </c>
      <c r="AK296" s="121">
        <f>'Key Inputs_New Techs'!AE231</f>
        <v>211.37956863769651</v>
      </c>
      <c r="AL296" s="121">
        <f>'Key Inputs_New Techs'!AF231</f>
        <v>227.62633567701218</v>
      </c>
      <c r="AM296" s="121">
        <f>'Key Inputs_New Techs'!AG231</f>
        <v>217.21442771830962</v>
      </c>
      <c r="AN296" s="121">
        <f>'Key Inputs_New Techs'!AH231</f>
        <v>219.60447153593512</v>
      </c>
      <c r="AO296" s="121">
        <f>'Key Inputs_New Techs'!AI231</f>
        <v>202.88006045285098</v>
      </c>
      <c r="AP296" s="121">
        <f>'Key Inputs_New Techs'!AJ231</f>
        <v>228.98249852285394</v>
      </c>
      <c r="AQ296" s="121">
        <f>'Key Inputs_New Techs'!AK231</f>
        <v>243.01082249797756</v>
      </c>
      <c r="AR296" s="121">
        <f>'Key Inputs_New Techs'!AL231</f>
        <v>263.16636060943245</v>
      </c>
    </row>
    <row r="297" spans="11:44" x14ac:dyDescent="0.25">
      <c r="K297" s="201" t="str">
        <f>IF('Key Inputs_New Techs'!B232="","",'Key Inputs_New Techs'!B232)</f>
        <v>R-CK_LPG01</v>
      </c>
      <c r="L297" s="109" t="str">
        <f>IFERROR(VLOOKUP(K297,'Commodities &amp; Processes'!L:M,2,FALSE),"")</f>
        <v>RSD Cooking technology: LPG Cooking system (Ord.) -New</v>
      </c>
      <c r="N297" s="109">
        <f>'Key Inputs_New Techs'!H232</f>
        <v>2020</v>
      </c>
      <c r="O297" s="206" t="s">
        <v>312</v>
      </c>
      <c r="P297" s="114" t="str">
        <f>'Key Inputs_New Techs'!J232</f>
        <v>USD/kW</v>
      </c>
      <c r="Q297" s="121">
        <f>'Key Inputs_New Techs'!K232</f>
        <v>201.8420230433093</v>
      </c>
      <c r="R297" s="121">
        <f>'Key Inputs_New Techs'!L232</f>
        <v>210.79156564511027</v>
      </c>
      <c r="S297" s="121">
        <f>'Key Inputs_New Techs'!M232</f>
        <v>202.88006045285098</v>
      </c>
      <c r="T297" s="121">
        <f>'Key Inputs_New Techs'!N232</f>
        <v>202.89351604832592</v>
      </c>
      <c r="U297" s="121">
        <f>'Key Inputs_New Techs'!O232</f>
        <v>248.99866270286606</v>
      </c>
      <c r="V297" s="121">
        <f>'Key Inputs_New Techs'!P232</f>
        <v>206.80360830083501</v>
      </c>
      <c r="W297" s="121">
        <f>'Key Inputs_New Techs'!Q232</f>
        <v>212.41802876059938</v>
      </c>
      <c r="X297" s="121">
        <f>'Key Inputs_New Techs'!R232</f>
        <v>205.15864952572807</v>
      </c>
      <c r="Y297" s="121">
        <f>'Key Inputs_New Techs'!S232</f>
        <v>214.42561304571439</v>
      </c>
      <c r="Z297" s="121">
        <f>'Key Inputs_New Techs'!T232</f>
        <v>250.09803628177832</v>
      </c>
      <c r="AA297" s="121">
        <f>'Key Inputs_New Techs'!U232</f>
        <v>211.37956863769651</v>
      </c>
      <c r="AB297" s="121">
        <f>'Key Inputs_New Techs'!V232</f>
        <v>214.91200086737268</v>
      </c>
      <c r="AC297" s="121">
        <f>'Key Inputs_New Techs'!W232</f>
        <v>213.24284540521319</v>
      </c>
      <c r="AD297" s="121">
        <f>'Key Inputs_New Techs'!X232</f>
        <v>270.85179528477641</v>
      </c>
      <c r="AE297" s="121">
        <f>'Key Inputs_New Techs'!Y232</f>
        <v>231.71193866053326</v>
      </c>
      <c r="AF297" s="121">
        <f>'Key Inputs_New Techs'!Z232</f>
        <v>248.88380722684926</v>
      </c>
      <c r="AG297" s="121">
        <f>'Key Inputs_New Techs'!AA232</f>
        <v>248.88380722684926</v>
      </c>
      <c r="AH297" s="121">
        <f>'Key Inputs_New Techs'!AB232</f>
        <v>210.98293211030148</v>
      </c>
      <c r="AI297" s="121">
        <f>'Key Inputs_New Techs'!AC232</f>
        <v>205.90984395771966</v>
      </c>
      <c r="AJ297" s="121">
        <f>'Key Inputs_New Techs'!AD232</f>
        <v>242.06447892795566</v>
      </c>
      <c r="AK297" s="121">
        <f>'Key Inputs_New Techs'!AE232</f>
        <v>211.37956863769651</v>
      </c>
      <c r="AL297" s="121">
        <f>'Key Inputs_New Techs'!AF232</f>
        <v>227.62633567701218</v>
      </c>
      <c r="AM297" s="121">
        <f>'Key Inputs_New Techs'!AG232</f>
        <v>217.21442771830962</v>
      </c>
      <c r="AN297" s="121">
        <f>'Key Inputs_New Techs'!AH232</f>
        <v>219.60447153593512</v>
      </c>
      <c r="AO297" s="121">
        <f>'Key Inputs_New Techs'!AI232</f>
        <v>202.88006045285098</v>
      </c>
      <c r="AP297" s="121">
        <f>'Key Inputs_New Techs'!AJ232</f>
        <v>228.98249852285394</v>
      </c>
      <c r="AQ297" s="121">
        <f>'Key Inputs_New Techs'!AK232</f>
        <v>243.01082249797756</v>
      </c>
      <c r="AR297" s="121">
        <f>'Key Inputs_New Techs'!AL232</f>
        <v>263.16636060943245</v>
      </c>
    </row>
    <row r="298" spans="11:44" x14ac:dyDescent="0.25">
      <c r="K298" s="201" t="str">
        <f>IF('Key Inputs_New Techs'!B233="","",'Key Inputs_New Techs'!B233)</f>
        <v>R-CK_BIO01</v>
      </c>
      <c r="L298" s="109" t="str">
        <f>IFERROR(VLOOKUP(K298,'Commodities &amp; Processes'!L:M,2,FALSE),"")</f>
        <v>RSD Cooking technology: Biomass Cooking system (Ord.) -New</v>
      </c>
      <c r="N298" s="109">
        <f>'Key Inputs_New Techs'!H233</f>
        <v>2020</v>
      </c>
      <c r="O298" s="206" t="s">
        <v>312</v>
      </c>
      <c r="P298" s="114" t="str">
        <f>'Key Inputs_New Techs'!J233</f>
        <v>USD/kW</v>
      </c>
      <c r="Q298" s="121">
        <f>'Key Inputs_New Techs'!K233</f>
        <v>201.8420230433093</v>
      </c>
      <c r="R298" s="121">
        <f>'Key Inputs_New Techs'!L233</f>
        <v>210.79156564511027</v>
      </c>
      <c r="S298" s="121">
        <f>'Key Inputs_New Techs'!M233</f>
        <v>202.88006045285098</v>
      </c>
      <c r="T298" s="121">
        <f>'Key Inputs_New Techs'!N233</f>
        <v>202.89351604832592</v>
      </c>
      <c r="U298" s="121">
        <f>'Key Inputs_New Techs'!O233</f>
        <v>248.99866270286606</v>
      </c>
      <c r="V298" s="121">
        <f>'Key Inputs_New Techs'!P233</f>
        <v>206.80360830083501</v>
      </c>
      <c r="W298" s="121">
        <f>'Key Inputs_New Techs'!Q233</f>
        <v>212.41802876059938</v>
      </c>
      <c r="X298" s="121">
        <f>'Key Inputs_New Techs'!R233</f>
        <v>205.15864952572807</v>
      </c>
      <c r="Y298" s="121">
        <f>'Key Inputs_New Techs'!S233</f>
        <v>214.42561304571439</v>
      </c>
      <c r="Z298" s="121">
        <f>'Key Inputs_New Techs'!T233</f>
        <v>250.09803628177832</v>
      </c>
      <c r="AA298" s="121">
        <f>'Key Inputs_New Techs'!U233</f>
        <v>211.37956863769651</v>
      </c>
      <c r="AB298" s="121">
        <f>'Key Inputs_New Techs'!V233</f>
        <v>214.91200086737268</v>
      </c>
      <c r="AC298" s="121">
        <f>'Key Inputs_New Techs'!W233</f>
        <v>213.24284540521319</v>
      </c>
      <c r="AD298" s="121">
        <f>'Key Inputs_New Techs'!X233</f>
        <v>270.85179528477641</v>
      </c>
      <c r="AE298" s="121">
        <f>'Key Inputs_New Techs'!Y233</f>
        <v>231.71193866053326</v>
      </c>
      <c r="AF298" s="121">
        <f>'Key Inputs_New Techs'!Z233</f>
        <v>248.88380722684926</v>
      </c>
      <c r="AG298" s="121">
        <f>'Key Inputs_New Techs'!AA233</f>
        <v>248.88380722684926</v>
      </c>
      <c r="AH298" s="121">
        <f>'Key Inputs_New Techs'!AB233</f>
        <v>210.98293211030148</v>
      </c>
      <c r="AI298" s="121">
        <f>'Key Inputs_New Techs'!AC233</f>
        <v>205.90984395771966</v>
      </c>
      <c r="AJ298" s="121">
        <f>'Key Inputs_New Techs'!AD233</f>
        <v>242.06447892795566</v>
      </c>
      <c r="AK298" s="121">
        <f>'Key Inputs_New Techs'!AE233</f>
        <v>211.37956863769651</v>
      </c>
      <c r="AL298" s="121">
        <f>'Key Inputs_New Techs'!AF233</f>
        <v>227.62633567701218</v>
      </c>
      <c r="AM298" s="121">
        <f>'Key Inputs_New Techs'!AG233</f>
        <v>217.21442771830962</v>
      </c>
      <c r="AN298" s="121">
        <f>'Key Inputs_New Techs'!AH233</f>
        <v>219.60447153593512</v>
      </c>
      <c r="AO298" s="121">
        <f>'Key Inputs_New Techs'!AI233</f>
        <v>202.88006045285098</v>
      </c>
      <c r="AP298" s="121">
        <f>'Key Inputs_New Techs'!AJ233</f>
        <v>228.98249852285394</v>
      </c>
      <c r="AQ298" s="121">
        <f>'Key Inputs_New Techs'!AK233</f>
        <v>243.01082249797756</v>
      </c>
      <c r="AR298" s="121">
        <f>'Key Inputs_New Techs'!AL233</f>
        <v>263.16636060943245</v>
      </c>
    </row>
    <row r="299" spans="11:44" x14ac:dyDescent="0.25">
      <c r="K299" s="201" t="str">
        <f>IF('Key Inputs_New Techs'!B234="","",'Key Inputs_New Techs'!B234)</f>
        <v>R-CK_COA01</v>
      </c>
      <c r="L299" s="109" t="str">
        <f>IFERROR(VLOOKUP(K299,'Commodities &amp; Processes'!L:M,2,FALSE),"")</f>
        <v>RSD Cooking technology: Coal Cooking system (Ord.) -New</v>
      </c>
      <c r="N299" s="109">
        <f>'Key Inputs_New Techs'!H234</f>
        <v>2020</v>
      </c>
      <c r="O299" s="206" t="s">
        <v>312</v>
      </c>
      <c r="P299" s="114" t="str">
        <f>'Key Inputs_New Techs'!J234</f>
        <v>USD/kW</v>
      </c>
      <c r="Q299" s="121">
        <f>'Key Inputs_New Techs'!K234</f>
        <v>201.8420230433093</v>
      </c>
      <c r="R299" s="121">
        <f>'Key Inputs_New Techs'!L234</f>
        <v>210.79156564511027</v>
      </c>
      <c r="S299" s="121">
        <f>'Key Inputs_New Techs'!M234</f>
        <v>202.88006045285098</v>
      </c>
      <c r="T299" s="121">
        <f>'Key Inputs_New Techs'!N234</f>
        <v>202.89351604832592</v>
      </c>
      <c r="U299" s="121">
        <f>'Key Inputs_New Techs'!O234</f>
        <v>248.99866270286606</v>
      </c>
      <c r="V299" s="121">
        <f>'Key Inputs_New Techs'!P234</f>
        <v>206.80360830083501</v>
      </c>
      <c r="W299" s="121">
        <f>'Key Inputs_New Techs'!Q234</f>
        <v>212.41802876059938</v>
      </c>
      <c r="X299" s="121">
        <f>'Key Inputs_New Techs'!R234</f>
        <v>205.15864952572807</v>
      </c>
      <c r="Y299" s="121">
        <f>'Key Inputs_New Techs'!S234</f>
        <v>214.42561304571439</v>
      </c>
      <c r="Z299" s="121">
        <f>'Key Inputs_New Techs'!T234</f>
        <v>250.09803628177832</v>
      </c>
      <c r="AA299" s="121">
        <f>'Key Inputs_New Techs'!U234</f>
        <v>211.37956863769651</v>
      </c>
      <c r="AB299" s="121">
        <f>'Key Inputs_New Techs'!V234</f>
        <v>214.91200086737268</v>
      </c>
      <c r="AC299" s="121">
        <f>'Key Inputs_New Techs'!W234</f>
        <v>213.24284540521319</v>
      </c>
      <c r="AD299" s="121">
        <f>'Key Inputs_New Techs'!X234</f>
        <v>270.85179528477641</v>
      </c>
      <c r="AE299" s="121">
        <f>'Key Inputs_New Techs'!Y234</f>
        <v>231.71193866053326</v>
      </c>
      <c r="AF299" s="121">
        <f>'Key Inputs_New Techs'!Z234</f>
        <v>248.88380722684926</v>
      </c>
      <c r="AG299" s="121">
        <f>'Key Inputs_New Techs'!AA234</f>
        <v>248.88380722684926</v>
      </c>
      <c r="AH299" s="121">
        <f>'Key Inputs_New Techs'!AB234</f>
        <v>210.98293211030148</v>
      </c>
      <c r="AI299" s="121">
        <f>'Key Inputs_New Techs'!AC234</f>
        <v>205.90984395771966</v>
      </c>
      <c r="AJ299" s="121">
        <f>'Key Inputs_New Techs'!AD234</f>
        <v>242.06447892795566</v>
      </c>
      <c r="AK299" s="121">
        <f>'Key Inputs_New Techs'!AE234</f>
        <v>211.37956863769651</v>
      </c>
      <c r="AL299" s="121">
        <f>'Key Inputs_New Techs'!AF234</f>
        <v>227.62633567701218</v>
      </c>
      <c r="AM299" s="121">
        <f>'Key Inputs_New Techs'!AG234</f>
        <v>217.21442771830962</v>
      </c>
      <c r="AN299" s="121">
        <f>'Key Inputs_New Techs'!AH234</f>
        <v>219.60447153593512</v>
      </c>
      <c r="AO299" s="121">
        <f>'Key Inputs_New Techs'!AI234</f>
        <v>202.88006045285098</v>
      </c>
      <c r="AP299" s="121">
        <f>'Key Inputs_New Techs'!AJ234</f>
        <v>228.98249852285394</v>
      </c>
      <c r="AQ299" s="121">
        <f>'Key Inputs_New Techs'!AK234</f>
        <v>243.01082249797756</v>
      </c>
      <c r="AR299" s="121">
        <f>'Key Inputs_New Techs'!AL234</f>
        <v>263.16636060943245</v>
      </c>
    </row>
    <row r="300" spans="11:44" x14ac:dyDescent="0.25">
      <c r="K300" s="201" t="str">
        <f>IF('Key Inputs_New Techs'!B235="","",'Key Inputs_New Techs'!B235)</f>
        <v>R-LIG_ELC01</v>
      </c>
      <c r="L300" s="109" t="str">
        <f>IFERROR(VLOOKUP(K300,'Commodities &amp; Processes'!L:M,2,FALSE),"")</f>
        <v>RSD Lighting technology: Electricity Lighting system (Ord.) -New</v>
      </c>
      <c r="N300" s="109">
        <f>'Key Inputs_New Techs'!H235</f>
        <v>2020</v>
      </c>
      <c r="O300" s="206" t="s">
        <v>312</v>
      </c>
      <c r="P300" s="114" t="str">
        <f>'Key Inputs_New Techs'!J235</f>
        <v>USD/unit</v>
      </c>
      <c r="Q300" s="121">
        <f>'Key Inputs_New Techs'!K235</f>
        <v>4.6531857179759948</v>
      </c>
      <c r="R300" s="121">
        <f>'Key Inputs_New Techs'!L235</f>
        <v>4.8595049134994275</v>
      </c>
      <c r="S300" s="121">
        <f>'Key Inputs_New Techs'!M235</f>
        <v>4.6771162195433895</v>
      </c>
      <c r="T300" s="121">
        <f>'Key Inputs_New Techs'!N235</f>
        <v>4.6774264194895991</v>
      </c>
      <c r="U300" s="121">
        <f>'Key Inputs_New Techs'!O235</f>
        <v>5.7403161324611229</v>
      </c>
      <c r="V300" s="121">
        <f>'Key Inputs_New Techs'!P235</f>
        <v>4.7675681310668754</v>
      </c>
      <c r="W300" s="121">
        <f>'Key Inputs_New Techs'!Q235</f>
        <v>4.8970007472494936</v>
      </c>
      <c r="X300" s="121">
        <f>'Key Inputs_New Techs'!R235</f>
        <v>4.7296459057365006</v>
      </c>
      <c r="Y300" s="121">
        <f>'Key Inputs_New Techs'!S235</f>
        <v>4.9432827968558124</v>
      </c>
      <c r="Z300" s="121">
        <f>'Key Inputs_New Techs'!T235</f>
        <v>5.7656606536811523</v>
      </c>
      <c r="AA300" s="121">
        <f>'Key Inputs_New Techs'!U235</f>
        <v>4.8730605006164005</v>
      </c>
      <c r="AB300" s="121">
        <f>'Key Inputs_New Techs'!V235</f>
        <v>4.9544957882389404</v>
      </c>
      <c r="AC300" s="121">
        <f>'Key Inputs_New Techs'!W235</f>
        <v>4.9160157421093214</v>
      </c>
      <c r="AD300" s="121">
        <f>'Key Inputs_New Techs'!X235</f>
        <v>6.2441095590725988</v>
      </c>
      <c r="AE300" s="121">
        <f>'Key Inputs_New Techs'!Y235</f>
        <v>5.3417948720637511</v>
      </c>
      <c r="AF300" s="121">
        <f>'Key Inputs_New Techs'!Z235</f>
        <v>5.7376683000000011</v>
      </c>
      <c r="AG300" s="121">
        <f>'Key Inputs_New Techs'!AA235</f>
        <v>5.7376683000000011</v>
      </c>
      <c r="AH300" s="121">
        <f>'Key Inputs_New Techs'!AB235</f>
        <v>4.8639165998732627</v>
      </c>
      <c r="AI300" s="121">
        <f>'Key Inputs_New Techs'!AC235</f>
        <v>4.746963643389261</v>
      </c>
      <c r="AJ300" s="121">
        <f>'Key Inputs_New Techs'!AD235</f>
        <v>5.5804582177378323</v>
      </c>
      <c r="AK300" s="121">
        <f>'Key Inputs_New Techs'!AE235</f>
        <v>4.8730605006164005</v>
      </c>
      <c r="AL300" s="121">
        <f>'Key Inputs_New Techs'!AF235</f>
        <v>5.2476070059018998</v>
      </c>
      <c r="AM300" s="121">
        <f>'Key Inputs_New Techs'!AG235</f>
        <v>5.0075750210861329</v>
      </c>
      <c r="AN300" s="121">
        <f>'Key Inputs_New Techs'!AH235</f>
        <v>5.0626741406343223</v>
      </c>
      <c r="AO300" s="121">
        <f>'Key Inputs_New Techs'!AI235</f>
        <v>4.6771162195433895</v>
      </c>
      <c r="AP300" s="121">
        <f>'Key Inputs_New Techs'!AJ235</f>
        <v>5.2788714447455716</v>
      </c>
      <c r="AQ300" s="121">
        <f>'Key Inputs_New Techs'!AK235</f>
        <v>5.6022748459995269</v>
      </c>
      <c r="AR300" s="121">
        <f>'Key Inputs_New Techs'!AL235</f>
        <v>6.0669326048955465</v>
      </c>
    </row>
    <row r="301" spans="11:44" x14ac:dyDescent="0.25">
      <c r="K301" s="201" t="str">
        <f>IF('Key Inputs_New Techs'!B236="","",'Key Inputs_New Techs'!B236)</f>
        <v>R-LIG_ELC02</v>
      </c>
      <c r="L301" s="109" t="str">
        <f>IFERROR(VLOOKUP(K$301,'Commodities &amp; Processes'!L:M,2,FALSE),"")</f>
        <v>RSD Lighting technology: Electricity Lighting system (Imp.) -New</v>
      </c>
      <c r="N301" s="109">
        <f>'Key Inputs_New Techs'!H236</f>
        <v>2030</v>
      </c>
      <c r="O301" s="206" t="s">
        <v>312</v>
      </c>
      <c r="P301" s="114" t="str">
        <f>'Key Inputs_New Techs'!J236</f>
        <v>USD/unit</v>
      </c>
      <c r="Q301" s="121">
        <f>'Key Inputs_New Techs'!K236</f>
        <v>4.848598947534839</v>
      </c>
      <c r="R301" s="121">
        <f>'Key Inputs_New Techs'!L236</f>
        <v>5.063582637183548</v>
      </c>
      <c r="S301" s="121">
        <f>'Key Inputs_New Techs'!M236</f>
        <v>4.8735344243771701</v>
      </c>
      <c r="T301" s="121">
        <f>'Key Inputs_New Techs'!N236</f>
        <v>4.8738576513498018</v>
      </c>
      <c r="U301" s="121">
        <f>'Key Inputs_New Techs'!O236</f>
        <v>5.9813840334906327</v>
      </c>
      <c r="V301" s="121">
        <f>'Key Inputs_New Techs'!P236</f>
        <v>4.9677849163188608</v>
      </c>
      <c r="W301" s="121">
        <f>'Key Inputs_New Techs'!Q236</f>
        <v>5.1026531301912046</v>
      </c>
      <c r="X301" s="121">
        <f>'Key Inputs_New Techs'!R236</f>
        <v>4.9282701251694947</v>
      </c>
      <c r="Y301" s="121">
        <f>'Key Inputs_New Techs'!S236</f>
        <v>5.150878821279365</v>
      </c>
      <c r="Z301" s="121">
        <f>'Key Inputs_New Techs'!T236</f>
        <v>6.0077929125599727</v>
      </c>
      <c r="AA301" s="121">
        <f>'Key Inputs_New Techs'!U236</f>
        <v>5.0777074990334974</v>
      </c>
      <c r="AB301" s="121">
        <f>'Key Inputs_New Techs'!V236</f>
        <v>5.1625627087306922</v>
      </c>
      <c r="AC301" s="121">
        <f>'Key Inputs_New Techs'!W236</f>
        <v>5.1224666707745028</v>
      </c>
      <c r="AD301" s="121">
        <f>'Key Inputs_New Techs'!X236</f>
        <v>6.5063345568722513</v>
      </c>
      <c r="AE301" s="121">
        <f>'Key Inputs_New Techs'!Y236</f>
        <v>5.5661266419216071</v>
      </c>
      <c r="AF301" s="121">
        <f>'Key Inputs_New Techs'!Z236</f>
        <v>5.9786250037715636</v>
      </c>
      <c r="AG301" s="121">
        <f>'Key Inputs_New Techs'!AA236</f>
        <v>5.9786250037715636</v>
      </c>
      <c r="AH301" s="121">
        <f>'Key Inputs_New Techs'!AB236</f>
        <v>5.0681795948820971</v>
      </c>
      <c r="AI301" s="121">
        <f>'Key Inputs_New Techs'!AC236</f>
        <v>4.9463151312461875</v>
      </c>
      <c r="AJ301" s="121">
        <f>'Key Inputs_New Techs'!AD236</f>
        <v>5.8148127930417122</v>
      </c>
      <c r="AK301" s="121">
        <f>'Key Inputs_New Techs'!AE236</f>
        <v>5.0777074990334974</v>
      </c>
      <c r="AL301" s="121">
        <f>'Key Inputs_New Techs'!AF236</f>
        <v>5.467983301762481</v>
      </c>
      <c r="AM301" s="121">
        <f>'Key Inputs_New Techs'!AG236</f>
        <v>5.2178710347071586</v>
      </c>
      <c r="AN301" s="121">
        <f>'Key Inputs_New Techs'!AH236</f>
        <v>5.2752840736966391</v>
      </c>
      <c r="AO301" s="121">
        <f>'Key Inputs_New Techs'!AI236</f>
        <v>4.8735344243771701</v>
      </c>
      <c r="AP301" s="121">
        <f>'Key Inputs_New Techs'!AJ236</f>
        <v>5.5005607088251489</v>
      </c>
      <c r="AQ301" s="121">
        <f>'Key Inputs_New Techs'!AK236</f>
        <v>5.8375456232444201</v>
      </c>
      <c r="AR301" s="121">
        <f>'Key Inputs_New Techs'!AL236</f>
        <v>6.3217169538757503</v>
      </c>
    </row>
    <row r="302" spans="11:44" x14ac:dyDescent="0.25">
      <c r="K302" s="201" t="str">
        <f>IF('Key Inputs_New Techs'!B237="","",'Key Inputs_New Techs'!B237)</f>
        <v/>
      </c>
      <c r="L302" s="109" t="str">
        <f>IFERROR(VLOOKUP(K$301,'Commodities &amp; Processes'!L:M,2,FALSE),"")</f>
        <v>RSD Lighting technology: Electricity Lighting system (Imp.) -New</v>
      </c>
      <c r="N302" s="109">
        <f>'Key Inputs_New Techs'!H237</f>
        <v>2050</v>
      </c>
      <c r="O302" s="206" t="s">
        <v>312</v>
      </c>
      <c r="P302" s="114" t="str">
        <f>'Key Inputs_New Techs'!J237</f>
        <v>USD/unit</v>
      </c>
      <c r="Q302" s="121">
        <f>'Key Inputs_New Techs'!K237</f>
        <v>4.2495822148161135</v>
      </c>
      <c r="R302" s="121">
        <f>'Key Inputs_New Techs'!L237</f>
        <v>4.4380058963563647</v>
      </c>
      <c r="S302" s="121">
        <f>'Key Inputs_New Techs'!M237</f>
        <v>4.2714370557822869</v>
      </c>
      <c r="T302" s="121">
        <f>'Key Inputs_New Techs'!N237</f>
        <v>4.2717203499068601</v>
      </c>
      <c r="U302" s="121">
        <f>'Key Inputs_New Techs'!O237</f>
        <v>5.2424181673409533</v>
      </c>
      <c r="V302" s="121">
        <f>'Key Inputs_New Techs'!P237</f>
        <v>4.3540434372601187</v>
      </c>
      <c r="W302" s="121">
        <f>'Key Inputs_New Techs'!Q237</f>
        <v>4.4722494528983736</v>
      </c>
      <c r="X302" s="121">
        <f>'Key Inputs_New Techs'!R237</f>
        <v>4.3194104730765392</v>
      </c>
      <c r="Y302" s="121">
        <f>'Key Inputs_New Techs'!S237</f>
        <v>4.5145171350397604</v>
      </c>
      <c r="Z302" s="121">
        <f>'Key Inputs_New Techs'!T237</f>
        <v>5.2655643800965688</v>
      </c>
      <c r="AA302" s="121">
        <f>'Key Inputs_New Techs'!U237</f>
        <v>4.4503857121245458</v>
      </c>
      <c r="AB302" s="121">
        <f>'Key Inputs_New Techs'!V237</f>
        <v>4.5247575448674935</v>
      </c>
      <c r="AC302" s="121">
        <f>'Key Inputs_New Techs'!W237</f>
        <v>4.4896151436033414</v>
      </c>
      <c r="AD302" s="121">
        <f>'Key Inputs_New Techs'!X237</f>
        <v>5.7025140490502757</v>
      </c>
      <c r="AE302" s="121">
        <f>'Key Inputs_New Techs'!Y237</f>
        <v>4.8784634569436598</v>
      </c>
      <c r="AF302" s="121">
        <f>'Key Inputs_New Techs'!Z237</f>
        <v>5.24</v>
      </c>
      <c r="AG302" s="121">
        <f>'Key Inputs_New Techs'!AA237</f>
        <v>5.24</v>
      </c>
      <c r="AH302" s="121">
        <f>'Key Inputs_New Techs'!AB237</f>
        <v>4.4420349261625827</v>
      </c>
      <c r="AI302" s="121">
        <f>'Key Inputs_New Techs'!AC237</f>
        <v>4.3352261216215169</v>
      </c>
      <c r="AJ302" s="121">
        <f>'Key Inputs_New Techs'!AD237</f>
        <v>5.0964258531547104</v>
      </c>
      <c r="AK302" s="121">
        <f>'Key Inputs_New Techs'!AE237</f>
        <v>4.4503857121245458</v>
      </c>
      <c r="AL302" s="121">
        <f>'Key Inputs_New Techs'!AF237</f>
        <v>4.7924451664321461</v>
      </c>
      <c r="AM302" s="121">
        <f>'Key Inputs_New Techs'!AG237</f>
        <v>4.5732328427719207</v>
      </c>
      <c r="AN302" s="121">
        <f>'Key Inputs_New Techs'!AH237</f>
        <v>4.6235528284065923</v>
      </c>
      <c r="AO302" s="121">
        <f>'Key Inputs_New Techs'!AI237</f>
        <v>4.2714370557822869</v>
      </c>
      <c r="AP302" s="121">
        <f>'Key Inputs_New Techs'!AJ237</f>
        <v>4.82099782074659</v>
      </c>
      <c r="AQ302" s="121">
        <f>'Key Inputs_New Techs'!AK237</f>
        <v>5.1163501719047639</v>
      </c>
      <c r="AR302" s="121">
        <f>'Key Inputs_New Techs'!AL237</f>
        <v>5.5407048974324047</v>
      </c>
    </row>
    <row r="303" spans="11:44" x14ac:dyDescent="0.25">
      <c r="K303" s="201" t="str">
        <f>IF('Key Inputs_New Techs'!B238="","",'Key Inputs_New Techs'!B238)</f>
        <v>R-LIG_ELC03</v>
      </c>
      <c r="L303" s="109" t="str">
        <f>IFERROR(VLOOKUP(K$303,'Commodities &amp; Processes'!L:M,2,FALSE),"")</f>
        <v>RSD Lighting technology: Electricity Lighting system (Adv.) -New</v>
      </c>
      <c r="N303" s="109">
        <f>'Key Inputs_New Techs'!H238</f>
        <v>2030</v>
      </c>
      <c r="O303" s="206" t="s">
        <v>312</v>
      </c>
      <c r="P303" s="114" t="str">
        <f>'Key Inputs_New Techs'!J238</f>
        <v>USD/unit</v>
      </c>
      <c r="Q303" s="121">
        <f>'Key Inputs_New Techs'!K238</f>
        <v>8.9614281438393242</v>
      </c>
      <c r="R303" s="121">
        <f>'Key Inputs_New Techs'!L238</f>
        <v>9.3587719760950048</v>
      </c>
      <c r="S303" s="121">
        <f>'Key Inputs_New Techs'!M238</f>
        <v>9.0075151653424186</v>
      </c>
      <c r="T303" s="121">
        <f>'Key Inputs_New Techs'!N238</f>
        <v>9.0081125699371754</v>
      </c>
      <c r="U303" s="121">
        <f>'Key Inputs_New Techs'!O238</f>
        <v>11.055099379602582</v>
      </c>
      <c r="V303" s="121">
        <f>'Key Inputs_New Techs'!P238</f>
        <v>9.1817137369702895</v>
      </c>
      <c r="W303" s="121">
        <f>'Key Inputs_New Techs'!Q238</f>
        <v>9.4309840562074481</v>
      </c>
      <c r="X303" s="121">
        <f>'Key Inputs_New Techs'!R238</f>
        <v>9.1086804823465179</v>
      </c>
      <c r="Y303" s="121">
        <f>'Key Inputs_New Techs'!S238</f>
        <v>9.5201172408758303</v>
      </c>
      <c r="Z303" s="121">
        <f>'Key Inputs_New Techs'!T238</f>
        <v>11.103909618333413</v>
      </c>
      <c r="AA303" s="121">
        <f>'Key Inputs_New Techs'!U238</f>
        <v>9.3848782669801984</v>
      </c>
      <c r="AB303" s="121">
        <f>'Key Inputs_New Techs'!V238</f>
        <v>9.5417119982415652</v>
      </c>
      <c r="AC303" s="121">
        <f>'Key Inputs_New Techs'!W238</f>
        <v>9.4676044535910169</v>
      </c>
      <c r="AD303" s="121">
        <f>'Key Inputs_New Techs'!X238</f>
        <v>12.025339740840753</v>
      </c>
      <c r="AE303" s="121">
        <f>'Key Inputs_New Techs'!Y238</f>
        <v>10.287599465501419</v>
      </c>
      <c r="AF303" s="121">
        <f>'Key Inputs_New Techs'!Z238</f>
        <v>11.05</v>
      </c>
      <c r="AG303" s="121">
        <f>'Key Inputs_New Techs'!AA238</f>
        <v>11.05</v>
      </c>
      <c r="AH303" s="121">
        <f>'Key Inputs_New Techs'!AB238</f>
        <v>9.3672683080336903</v>
      </c>
      <c r="AI303" s="121">
        <f>'Key Inputs_New Techs'!AC238</f>
        <v>9.1420321839537717</v>
      </c>
      <c r="AJ303" s="121">
        <f>'Key Inputs_New Techs'!AD238</f>
        <v>10.747233907893044</v>
      </c>
      <c r="AK303" s="121">
        <f>'Key Inputs_New Techs'!AE238</f>
        <v>9.3848782669801984</v>
      </c>
      <c r="AL303" s="121">
        <f>'Key Inputs_New Techs'!AF238</f>
        <v>10.106205933029623</v>
      </c>
      <c r="AM303" s="121">
        <f>'Key Inputs_New Techs'!AG238</f>
        <v>9.6439356703491832</v>
      </c>
      <c r="AN303" s="121">
        <f>'Key Inputs_New Techs'!AH238</f>
        <v>9.7500493805139019</v>
      </c>
      <c r="AO303" s="121">
        <f>'Key Inputs_New Techs'!AI238</f>
        <v>9.0075151653424186</v>
      </c>
      <c r="AP303" s="121">
        <f>'Key Inputs_New Techs'!AJ238</f>
        <v>10.16641716016218</v>
      </c>
      <c r="AQ303" s="121">
        <f>'Key Inputs_New Techs'!AK238</f>
        <v>10.789249885409856</v>
      </c>
      <c r="AR303" s="121">
        <f>'Key Inputs_New Techs'!AL238</f>
        <v>11.684120060425204</v>
      </c>
    </row>
    <row r="304" spans="11:44" x14ac:dyDescent="0.25">
      <c r="K304" s="201" t="str">
        <f>IF('Key Inputs_New Techs'!B239="","",'Key Inputs_New Techs'!B239)</f>
        <v/>
      </c>
      <c r="L304" s="109" t="str">
        <f>IFERROR(VLOOKUP(K$303,'Commodities &amp; Processes'!L:M,2,FALSE),"")</f>
        <v>RSD Lighting technology: Electricity Lighting system (Adv.) -New</v>
      </c>
      <c r="N304" s="109">
        <f>'Key Inputs_New Techs'!H239</f>
        <v>2050</v>
      </c>
      <c r="O304" s="206" t="s">
        <v>312</v>
      </c>
      <c r="P304" s="114" t="str">
        <f>'Key Inputs_New Techs'!J239</f>
        <v>USD/unit</v>
      </c>
      <c r="Q304" s="121">
        <f>'Key Inputs_New Techs'!K239</f>
        <v>8.68751664837737</v>
      </c>
      <c r="R304" s="121">
        <f>'Key Inputs_New Techs'!L239</f>
        <v>9.0727154250058888</v>
      </c>
      <c r="S304" s="121">
        <f>'Key Inputs_New Techs'!M239</f>
        <v>8.7321949920694397</v>
      </c>
      <c r="T304" s="121">
        <f>'Key Inputs_New Techs'!N239</f>
        <v>8.7327741366298248</v>
      </c>
      <c r="U304" s="121">
        <f>'Key Inputs_New Techs'!O239</f>
        <v>10.717193550872683</v>
      </c>
      <c r="V304" s="121">
        <f>'Key Inputs_New Techs'!P239</f>
        <v>8.9010690785264153</v>
      </c>
      <c r="W304" s="121">
        <f>'Key Inputs_New Techs'!Q239</f>
        <v>9.1427202990194232</v>
      </c>
      <c r="X304" s="121">
        <f>'Key Inputs_New Techs'!R239</f>
        <v>8.8302681296993715</v>
      </c>
      <c r="Y304" s="121">
        <f>'Key Inputs_New Techs'!S239</f>
        <v>9.2291290737482363</v>
      </c>
      <c r="Z304" s="121">
        <f>'Key Inputs_New Techs'!T239</f>
        <v>10.764511875003516</v>
      </c>
      <c r="AA304" s="121">
        <f>'Key Inputs_New Techs'!U239</f>
        <v>9.0980237612500847</v>
      </c>
      <c r="AB304" s="121">
        <f>'Key Inputs_New Techs'!V239</f>
        <v>9.2500637742358442</v>
      </c>
      <c r="AC304" s="121">
        <f>'Key Inputs_New Techs'!W239</f>
        <v>9.178221371709343</v>
      </c>
      <c r="AD304" s="121">
        <f>'Key Inputs_New Techs'!X239</f>
        <v>11.657777926029327</v>
      </c>
      <c r="AE304" s="121">
        <f>'Key Inputs_New Techs'!Y239</f>
        <v>9.9731527379174558</v>
      </c>
      <c r="AF304" s="121">
        <f>'Key Inputs_New Techs'!Z239</f>
        <v>10.712250036905628</v>
      </c>
      <c r="AG304" s="121">
        <f>'Key Inputs_New Techs'!AA239</f>
        <v>10.712250036905628</v>
      </c>
      <c r="AH304" s="121">
        <f>'Key Inputs_New Techs'!AB239</f>
        <v>9.0809520613971788</v>
      </c>
      <c r="AI304" s="121">
        <f>'Key Inputs_New Techs'!AC239</f>
        <v>8.8626004162851793</v>
      </c>
      <c r="AJ304" s="121">
        <f>'Key Inputs_New Techs'!AD239</f>
        <v>10.418738174340332</v>
      </c>
      <c r="AK304" s="121">
        <f>'Key Inputs_New Techs'!AE239</f>
        <v>9.0980237612500847</v>
      </c>
      <c r="AL304" s="121">
        <f>'Key Inputs_New Techs'!AF239</f>
        <v>9.7973036089658319</v>
      </c>
      <c r="AM304" s="121">
        <f>'Key Inputs_New Techs'!AG239</f>
        <v>9.3491629177025821</v>
      </c>
      <c r="AN304" s="121">
        <f>'Key Inputs_New Techs'!AH239</f>
        <v>9.4520331978499321</v>
      </c>
      <c r="AO304" s="121">
        <f>'Key Inputs_New Techs'!AI239</f>
        <v>8.7321949920694397</v>
      </c>
      <c r="AP304" s="121">
        <f>'Key Inputs_New Techs'!AJ239</f>
        <v>9.8556744433615666</v>
      </c>
      <c r="AQ304" s="121">
        <f>'Key Inputs_New Techs'!AK239</f>
        <v>10.459469907978802</v>
      </c>
      <c r="AR304" s="121">
        <f>'Key Inputs_New Techs'!AL239</f>
        <v>11.326987832443409</v>
      </c>
    </row>
    <row r="305" spans="1:60" x14ac:dyDescent="0.25">
      <c r="K305" s="201" t="str">
        <f>IF('Key Inputs_New Techs'!B240="","",'Key Inputs_New Techs'!B240)</f>
        <v>R-EAP_ELC01</v>
      </c>
      <c r="L305" s="109" t="str">
        <f>IFERROR(VLOOKUP(K305,'Commodities &amp; Processes'!L:M,2,FALSE),"")</f>
        <v>RSD Electric Appliances technology: Electricity Appl. (Ord.) -New</v>
      </c>
      <c r="N305" s="109">
        <f>'Key Inputs_New Techs'!H240</f>
        <v>2020</v>
      </c>
      <c r="O305" s="206" t="s">
        <v>312</v>
      </c>
      <c r="P305" s="114" t="str">
        <f>'Key Inputs_New Techs'!J240</f>
        <v>USD/kW</v>
      </c>
      <c r="Q305" s="121">
        <f>'Key Inputs_New Techs'!K240</f>
        <v>569.00656368188845</v>
      </c>
      <c r="R305" s="121">
        <f>'Key Inputs_New Techs'!L240</f>
        <v>594.23594062527525</v>
      </c>
      <c r="S305" s="121">
        <f>'Key Inputs_New Techs'!M240</f>
        <v>571.93286262831657</v>
      </c>
      <c r="T305" s="121">
        <f>'Key Inputs_New Techs'!N240</f>
        <v>571.97079487863812</v>
      </c>
      <c r="U305" s="121">
        <f>'Key Inputs_New Techs'!O240</f>
        <v>701.94437852786825</v>
      </c>
      <c r="V305" s="121">
        <f>'Key Inputs_New Techs'!P240</f>
        <v>582.99361422385437</v>
      </c>
      <c r="W305" s="121">
        <f>'Key Inputs_New Techs'!Q240</f>
        <v>598.82105216124728</v>
      </c>
      <c r="X305" s="121">
        <f>'Key Inputs_New Techs'!R240</f>
        <v>578.3563621496362</v>
      </c>
      <c r="Y305" s="121">
        <f>'Key Inputs_New Techs'!S240</f>
        <v>604.48057052195031</v>
      </c>
      <c r="Z305" s="121">
        <f>'Key Inputs_New Techs'!T240</f>
        <v>705.0435883599323</v>
      </c>
      <c r="AA305" s="121">
        <f>'Key Inputs_New Techs'!U240</f>
        <v>595.89356155674204</v>
      </c>
      <c r="AB305" s="121">
        <f>'Key Inputs_New Techs'!V240</f>
        <v>605.85173128840336</v>
      </c>
      <c r="AC305" s="121">
        <f>'Key Inputs_New Techs'!W240</f>
        <v>601.14626708697472</v>
      </c>
      <c r="AD305" s="121">
        <f>'Key Inputs_New Techs'!X240</f>
        <v>763.5498642866462</v>
      </c>
      <c r="AE305" s="121">
        <f>'Key Inputs_New Techs'!Y240</f>
        <v>653.21191292760875</v>
      </c>
      <c r="AF305" s="121">
        <f>'Key Inputs_New Techs'!Z240</f>
        <v>701.62059303095839</v>
      </c>
      <c r="AG305" s="121">
        <f>'Key Inputs_New Techs'!AA240</f>
        <v>701.62059303095839</v>
      </c>
      <c r="AH305" s="121">
        <f>'Key Inputs_New Techs'!AB240</f>
        <v>594.77541586992766</v>
      </c>
      <c r="AI305" s="121">
        <f>'Key Inputs_New Techs'!AC240</f>
        <v>580.47403098766995</v>
      </c>
      <c r="AJ305" s="121">
        <f>'Key Inputs_New Techs'!AD240</f>
        <v>682.3964369138771</v>
      </c>
      <c r="AK305" s="121">
        <f>'Key Inputs_New Techs'!AE240</f>
        <v>595.89356155674204</v>
      </c>
      <c r="AL305" s="121">
        <f>'Key Inputs_New Techs'!AF240</f>
        <v>641.69431674436498</v>
      </c>
      <c r="AM305" s="121">
        <f>'Key Inputs_New Techs'!AG240</f>
        <v>612.3424311477653</v>
      </c>
      <c r="AN305" s="121">
        <f>'Key Inputs_New Techs'!AH240</f>
        <v>619.08012927034326</v>
      </c>
      <c r="AO305" s="121">
        <f>'Key Inputs_New Techs'!AI240</f>
        <v>571.93286262831657</v>
      </c>
      <c r="AP305" s="121">
        <f>'Key Inputs_New Techs'!AJ240</f>
        <v>645.51743320480546</v>
      </c>
      <c r="AQ305" s="121">
        <f>'Key Inputs_New Techs'!AK240</f>
        <v>685.06424461180654</v>
      </c>
      <c r="AR305" s="121">
        <f>'Key Inputs_New Techs'!AL240</f>
        <v>741.88409464619451</v>
      </c>
    </row>
    <row r="306" spans="1:60" x14ac:dyDescent="0.25">
      <c r="K306" s="201" t="str">
        <f>IF('Key Inputs_New Techs'!B241="","",'Key Inputs_New Techs'!B241)</f>
        <v>R-EAP_ELC02</v>
      </c>
      <c r="L306" s="109" t="str">
        <f>IFERROR(VLOOKUP(K$306,'Commodities &amp; Processes'!L:M,2,FALSE),"")</f>
        <v>RSD Electric Appliances technology: Electricity Appl. (Imp.) -New</v>
      </c>
      <c r="N306" s="109">
        <f>'Key Inputs_New Techs'!H241</f>
        <v>2030</v>
      </c>
      <c r="O306" s="206" t="s">
        <v>312</v>
      </c>
      <c r="P306" s="114" t="str">
        <f>'Key Inputs_New Techs'!J241</f>
        <v>USD/kW</v>
      </c>
      <c r="Q306" s="121">
        <f>'Key Inputs_New Techs'!K241</f>
        <v>662.75032195273639</v>
      </c>
      <c r="R306" s="121">
        <f>'Key Inputs_New Techs'!L241</f>
        <v>692.13623550652903</v>
      </c>
      <c r="S306" s="121">
        <f>'Key Inputs_New Techs'!M241</f>
        <v>666.15872827467024</v>
      </c>
      <c r="T306" s="121">
        <f>'Key Inputs_New Techs'!N241</f>
        <v>666.20290985835936</v>
      </c>
      <c r="U306" s="121">
        <f>'Key Inputs_New Techs'!O241</f>
        <v>817.58962471712857</v>
      </c>
      <c r="V306" s="121">
        <f>'Key Inputs_New Techs'!P241</f>
        <v>679.04173727468617</v>
      </c>
      <c r="W306" s="121">
        <f>'Key Inputs_New Techs'!Q241</f>
        <v>697.47674357903963</v>
      </c>
      <c r="X306" s="121">
        <f>'Key Inputs_New Techs'!R241</f>
        <v>673.64049851695142</v>
      </c>
      <c r="Y306" s="121">
        <f>'Key Inputs_New Techs'!S241</f>
        <v>704.06866686263515</v>
      </c>
      <c r="Z306" s="121">
        <f>'Key Inputs_New Techs'!T241</f>
        <v>821.19942897089436</v>
      </c>
      <c r="AA306" s="121">
        <f>'Key Inputs_New Techs'!U241</f>
        <v>694.0669492735135</v>
      </c>
      <c r="AB306" s="121">
        <f>'Key Inputs_New Techs'!V241</f>
        <v>705.6657261892193</v>
      </c>
      <c r="AC306" s="121">
        <f>'Key Inputs_New Techs'!W241</f>
        <v>700.18503736507887</v>
      </c>
      <c r="AD306" s="121">
        <f>'Key Inputs_New Techs'!X241</f>
        <v>889.34460634069899</v>
      </c>
      <c r="AE306" s="121">
        <f>'Key Inputs_New Techs'!Y241</f>
        <v>760.82849166949825</v>
      </c>
      <c r="AF306" s="121">
        <f>'Key Inputs_New Techs'!Z241</f>
        <v>817.21249560119702</v>
      </c>
      <c r="AG306" s="121">
        <f>'Key Inputs_New Techs'!AA241</f>
        <v>817.21249560119702</v>
      </c>
      <c r="AH306" s="121">
        <f>'Key Inputs_New Techs'!AB241</f>
        <v>692.76458922843574</v>
      </c>
      <c r="AI306" s="121">
        <f>'Key Inputs_New Techs'!AC241</f>
        <v>676.10705302401118</v>
      </c>
      <c r="AJ306" s="121">
        <f>'Key Inputs_New Techs'!AD241</f>
        <v>794.82116223340086</v>
      </c>
      <c r="AK306" s="121">
        <f>'Key Inputs_New Techs'!AE241</f>
        <v>694.0669492735135</v>
      </c>
      <c r="AL306" s="121">
        <f>'Key Inputs_New Techs'!AF241</f>
        <v>747.41337299463896</v>
      </c>
      <c r="AM306" s="121">
        <f>'Key Inputs_New Techs'!AG241</f>
        <v>713.22576801660261</v>
      </c>
      <c r="AN306" s="121">
        <f>'Key Inputs_New Techs'!AH241</f>
        <v>721.07350103933675</v>
      </c>
      <c r="AO306" s="121">
        <f>'Key Inputs_New Techs'!AI241</f>
        <v>666.15872827467024</v>
      </c>
      <c r="AP306" s="121">
        <f>'Key Inputs_New Techs'!AJ241</f>
        <v>751.86634740081161</v>
      </c>
      <c r="AQ306" s="121">
        <f>'Key Inputs_New Techs'!AK241</f>
        <v>797.92849090685218</v>
      </c>
      <c r="AR306" s="121">
        <f>'Key Inputs_New Techs'!AL241</f>
        <v>864.10940393521173</v>
      </c>
    </row>
    <row r="307" spans="1:60" x14ac:dyDescent="0.25">
      <c r="K307" s="201" t="str">
        <f>IF('Key Inputs_New Techs'!B242="","",'Key Inputs_New Techs'!B242)</f>
        <v/>
      </c>
      <c r="L307" s="109" t="str">
        <f>IFERROR(VLOOKUP(K$306,'Commodities &amp; Processes'!L:M,2,FALSE),"")</f>
        <v>RSD Electric Appliances technology: Electricity Appl. (Imp.) -New</v>
      </c>
      <c r="N307" s="109">
        <f>'Key Inputs_New Techs'!H242</f>
        <v>2050</v>
      </c>
      <c r="O307" s="206" t="s">
        <v>312</v>
      </c>
      <c r="P307" s="114" t="str">
        <f>'Key Inputs_New Techs'!J242</f>
        <v>USD/kW</v>
      </c>
      <c r="Q307" s="121">
        <f>'Key Inputs_New Techs'!K242</f>
        <v>642.18512332034527</v>
      </c>
      <c r="R307" s="121">
        <f>'Key Inputs_New Techs'!L242</f>
        <v>670.65918948725562</v>
      </c>
      <c r="S307" s="121">
        <f>'Key Inputs_New Techs'!M242</f>
        <v>645.48776650538025</v>
      </c>
      <c r="T307" s="121">
        <f>'Key Inputs_New Techs'!N242</f>
        <v>645.53057713078488</v>
      </c>
      <c r="U307" s="121">
        <f>'Key Inputs_New Techs'!O242</f>
        <v>792.21974940337668</v>
      </c>
      <c r="V307" s="121">
        <f>'Key Inputs_New Techs'!P242</f>
        <v>657.97101464479408</v>
      </c>
      <c r="W307" s="121">
        <f>'Key Inputs_New Techs'!Q242</f>
        <v>675.83398114187685</v>
      </c>
      <c r="X307" s="121">
        <f>'Key Inputs_New Techs'!R242</f>
        <v>652.73737678325574</v>
      </c>
      <c r="Y307" s="121">
        <f>'Key Inputs_New Techs'!S242</f>
        <v>682.22135648757444</v>
      </c>
      <c r="Z307" s="121">
        <f>'Key Inputs_New Techs'!T242</f>
        <v>795.71754112535825</v>
      </c>
      <c r="AA307" s="121">
        <f>'Key Inputs_New Techs'!U242</f>
        <v>672.52999304249806</v>
      </c>
      <c r="AB307" s="121">
        <f>'Key Inputs_New Techs'!V242</f>
        <v>683.76885892796622</v>
      </c>
      <c r="AC307" s="121">
        <f>'Key Inputs_New Techs'!W242</f>
        <v>678.45823634231317</v>
      </c>
      <c r="AD307" s="121">
        <f>'Key Inputs_New Techs'!X242</f>
        <v>861.74816786873635</v>
      </c>
      <c r="AE307" s="121">
        <f>'Key Inputs_New Techs'!Y242</f>
        <v>737.2199191225028</v>
      </c>
      <c r="AF307" s="121">
        <f>'Key Inputs_New Techs'!Z242</f>
        <v>791.85432263585949</v>
      </c>
      <c r="AG307" s="121">
        <f>'Key Inputs_New Techs'!AA242</f>
        <v>791.85432263585949</v>
      </c>
      <c r="AH307" s="121">
        <f>'Key Inputs_New Techs'!AB242</f>
        <v>671.26804533994311</v>
      </c>
      <c r="AI307" s="121">
        <f>'Key Inputs_New Techs'!AC242</f>
        <v>655.12739389501735</v>
      </c>
      <c r="AJ307" s="121">
        <f>'Key Inputs_New Techs'!AD242</f>
        <v>770.15779423925676</v>
      </c>
      <c r="AK307" s="121">
        <f>'Key Inputs_New Techs'!AE242</f>
        <v>672.52999304249806</v>
      </c>
      <c r="AL307" s="121">
        <f>'Key Inputs_New Techs'!AF242</f>
        <v>724.22107271653169</v>
      </c>
      <c r="AM307" s="121">
        <f>'Key Inputs_New Techs'!AG242</f>
        <v>691.09431201702762</v>
      </c>
      <c r="AN307" s="121">
        <f>'Key Inputs_New Techs'!AH242</f>
        <v>698.69852921927759</v>
      </c>
      <c r="AO307" s="121">
        <f>'Key Inputs_New Techs'!AI242</f>
        <v>645.48776650538025</v>
      </c>
      <c r="AP307" s="121">
        <f>'Key Inputs_New Techs'!AJ242</f>
        <v>728.5358709496652</v>
      </c>
      <c r="AQ307" s="121">
        <f>'Key Inputs_New Techs'!AK242</f>
        <v>773.16870224074626</v>
      </c>
      <c r="AR307" s="121">
        <f>'Key Inputs_New Techs'!AL242</f>
        <v>837.29601593158895</v>
      </c>
    </row>
    <row r="308" spans="1:60" x14ac:dyDescent="0.25">
      <c r="K308" s="201" t="str">
        <f>IF('Key Inputs_New Techs'!B243="","",'Key Inputs_New Techs'!B243)</f>
        <v>R-EAP_ELC03</v>
      </c>
      <c r="L308" s="109" t="str">
        <f>IFERROR(VLOOKUP(K$308,'Commodities &amp; Processes'!L:M,2,FALSE),"")</f>
        <v>RSD Electric Appliances technology: Electricity Appl. (Adv.) -New</v>
      </c>
      <c r="N308" s="109">
        <f>'Key Inputs_New Techs'!H243</f>
        <v>2030</v>
      </c>
      <c r="O308" s="206" t="s">
        <v>312</v>
      </c>
      <c r="P308" s="114" t="str">
        <f>'Key Inputs_New Techs'!J243</f>
        <v>USD/kW</v>
      </c>
      <c r="Q308" s="121">
        <f>'Key Inputs_New Techs'!K243</f>
        <v>834.77010035262686</v>
      </c>
      <c r="R308" s="121">
        <f>'Key Inputs_New Techs'!L243</f>
        <v>871.78325778720364</v>
      </c>
      <c r="S308" s="121">
        <f>'Key Inputs_New Techs'!M243</f>
        <v>839.06317361590345</v>
      </c>
      <c r="T308" s="121">
        <f>'Key Inputs_New Techs'!N243</f>
        <v>839.11882272512048</v>
      </c>
      <c r="U308" s="121">
        <f>'Key Inputs_New Techs'!O243</f>
        <v>1029.7986292356052</v>
      </c>
      <c r="V308" s="121">
        <f>'Key Inputs_New Techs'!P243</f>
        <v>855.29002460271306</v>
      </c>
      <c r="W308" s="121">
        <f>'Key Inputs_New Techs'!Q243</f>
        <v>878.50991835899845</v>
      </c>
      <c r="X308" s="121">
        <f>'Key Inputs_New Techs'!R243</f>
        <v>848.48687042764152</v>
      </c>
      <c r="Y308" s="121">
        <f>'Key Inputs_New Techs'!S243</f>
        <v>886.81280449679844</v>
      </c>
      <c r="Z308" s="121">
        <f>'Key Inputs_New Techs'!T243</f>
        <v>1034.3453741550054</v>
      </c>
      <c r="AA308" s="121">
        <f>'Key Inputs_New Techs'!U243</f>
        <v>874.21509685484693</v>
      </c>
      <c r="AB308" s="121">
        <f>'Key Inputs_New Techs'!V243</f>
        <v>888.82438763778225</v>
      </c>
      <c r="AC308" s="121">
        <f>'Key Inputs_New Techs'!W243</f>
        <v>881.92116178004278</v>
      </c>
      <c r="AD308" s="121">
        <f>'Key Inputs_New Techs'!X243</f>
        <v>1120.177933819301</v>
      </c>
      <c r="AE308" s="121">
        <f>'Key Inputs_New Techs'!Y243</f>
        <v>958.30489296597841</v>
      </c>
      <c r="AF308" s="121">
        <f>'Key Inputs_New Techs'!Z243</f>
        <v>1029.3236145890269</v>
      </c>
      <c r="AG308" s="121">
        <f>'Key Inputs_New Techs'!AA243</f>
        <v>1029.3236145890269</v>
      </c>
      <c r="AH308" s="121">
        <f>'Key Inputs_New Techs'!AB243</f>
        <v>872.57470349778066</v>
      </c>
      <c r="AI308" s="121">
        <f>'Key Inputs_New Techs'!AC243</f>
        <v>851.59363007027252</v>
      </c>
      <c r="AJ308" s="121">
        <f>'Key Inputs_New Techs'!AD243</f>
        <v>1001.1205115752235</v>
      </c>
      <c r="AK308" s="121">
        <f>'Key Inputs_New Techs'!AE243</f>
        <v>874.21509685484693</v>
      </c>
      <c r="AL308" s="121">
        <f>'Key Inputs_New Techs'!AF243</f>
        <v>941.4078208839021</v>
      </c>
      <c r="AM308" s="121">
        <f>'Key Inputs_New Techs'!AG243</f>
        <v>898.34667177084805</v>
      </c>
      <c r="AN308" s="121">
        <f>'Key Inputs_New Techs'!AH243</f>
        <v>908.23131862190701</v>
      </c>
      <c r="AO308" s="121">
        <f>'Key Inputs_New Techs'!AI243</f>
        <v>839.06317361590345</v>
      </c>
      <c r="AP308" s="121">
        <f>'Key Inputs_New Techs'!AJ243</f>
        <v>947.01658449937042</v>
      </c>
      <c r="AQ308" s="121">
        <f>'Key Inputs_New Techs'!AK243</f>
        <v>1005.0343611542368</v>
      </c>
      <c r="AR308" s="121">
        <f>'Key Inputs_New Techs'!AL243</f>
        <v>1088.3928229763828</v>
      </c>
    </row>
    <row r="309" spans="1:60" x14ac:dyDescent="0.25">
      <c r="K309" s="201" t="str">
        <f>IF('Key Inputs_New Techs'!B244="","",'Key Inputs_New Techs'!B244)</f>
        <v/>
      </c>
      <c r="L309" s="109" t="str">
        <f>IFERROR(VLOOKUP(K$308,'Commodities &amp; Processes'!L:M,2,FALSE),"")</f>
        <v>RSD Electric Appliances technology: Electricity Appl. (Adv.) -New</v>
      </c>
      <c r="N309" s="109">
        <f>'Key Inputs_New Techs'!H244</f>
        <v>2050</v>
      </c>
      <c r="O309" s="206" t="s">
        <v>312</v>
      </c>
      <c r="P309" s="114" t="str">
        <f>'Key Inputs_New Techs'!J244</f>
        <v>USD/kW</v>
      </c>
      <c r="Q309" s="121">
        <f>'Key Inputs_New Techs'!K244</f>
        <v>822.43359640652898</v>
      </c>
      <c r="R309" s="121">
        <f>'Key Inputs_New Techs'!L244</f>
        <v>858.89976136670316</v>
      </c>
      <c r="S309" s="121">
        <f>'Key Inputs_New Techs'!M244</f>
        <v>826.66322523734345</v>
      </c>
      <c r="T309" s="121">
        <f>'Key Inputs_New Techs'!N244</f>
        <v>826.71805194593162</v>
      </c>
      <c r="U309" s="121">
        <f>'Key Inputs_New Techs'!O244</f>
        <v>1014.5799302813846</v>
      </c>
      <c r="V309" s="121">
        <f>'Key Inputs_New Techs'!P244</f>
        <v>842.65027054454492</v>
      </c>
      <c r="W309" s="121">
        <f>'Key Inputs_New Techs'!Q244</f>
        <v>865.52701316157493</v>
      </c>
      <c r="X309" s="121">
        <f>'Key Inputs_New Techs'!R244</f>
        <v>835.94765559373559</v>
      </c>
      <c r="Y309" s="121">
        <f>'Key Inputs_New Techs'!S244</f>
        <v>873.70719654856998</v>
      </c>
      <c r="Z309" s="121">
        <f>'Key Inputs_New Techs'!T244</f>
        <v>1019.0594819261138</v>
      </c>
      <c r="AA309" s="121">
        <f>'Key Inputs_New Techs'!U244</f>
        <v>861.29566192595769</v>
      </c>
      <c r="AB309" s="121">
        <f>'Key Inputs_New Techs'!V244</f>
        <v>875.68905185988399</v>
      </c>
      <c r="AC309" s="121">
        <f>'Key Inputs_New Techs'!W244</f>
        <v>868.88784411826884</v>
      </c>
      <c r="AD309" s="121">
        <f>'Key Inputs_New Techs'!X244</f>
        <v>1103.623580117538</v>
      </c>
      <c r="AE309" s="121">
        <f>'Key Inputs_New Techs'!Y244</f>
        <v>944.14275169061921</v>
      </c>
      <c r="AF309" s="121">
        <f>'Key Inputs_New Techs'!Z244</f>
        <v>1014.1119355556916</v>
      </c>
      <c r="AG309" s="121">
        <f>'Key Inputs_New Techs'!AA244</f>
        <v>1014.1119355556916</v>
      </c>
      <c r="AH309" s="121">
        <f>'Key Inputs_New Techs'!AB244</f>
        <v>859.67951083525202</v>
      </c>
      <c r="AI309" s="121">
        <f>'Key Inputs_New Techs'!AC244</f>
        <v>839.00850253228839</v>
      </c>
      <c r="AJ309" s="121">
        <f>'Key Inputs_New Techs'!AD244</f>
        <v>986.32562716770803</v>
      </c>
      <c r="AK309" s="121">
        <f>'Key Inputs_New Techs'!AE244</f>
        <v>861.29566192595769</v>
      </c>
      <c r="AL309" s="121">
        <f>'Key Inputs_New Techs'!AF244</f>
        <v>927.49539003340124</v>
      </c>
      <c r="AM309" s="121">
        <f>'Key Inputs_New Techs'!AG244</f>
        <v>885.07061258211638</v>
      </c>
      <c r="AN309" s="121">
        <f>'Key Inputs_New Techs'!AH244</f>
        <v>894.80918090828288</v>
      </c>
      <c r="AO309" s="121">
        <f>'Key Inputs_New Techs'!AI244</f>
        <v>826.66322523734345</v>
      </c>
      <c r="AP309" s="121">
        <f>'Key Inputs_New Techs'!AJ244</f>
        <v>933.02126551662127</v>
      </c>
      <c r="AQ309" s="121">
        <f>'Key Inputs_New Techs'!AK244</f>
        <v>990.1816366051595</v>
      </c>
      <c r="AR309" s="121">
        <f>'Key Inputs_New Techs'!AL244</f>
        <v>1072.3081999767319</v>
      </c>
    </row>
    <row r="310" spans="1:60" ht="15.75" thickBot="1" x14ac:dyDescent="0.3">
      <c r="A310" s="248" t="s">
        <v>231</v>
      </c>
      <c r="B310" s="248" t="s">
        <v>232</v>
      </c>
      <c r="C310" s="248" t="s">
        <v>27</v>
      </c>
      <c r="D310" s="248" t="s">
        <v>32</v>
      </c>
      <c r="E310" s="248" t="s">
        <v>199</v>
      </c>
      <c r="F310" s="248"/>
      <c r="G310" s="248" t="s">
        <v>32</v>
      </c>
      <c r="H310" s="266"/>
      <c r="I310" s="266"/>
      <c r="K310" s="270" t="s">
        <v>255</v>
      </c>
      <c r="L310" s="271"/>
      <c r="M310" s="271"/>
      <c r="N310" s="271"/>
      <c r="O310" s="272"/>
      <c r="P310" s="272"/>
      <c r="Q310" s="274">
        <v>8</v>
      </c>
      <c r="R310" s="274">
        <f t="shared" ref="R310:AM310" si="34">Q310+1</f>
        <v>9</v>
      </c>
      <c r="S310" s="274">
        <f t="shared" si="34"/>
        <v>10</v>
      </c>
      <c r="T310" s="274">
        <f t="shared" si="34"/>
        <v>11</v>
      </c>
      <c r="U310" s="274">
        <f t="shared" si="34"/>
        <v>12</v>
      </c>
      <c r="V310" s="274">
        <f t="shared" si="34"/>
        <v>13</v>
      </c>
      <c r="W310" s="274">
        <f t="shared" si="34"/>
        <v>14</v>
      </c>
      <c r="X310" s="274">
        <f t="shared" si="34"/>
        <v>15</v>
      </c>
      <c r="Y310" s="274">
        <f t="shared" si="34"/>
        <v>16</v>
      </c>
      <c r="Z310" s="274">
        <f t="shared" si="34"/>
        <v>17</v>
      </c>
      <c r="AA310" s="274">
        <f t="shared" si="34"/>
        <v>18</v>
      </c>
      <c r="AB310" s="274">
        <f t="shared" si="34"/>
        <v>19</v>
      </c>
      <c r="AC310" s="274">
        <f t="shared" si="34"/>
        <v>20</v>
      </c>
      <c r="AD310" s="274">
        <f t="shared" si="34"/>
        <v>21</v>
      </c>
      <c r="AE310" s="274">
        <f t="shared" si="34"/>
        <v>22</v>
      </c>
      <c r="AF310" s="274">
        <f t="shared" si="34"/>
        <v>23</v>
      </c>
      <c r="AG310" s="274">
        <f t="shared" si="34"/>
        <v>24</v>
      </c>
      <c r="AH310" s="274">
        <f t="shared" si="34"/>
        <v>25</v>
      </c>
      <c r="AI310" s="274">
        <f t="shared" si="34"/>
        <v>26</v>
      </c>
      <c r="AJ310" s="274">
        <f>AI310+1</f>
        <v>27</v>
      </c>
      <c r="AK310" s="274">
        <f t="shared" si="34"/>
        <v>28</v>
      </c>
      <c r="AL310" s="274">
        <f t="shared" si="34"/>
        <v>29</v>
      </c>
      <c r="AM310" s="274">
        <f t="shared" si="34"/>
        <v>30</v>
      </c>
      <c r="AN310" s="274">
        <f t="shared" ref="AN310" si="35">AM310+1</f>
        <v>31</v>
      </c>
      <c r="AO310" s="274">
        <f t="shared" ref="AO310" si="36">AN310+1</f>
        <v>32</v>
      </c>
      <c r="AP310" s="274">
        <f t="shared" ref="AP310" si="37">AO310+1</f>
        <v>33</v>
      </c>
      <c r="AQ310" s="274">
        <f t="shared" ref="AQ310" si="38">AP310+1</f>
        <v>34</v>
      </c>
      <c r="AR310" s="274">
        <f t="shared" ref="AR310" si="39">AQ310+1</f>
        <v>35</v>
      </c>
    </row>
    <row r="311" spans="1:60" ht="15.75" x14ac:dyDescent="0.25">
      <c r="A311" s="245" t="str">
        <f t="shared" ref="A311:G320" si="40">A6</f>
        <v>Thermal uses</v>
      </c>
      <c r="B311" s="245" t="str">
        <f t="shared" si="40"/>
        <v>R-THL</v>
      </c>
      <c r="C311" s="245" t="str">
        <f t="shared" si="40"/>
        <v>Biomass</v>
      </c>
      <c r="D311" s="245" t="str">
        <f t="shared" si="40"/>
        <v>RSDBIO</v>
      </c>
      <c r="E311" s="249" t="str">
        <f t="shared" si="40"/>
        <v>RSDBIO</v>
      </c>
      <c r="F311" s="245" t="str">
        <f t="shared" si="40"/>
        <v>Wood Stove (Ord.)</v>
      </c>
      <c r="G311" s="250" t="str">
        <f t="shared" si="40"/>
        <v>01</v>
      </c>
      <c r="H311" s="250"/>
      <c r="I311" s="250"/>
      <c r="K311" s="201" t="str">
        <f>IF('Commodities &amp; Processes'!L$55="",'Commodities &amp; Processes'!K$55,'Commodities &amp; Processes'!L$55)</f>
        <v>R-THL-STV_BIO01</v>
      </c>
      <c r="L311" s="109" t="str">
        <f>IF('Commodities &amp; Processes'!M$55="","",'Commodities &amp; Processes'!M$55)</f>
        <v>RSD Thermal uses technology: Biomass Wood Stove (Ord.) -New</v>
      </c>
      <c r="O311" s="206" t="s">
        <v>313</v>
      </c>
      <c r="P311" s="120" t="s">
        <v>174</v>
      </c>
      <c r="Q311" s="180">
        <f>VLOOKUP($A311,'Key Inputs_BY Techs'!$B$198:$AJ$207,Q$310,FALSE)/8760</f>
        <v>4.5322895632501033E-2</v>
      </c>
      <c r="R311" s="180">
        <f>VLOOKUP($A311,'Key Inputs_BY Techs'!$B$198:$AJ$207,R$310,FALSE)/8760</f>
        <v>4.5047579105877276E-2</v>
      </c>
      <c r="S311" s="180">
        <f>VLOOKUP($A311,'Key Inputs_BY Techs'!$B$198:$AJ$207,S$310,FALSE)/8760</f>
        <v>4.1991055814934002E-2</v>
      </c>
      <c r="T311" s="180">
        <f>VLOOKUP($A311,'Key Inputs_BY Techs'!$B$198:$AJ$207,T$310,FALSE)/8760</f>
        <v>4.1685785869904429E-2</v>
      </c>
      <c r="U311" s="180">
        <f>VLOOKUP($A311,'Key Inputs_BY Techs'!$B$198:$AJ$207,U$310,FALSE)/8760</f>
        <v>5.0682342606484215E-2</v>
      </c>
      <c r="V311" s="180">
        <f>VLOOKUP($A311,'Key Inputs_BY Techs'!$B$198:$AJ$207,V$310,FALSE)/8760</f>
        <v>5.807085407630011E-2</v>
      </c>
      <c r="W311" s="180">
        <f>VLOOKUP($A311,'Key Inputs_BY Techs'!$B$198:$AJ$207,W$310,FALSE)/8760</f>
        <v>4.1687877260716787E-2</v>
      </c>
      <c r="X311" s="180">
        <f>VLOOKUP($A311,'Key Inputs_BY Techs'!$B$198:$AJ$207,X$310,FALSE)/8760</f>
        <v>4.2884552320900708E-2</v>
      </c>
      <c r="Y311" s="180">
        <f>VLOOKUP($A311,'Key Inputs_BY Techs'!$B$198:$AJ$207,Y$310,FALSE)/8760</f>
        <v>4.1666666666666664E-2</v>
      </c>
      <c r="Z311" s="180">
        <f>VLOOKUP($A311,'Key Inputs_BY Techs'!$B$198:$AJ$207,Z$310,FALSE)/8760</f>
        <v>0.12925469986413698</v>
      </c>
      <c r="AA311" s="180">
        <f>VLOOKUP($A311,'Key Inputs_BY Techs'!$B$198:$AJ$207,AA$310,FALSE)/8760</f>
        <v>5.6018402502504346E-2</v>
      </c>
      <c r="AB311" s="180">
        <f>VLOOKUP($A311,'Key Inputs_BY Techs'!$B$198:$AJ$207,AB$310,FALSE)/8760</f>
        <v>8.0456212261297039E-2</v>
      </c>
      <c r="AC311" s="180">
        <f>VLOOKUP($A311,'Key Inputs_BY Techs'!$B$198:$AJ$207,AC$310,FALSE)/8760</f>
        <v>8.196249702811996E-2</v>
      </c>
      <c r="AD311" s="180">
        <f>VLOOKUP($A311,'Key Inputs_BY Techs'!$B$198:$AJ$207,AD$310,FALSE)/8760</f>
        <v>9.0560920532517131E-2</v>
      </c>
      <c r="AE311" s="180">
        <f>VLOOKUP($A311,'Key Inputs_BY Techs'!$B$198:$AJ$207,AE$310,FALSE)/8760</f>
        <v>7.7640907014416241E-2</v>
      </c>
      <c r="AF311" s="180">
        <f>VLOOKUP($A311,'Key Inputs_BY Techs'!$B$198:$AJ$207,AF$310,FALSE)/8760</f>
        <v>6.6864645901418843E-2</v>
      </c>
      <c r="AG311" s="180">
        <f>VLOOKUP($A311,'Key Inputs_BY Techs'!$B$198:$AJ$207,AG$310,FALSE)/8760</f>
        <v>6.6864645901418843E-2</v>
      </c>
      <c r="AH311" s="180">
        <f>VLOOKUP($A311,'Key Inputs_BY Techs'!$B$198:$AJ$207,AH$310,FALSE)/8760</f>
        <v>4.1666666666666664E-2</v>
      </c>
      <c r="AI311" s="180">
        <f>VLOOKUP($A311,'Key Inputs_BY Techs'!$B$198:$AJ$207,AI$310,FALSE)/8760</f>
        <v>4.1666666666666664E-2</v>
      </c>
      <c r="AJ311" s="180">
        <f>VLOOKUP($A311,'Key Inputs_BY Techs'!$B$198:$AJ$207,AJ$310,FALSE)/8760</f>
        <v>5.1477189103886295E-2</v>
      </c>
      <c r="AK311" s="180">
        <f>VLOOKUP($A311,'Key Inputs_BY Techs'!$B$198:$AJ$207,AK$310,FALSE)/8760</f>
        <v>4.1666666666666664E-2</v>
      </c>
      <c r="AL311" s="180">
        <f>VLOOKUP($A311,'Key Inputs_BY Techs'!$B$198:$AJ$207,AL$310,FALSE)/8760</f>
        <v>7.0781511423467725E-2</v>
      </c>
      <c r="AM311" s="180">
        <f>VLOOKUP($A311,'Key Inputs_BY Techs'!$B$198:$AJ$207,AM$310,FALSE)/8760</f>
        <v>4.1666666666666664E-2</v>
      </c>
      <c r="AN311" s="180">
        <f>VLOOKUP($A311,'Key Inputs_BY Techs'!$B$198:$AJ$207,AN$310,FALSE)/8760</f>
        <v>4.8525528371344114E-2</v>
      </c>
      <c r="AO311" s="180">
        <f>VLOOKUP($A311,'Key Inputs_BY Techs'!$B$198:$AJ$207,AO$310,FALSE)/8760</f>
        <v>4.1991055814934002E-2</v>
      </c>
      <c r="AP311" s="180">
        <f>VLOOKUP($A311,'Key Inputs_BY Techs'!$B$198:$AJ$207,AP$310,FALSE)/8760</f>
        <v>0.10573317089500424</v>
      </c>
      <c r="AQ311" s="180">
        <f>VLOOKUP($A311,'Key Inputs_BY Techs'!$B$198:$AJ$207,AQ$310,FALSE)/8760</f>
        <v>8.0437275857606058E-2</v>
      </c>
      <c r="AR311" s="180">
        <f>VLOOKUP($A311,'Key Inputs_BY Techs'!$B$198:$AJ$207,AR$310,FALSE)/8760</f>
        <v>6.6692438947101099E-2</v>
      </c>
    </row>
    <row r="312" spans="1:60" ht="15.75" x14ac:dyDescent="0.25">
      <c r="A312" s="245" t="str">
        <f t="shared" si="40"/>
        <v>Thermal uses</v>
      </c>
      <c r="B312" s="245" t="str">
        <f t="shared" si="40"/>
        <v>R-THL</v>
      </c>
      <c r="C312" s="245" t="str">
        <f t="shared" si="40"/>
        <v>Biomass</v>
      </c>
      <c r="D312" s="245" t="str">
        <f t="shared" si="40"/>
        <v>RSDBIO</v>
      </c>
      <c r="E312" s="249" t="str">
        <f t="shared" si="40"/>
        <v>RSDBIO</v>
      </c>
      <c r="F312" s="245" t="str">
        <f t="shared" si="40"/>
        <v>Wood Stove (Imp.)</v>
      </c>
      <c r="G312" s="250" t="str">
        <f t="shared" si="40"/>
        <v>02</v>
      </c>
      <c r="H312" s="250"/>
      <c r="I312" s="250"/>
      <c r="K312" s="201" t="str">
        <f>IF('Commodities &amp; Processes'!L$56="",'Commodities &amp; Processes'!K$56,'Commodities &amp; Processes'!L$56)</f>
        <v>R-THL-STV_BIO02</v>
      </c>
      <c r="L312" s="109" t="str">
        <f>IF('Commodities &amp; Processes'!M$56="","",'Commodities &amp; Processes'!M$56)</f>
        <v>RSD Thermal uses technology: Biomass Wood Stove (Imp.) -New</v>
      </c>
      <c r="O312" s="114" t="s">
        <v>313</v>
      </c>
      <c r="P312" s="120" t="s">
        <v>174</v>
      </c>
      <c r="Q312" s="180">
        <f>VLOOKUP($A312,'Key Inputs_BY Techs'!$B$198:$AJ$207,Q$310,FALSE)/8760</f>
        <v>4.5322895632501033E-2</v>
      </c>
      <c r="R312" s="180">
        <f>VLOOKUP($A312,'Key Inputs_BY Techs'!$B$198:$AJ$207,R$310,FALSE)/8760</f>
        <v>4.5047579105877276E-2</v>
      </c>
      <c r="S312" s="180">
        <f>VLOOKUP($A312,'Key Inputs_BY Techs'!$B$198:$AJ$207,S$310,FALSE)/8760</f>
        <v>4.1991055814934002E-2</v>
      </c>
      <c r="T312" s="180">
        <f>VLOOKUP($A312,'Key Inputs_BY Techs'!$B$198:$AJ$207,T$310,FALSE)/8760</f>
        <v>4.1685785869904429E-2</v>
      </c>
      <c r="U312" s="180">
        <f>VLOOKUP($A312,'Key Inputs_BY Techs'!$B$198:$AJ$207,U$310,FALSE)/8760</f>
        <v>5.0682342606484215E-2</v>
      </c>
      <c r="V312" s="180">
        <f>VLOOKUP($A312,'Key Inputs_BY Techs'!$B$198:$AJ$207,V$310,FALSE)/8760</f>
        <v>5.807085407630011E-2</v>
      </c>
      <c r="W312" s="180">
        <f>VLOOKUP($A312,'Key Inputs_BY Techs'!$B$198:$AJ$207,W$310,FALSE)/8760</f>
        <v>4.1687877260716787E-2</v>
      </c>
      <c r="X312" s="180">
        <f>VLOOKUP($A312,'Key Inputs_BY Techs'!$B$198:$AJ$207,X$310,FALSE)/8760</f>
        <v>4.2884552320900708E-2</v>
      </c>
      <c r="Y312" s="180">
        <f>VLOOKUP($A312,'Key Inputs_BY Techs'!$B$198:$AJ$207,Y$310,FALSE)/8760</f>
        <v>4.1666666666666664E-2</v>
      </c>
      <c r="Z312" s="180">
        <f>VLOOKUP($A312,'Key Inputs_BY Techs'!$B$198:$AJ$207,Z$310,FALSE)/8760</f>
        <v>0.12925469986413698</v>
      </c>
      <c r="AA312" s="180">
        <f>VLOOKUP($A312,'Key Inputs_BY Techs'!$B$198:$AJ$207,AA$310,FALSE)/8760</f>
        <v>5.6018402502504346E-2</v>
      </c>
      <c r="AB312" s="180">
        <f>VLOOKUP($A312,'Key Inputs_BY Techs'!$B$198:$AJ$207,AB$310,FALSE)/8760</f>
        <v>8.0456212261297039E-2</v>
      </c>
      <c r="AC312" s="180">
        <f>VLOOKUP($A312,'Key Inputs_BY Techs'!$B$198:$AJ$207,AC$310,FALSE)/8760</f>
        <v>8.196249702811996E-2</v>
      </c>
      <c r="AD312" s="180">
        <f>VLOOKUP($A312,'Key Inputs_BY Techs'!$B$198:$AJ$207,AD$310,FALSE)/8760</f>
        <v>9.0560920532517131E-2</v>
      </c>
      <c r="AE312" s="180">
        <f>VLOOKUP($A312,'Key Inputs_BY Techs'!$B$198:$AJ$207,AE$310,FALSE)/8760</f>
        <v>7.7640907014416241E-2</v>
      </c>
      <c r="AF312" s="180">
        <f>VLOOKUP($A312,'Key Inputs_BY Techs'!$B$198:$AJ$207,AF$310,FALSE)/8760</f>
        <v>6.6864645901418843E-2</v>
      </c>
      <c r="AG312" s="180">
        <f>VLOOKUP($A312,'Key Inputs_BY Techs'!$B$198:$AJ$207,AG$310,FALSE)/8760</f>
        <v>6.6864645901418843E-2</v>
      </c>
      <c r="AH312" s="180">
        <f>VLOOKUP($A312,'Key Inputs_BY Techs'!$B$198:$AJ$207,AH$310,FALSE)/8760</f>
        <v>4.1666666666666664E-2</v>
      </c>
      <c r="AI312" s="180">
        <f>VLOOKUP($A312,'Key Inputs_BY Techs'!$B$198:$AJ$207,AI$310,FALSE)/8760</f>
        <v>4.1666666666666664E-2</v>
      </c>
      <c r="AJ312" s="180">
        <f>VLOOKUP($A312,'Key Inputs_BY Techs'!$B$198:$AJ$207,AJ$310,FALSE)/8760</f>
        <v>5.1477189103886295E-2</v>
      </c>
      <c r="AK312" s="180">
        <f>VLOOKUP($A312,'Key Inputs_BY Techs'!$B$198:$AJ$207,AK$310,FALSE)/8760</f>
        <v>4.1666666666666664E-2</v>
      </c>
      <c r="AL312" s="180">
        <f>VLOOKUP($A312,'Key Inputs_BY Techs'!$B$198:$AJ$207,AL$310,FALSE)/8760</f>
        <v>7.0781511423467725E-2</v>
      </c>
      <c r="AM312" s="180">
        <f>VLOOKUP($A312,'Key Inputs_BY Techs'!$B$198:$AJ$207,AM$310,FALSE)/8760</f>
        <v>4.1666666666666664E-2</v>
      </c>
      <c r="AN312" s="180">
        <f>VLOOKUP($A312,'Key Inputs_BY Techs'!$B$198:$AJ$207,AN$310,FALSE)/8760</f>
        <v>4.8525528371344114E-2</v>
      </c>
      <c r="AO312" s="180">
        <f>VLOOKUP($A312,'Key Inputs_BY Techs'!$B$198:$AJ$207,AO$310,FALSE)/8760</f>
        <v>4.1991055814934002E-2</v>
      </c>
      <c r="AP312" s="180">
        <f>VLOOKUP($A312,'Key Inputs_BY Techs'!$B$198:$AJ$207,AP$310,FALSE)/8760</f>
        <v>0.10573317089500424</v>
      </c>
      <c r="AQ312" s="180">
        <f>VLOOKUP($A312,'Key Inputs_BY Techs'!$B$198:$AJ$207,AQ$310,FALSE)/8760</f>
        <v>8.0437275857606058E-2</v>
      </c>
      <c r="AR312" s="180">
        <f>VLOOKUP($A312,'Key Inputs_BY Techs'!$B$198:$AJ$207,AR$310,FALSE)/8760</f>
        <v>6.6692438947101099E-2</v>
      </c>
    </row>
    <row r="313" spans="1:60" ht="15.75" x14ac:dyDescent="0.25">
      <c r="A313" s="245" t="str">
        <f t="shared" si="40"/>
        <v>Thermal uses</v>
      </c>
      <c r="B313" s="245" t="str">
        <f t="shared" si="40"/>
        <v>R-THL</v>
      </c>
      <c r="C313" s="245" t="str">
        <f t="shared" si="40"/>
        <v>Biomass</v>
      </c>
      <c r="D313" s="245" t="str">
        <f t="shared" si="40"/>
        <v>RSDBIO</v>
      </c>
      <c r="E313" s="249" t="str">
        <f t="shared" si="40"/>
        <v>RSDBIO</v>
      </c>
      <c r="F313" s="251" t="str">
        <f t="shared" si="40"/>
        <v>Wood Stove (Adv.))</v>
      </c>
      <c r="G313" s="250" t="str">
        <f t="shared" si="40"/>
        <v>03</v>
      </c>
      <c r="H313" s="250"/>
      <c r="I313" s="250"/>
      <c r="K313" s="201" t="str">
        <f>IF('Commodities &amp; Processes'!L$57="",'Commodities &amp; Processes'!K$57,'Commodities &amp; Processes'!L$57)</f>
        <v>R-THL-STV_BIO03</v>
      </c>
      <c r="L313" s="126" t="str">
        <f>IF('Commodities &amp; Processes'!M$57="",'Commodities &amp; Processes'!L$57,'Commodities &amp; Processes'!M$57)</f>
        <v>RSD Thermal uses technology: Biomass Wood Stove (Adv.)) -New</v>
      </c>
      <c r="O313" s="114" t="s">
        <v>313</v>
      </c>
      <c r="P313" s="120" t="s">
        <v>174</v>
      </c>
      <c r="Q313" s="180">
        <f>VLOOKUP($A313,'Key Inputs_BY Techs'!$B$198:$AJ$207,Q$310,FALSE)/8760</f>
        <v>4.5322895632501033E-2</v>
      </c>
      <c r="R313" s="180">
        <f>VLOOKUP($A313,'Key Inputs_BY Techs'!$B$198:$AJ$207,R$310,FALSE)/8760</f>
        <v>4.5047579105877276E-2</v>
      </c>
      <c r="S313" s="180">
        <f>VLOOKUP($A313,'Key Inputs_BY Techs'!$B$198:$AJ$207,S$310,FALSE)/8760</f>
        <v>4.1991055814934002E-2</v>
      </c>
      <c r="T313" s="180">
        <f>VLOOKUP($A313,'Key Inputs_BY Techs'!$B$198:$AJ$207,T$310,FALSE)/8760</f>
        <v>4.1685785869904429E-2</v>
      </c>
      <c r="U313" s="180">
        <f>VLOOKUP($A313,'Key Inputs_BY Techs'!$B$198:$AJ$207,U$310,FALSE)/8760</f>
        <v>5.0682342606484215E-2</v>
      </c>
      <c r="V313" s="180">
        <f>VLOOKUP($A313,'Key Inputs_BY Techs'!$B$198:$AJ$207,V$310,FALSE)/8760</f>
        <v>5.807085407630011E-2</v>
      </c>
      <c r="W313" s="180">
        <f>VLOOKUP($A313,'Key Inputs_BY Techs'!$B$198:$AJ$207,W$310,FALSE)/8760</f>
        <v>4.1687877260716787E-2</v>
      </c>
      <c r="X313" s="180">
        <f>VLOOKUP($A313,'Key Inputs_BY Techs'!$B$198:$AJ$207,X$310,FALSE)/8760</f>
        <v>4.2884552320900708E-2</v>
      </c>
      <c r="Y313" s="180">
        <f>VLOOKUP($A313,'Key Inputs_BY Techs'!$B$198:$AJ$207,Y$310,FALSE)/8760</f>
        <v>4.1666666666666664E-2</v>
      </c>
      <c r="Z313" s="180">
        <f>VLOOKUP($A313,'Key Inputs_BY Techs'!$B$198:$AJ$207,Z$310,FALSE)/8760</f>
        <v>0.12925469986413698</v>
      </c>
      <c r="AA313" s="180">
        <f>VLOOKUP($A313,'Key Inputs_BY Techs'!$B$198:$AJ$207,AA$310,FALSE)/8760</f>
        <v>5.6018402502504346E-2</v>
      </c>
      <c r="AB313" s="180">
        <f>VLOOKUP($A313,'Key Inputs_BY Techs'!$B$198:$AJ$207,AB$310,FALSE)/8760</f>
        <v>8.0456212261297039E-2</v>
      </c>
      <c r="AC313" s="180">
        <f>VLOOKUP($A313,'Key Inputs_BY Techs'!$B$198:$AJ$207,AC$310,FALSE)/8760</f>
        <v>8.196249702811996E-2</v>
      </c>
      <c r="AD313" s="180">
        <f>VLOOKUP($A313,'Key Inputs_BY Techs'!$B$198:$AJ$207,AD$310,FALSE)/8760</f>
        <v>9.0560920532517131E-2</v>
      </c>
      <c r="AE313" s="180">
        <f>VLOOKUP($A313,'Key Inputs_BY Techs'!$B$198:$AJ$207,AE$310,FALSE)/8760</f>
        <v>7.7640907014416241E-2</v>
      </c>
      <c r="AF313" s="180">
        <f>VLOOKUP($A313,'Key Inputs_BY Techs'!$B$198:$AJ$207,AF$310,FALSE)/8760</f>
        <v>6.6864645901418843E-2</v>
      </c>
      <c r="AG313" s="180">
        <f>VLOOKUP($A313,'Key Inputs_BY Techs'!$B$198:$AJ$207,AG$310,FALSE)/8760</f>
        <v>6.6864645901418843E-2</v>
      </c>
      <c r="AH313" s="180">
        <f>VLOOKUP($A313,'Key Inputs_BY Techs'!$B$198:$AJ$207,AH$310,FALSE)/8760</f>
        <v>4.1666666666666664E-2</v>
      </c>
      <c r="AI313" s="180">
        <f>VLOOKUP($A313,'Key Inputs_BY Techs'!$B$198:$AJ$207,AI$310,FALSE)/8760</f>
        <v>4.1666666666666664E-2</v>
      </c>
      <c r="AJ313" s="180">
        <f>VLOOKUP($A313,'Key Inputs_BY Techs'!$B$198:$AJ$207,AJ$310,FALSE)/8760</f>
        <v>5.1477189103886295E-2</v>
      </c>
      <c r="AK313" s="180">
        <f>VLOOKUP($A313,'Key Inputs_BY Techs'!$B$198:$AJ$207,AK$310,FALSE)/8760</f>
        <v>4.1666666666666664E-2</v>
      </c>
      <c r="AL313" s="180">
        <f>VLOOKUP($A313,'Key Inputs_BY Techs'!$B$198:$AJ$207,AL$310,FALSE)/8760</f>
        <v>7.0781511423467725E-2</v>
      </c>
      <c r="AM313" s="180">
        <f>VLOOKUP($A313,'Key Inputs_BY Techs'!$B$198:$AJ$207,AM$310,FALSE)/8760</f>
        <v>4.1666666666666664E-2</v>
      </c>
      <c r="AN313" s="180">
        <f>VLOOKUP($A313,'Key Inputs_BY Techs'!$B$198:$AJ$207,AN$310,FALSE)/8760</f>
        <v>4.8525528371344114E-2</v>
      </c>
      <c r="AO313" s="180">
        <f>VLOOKUP($A313,'Key Inputs_BY Techs'!$B$198:$AJ$207,AO$310,FALSE)/8760</f>
        <v>4.1991055814934002E-2</v>
      </c>
      <c r="AP313" s="180">
        <f>VLOOKUP($A313,'Key Inputs_BY Techs'!$B$198:$AJ$207,AP$310,FALSE)/8760</f>
        <v>0.10573317089500424</v>
      </c>
      <c r="AQ313" s="180">
        <f>VLOOKUP($A313,'Key Inputs_BY Techs'!$B$198:$AJ$207,AQ$310,FALSE)/8760</f>
        <v>8.0437275857606058E-2</v>
      </c>
      <c r="AR313" s="180">
        <f>VLOOKUP($A313,'Key Inputs_BY Techs'!$B$198:$AJ$207,AR$310,FALSE)/8760</f>
        <v>6.6692438947101099E-2</v>
      </c>
      <c r="AS313" s="119"/>
      <c r="AT313" s="114"/>
      <c r="AV313" s="126"/>
      <c r="BF313" s="114"/>
      <c r="BG313" s="122"/>
      <c r="BH313" s="122"/>
    </row>
    <row r="314" spans="1:60" ht="15.75" x14ac:dyDescent="0.25">
      <c r="A314" s="245" t="str">
        <f t="shared" si="40"/>
        <v>Thermal uses</v>
      </c>
      <c r="B314" s="245" t="str">
        <f t="shared" si="40"/>
        <v>R-THL</v>
      </c>
      <c r="C314" s="254" t="str">
        <f t="shared" si="40"/>
        <v>Electricity</v>
      </c>
      <c r="D314" s="254" t="str">
        <f t="shared" si="40"/>
        <v>RSDELC</v>
      </c>
      <c r="E314" s="249" t="str">
        <f t="shared" si="40"/>
        <v>RSDELC</v>
      </c>
      <c r="F314" s="245" t="str">
        <f t="shared" si="40"/>
        <v>Heat Pump Air (Ord.)</v>
      </c>
      <c r="G314" s="250" t="str">
        <f t="shared" si="40"/>
        <v>01</v>
      </c>
      <c r="H314" s="250"/>
      <c r="I314" s="250"/>
      <c r="K314" s="201" t="str">
        <f>IF('Commodities &amp; Processes'!L$58="",'Commodities &amp; Processes'!K$58,'Commodities &amp; Processes'!L$58)</f>
        <v>R-THL-HPA_ELC01</v>
      </c>
      <c r="L314" s="109" t="str">
        <f>IF('Commodities &amp; Processes'!M$58="","",'Commodities &amp; Processes'!M$58)</f>
        <v>RSD Thermal uses technology: Electricity Heat Pump Air (Ord.) -New</v>
      </c>
      <c r="O314" s="114" t="s">
        <v>313</v>
      </c>
      <c r="P314" s="120" t="s">
        <v>174</v>
      </c>
      <c r="Q314" s="180">
        <f>VLOOKUP($A314,'Key Inputs_BY Techs'!$B$198:$AJ$207,Q$310,FALSE)/8760</f>
        <v>4.5322895632501033E-2</v>
      </c>
      <c r="R314" s="180">
        <f>VLOOKUP($A314,'Key Inputs_BY Techs'!$B$198:$AJ$207,R$310,FALSE)/8760</f>
        <v>4.5047579105877276E-2</v>
      </c>
      <c r="S314" s="180">
        <f>VLOOKUP($A314,'Key Inputs_BY Techs'!$B$198:$AJ$207,S$310,FALSE)/8760</f>
        <v>4.1991055814934002E-2</v>
      </c>
      <c r="T314" s="180">
        <f>VLOOKUP($A314,'Key Inputs_BY Techs'!$B$198:$AJ$207,T$310,FALSE)/8760</f>
        <v>4.1685785869904429E-2</v>
      </c>
      <c r="U314" s="180">
        <f>VLOOKUP($A314,'Key Inputs_BY Techs'!$B$198:$AJ$207,U$310,FALSE)/8760</f>
        <v>5.0682342606484215E-2</v>
      </c>
      <c r="V314" s="180">
        <f>VLOOKUP($A314,'Key Inputs_BY Techs'!$B$198:$AJ$207,V$310,FALSE)/8760</f>
        <v>5.807085407630011E-2</v>
      </c>
      <c r="W314" s="180">
        <f>VLOOKUP($A314,'Key Inputs_BY Techs'!$B$198:$AJ$207,W$310,FALSE)/8760</f>
        <v>4.1687877260716787E-2</v>
      </c>
      <c r="X314" s="180">
        <f>VLOOKUP($A314,'Key Inputs_BY Techs'!$B$198:$AJ$207,X$310,FALSE)/8760</f>
        <v>4.2884552320900708E-2</v>
      </c>
      <c r="Y314" s="180">
        <f>VLOOKUP($A314,'Key Inputs_BY Techs'!$B$198:$AJ$207,Y$310,FALSE)/8760</f>
        <v>4.1666666666666664E-2</v>
      </c>
      <c r="Z314" s="180">
        <f>VLOOKUP($A314,'Key Inputs_BY Techs'!$B$198:$AJ$207,Z$310,FALSE)/8760</f>
        <v>0.12925469986413698</v>
      </c>
      <c r="AA314" s="180">
        <f>VLOOKUP($A314,'Key Inputs_BY Techs'!$B$198:$AJ$207,AA$310,FALSE)/8760</f>
        <v>5.6018402502504346E-2</v>
      </c>
      <c r="AB314" s="180">
        <f>VLOOKUP($A314,'Key Inputs_BY Techs'!$B$198:$AJ$207,AB$310,FALSE)/8760</f>
        <v>8.0456212261297039E-2</v>
      </c>
      <c r="AC314" s="180">
        <f>VLOOKUP($A314,'Key Inputs_BY Techs'!$B$198:$AJ$207,AC$310,FALSE)/8760</f>
        <v>8.196249702811996E-2</v>
      </c>
      <c r="AD314" s="180">
        <f>VLOOKUP($A314,'Key Inputs_BY Techs'!$B$198:$AJ$207,AD$310,FALSE)/8760</f>
        <v>9.0560920532517131E-2</v>
      </c>
      <c r="AE314" s="180">
        <f>VLOOKUP($A314,'Key Inputs_BY Techs'!$B$198:$AJ$207,AE$310,FALSE)/8760</f>
        <v>7.7640907014416241E-2</v>
      </c>
      <c r="AF314" s="180">
        <f>VLOOKUP($A314,'Key Inputs_BY Techs'!$B$198:$AJ$207,AF$310,FALSE)/8760</f>
        <v>6.6864645901418843E-2</v>
      </c>
      <c r="AG314" s="180">
        <f>VLOOKUP($A314,'Key Inputs_BY Techs'!$B$198:$AJ$207,AG$310,FALSE)/8760</f>
        <v>6.6864645901418843E-2</v>
      </c>
      <c r="AH314" s="180">
        <f>VLOOKUP($A314,'Key Inputs_BY Techs'!$B$198:$AJ$207,AH$310,FALSE)/8760</f>
        <v>4.1666666666666664E-2</v>
      </c>
      <c r="AI314" s="180">
        <f>VLOOKUP($A314,'Key Inputs_BY Techs'!$B$198:$AJ$207,AI$310,FALSE)/8760</f>
        <v>4.1666666666666664E-2</v>
      </c>
      <c r="AJ314" s="180">
        <f>VLOOKUP($A314,'Key Inputs_BY Techs'!$B$198:$AJ$207,AJ$310,FALSE)/8760</f>
        <v>5.1477189103886295E-2</v>
      </c>
      <c r="AK314" s="180">
        <f>VLOOKUP($A314,'Key Inputs_BY Techs'!$B$198:$AJ$207,AK$310,FALSE)/8760</f>
        <v>4.1666666666666664E-2</v>
      </c>
      <c r="AL314" s="180">
        <f>VLOOKUP($A314,'Key Inputs_BY Techs'!$B$198:$AJ$207,AL$310,FALSE)/8760</f>
        <v>7.0781511423467725E-2</v>
      </c>
      <c r="AM314" s="180">
        <f>VLOOKUP($A314,'Key Inputs_BY Techs'!$B$198:$AJ$207,AM$310,FALSE)/8760</f>
        <v>4.1666666666666664E-2</v>
      </c>
      <c r="AN314" s="180">
        <f>VLOOKUP($A314,'Key Inputs_BY Techs'!$B$198:$AJ$207,AN$310,FALSE)/8760</f>
        <v>4.8525528371344114E-2</v>
      </c>
      <c r="AO314" s="180">
        <f>VLOOKUP($A314,'Key Inputs_BY Techs'!$B$198:$AJ$207,AO$310,FALSE)/8760</f>
        <v>4.1991055814934002E-2</v>
      </c>
      <c r="AP314" s="180">
        <f>VLOOKUP($A314,'Key Inputs_BY Techs'!$B$198:$AJ$207,AP$310,FALSE)/8760</f>
        <v>0.10573317089500424</v>
      </c>
      <c r="AQ314" s="180">
        <f>VLOOKUP($A314,'Key Inputs_BY Techs'!$B$198:$AJ$207,AQ$310,FALSE)/8760</f>
        <v>8.0437275857606058E-2</v>
      </c>
      <c r="AR314" s="180">
        <f>VLOOKUP($A314,'Key Inputs_BY Techs'!$B$198:$AJ$207,AR$310,FALSE)/8760</f>
        <v>6.6692438947101099E-2</v>
      </c>
      <c r="AS314" s="119"/>
      <c r="AT314" s="114"/>
      <c r="AV314" s="126"/>
      <c r="BF314" s="114"/>
      <c r="BG314" s="122"/>
      <c r="BH314" s="122"/>
    </row>
    <row r="315" spans="1:60" ht="15.75" x14ac:dyDescent="0.25">
      <c r="A315" s="245" t="str">
        <f t="shared" si="40"/>
        <v>Thermal uses</v>
      </c>
      <c r="B315" s="245" t="str">
        <f t="shared" si="40"/>
        <v>R-THL</v>
      </c>
      <c r="C315" s="254" t="str">
        <f t="shared" si="40"/>
        <v>Electricity</v>
      </c>
      <c r="D315" s="254" t="str">
        <f t="shared" si="40"/>
        <v>RSDELC</v>
      </c>
      <c r="E315" s="249" t="str">
        <f t="shared" si="40"/>
        <v>RSDELC</v>
      </c>
      <c r="F315" s="245" t="str">
        <f t="shared" si="40"/>
        <v>Heat Pump Air (Imp.)</v>
      </c>
      <c r="G315" s="250" t="str">
        <f t="shared" si="40"/>
        <v>02</v>
      </c>
      <c r="H315" s="250"/>
      <c r="I315" s="250"/>
      <c r="K315" s="201" t="str">
        <f>IF('Commodities &amp; Processes'!L$59="",'Commodities &amp; Processes'!K$59,'Commodities &amp; Processes'!L$59)</f>
        <v>R-THL-HPA_ELC02</v>
      </c>
      <c r="L315" s="109" t="str">
        <f>IF('Commodities &amp; Processes'!M$59="","",'Commodities &amp; Processes'!M$59)</f>
        <v>RSD Thermal uses technology: Electricity Heat Pump Air (Imp.) -New</v>
      </c>
      <c r="O315" s="114" t="s">
        <v>313</v>
      </c>
      <c r="P315" s="120" t="s">
        <v>174</v>
      </c>
      <c r="Q315" s="180">
        <f>VLOOKUP($A315,'Key Inputs_BY Techs'!$B$198:$AJ$207,Q$310,FALSE)/8760</f>
        <v>4.5322895632501033E-2</v>
      </c>
      <c r="R315" s="180">
        <f>VLOOKUP($A315,'Key Inputs_BY Techs'!$B$198:$AJ$207,R$310,FALSE)/8760</f>
        <v>4.5047579105877276E-2</v>
      </c>
      <c r="S315" s="180">
        <f>VLOOKUP($A315,'Key Inputs_BY Techs'!$B$198:$AJ$207,S$310,FALSE)/8760</f>
        <v>4.1991055814934002E-2</v>
      </c>
      <c r="T315" s="180">
        <f>VLOOKUP($A315,'Key Inputs_BY Techs'!$B$198:$AJ$207,T$310,FALSE)/8760</f>
        <v>4.1685785869904429E-2</v>
      </c>
      <c r="U315" s="180">
        <f>VLOOKUP($A315,'Key Inputs_BY Techs'!$B$198:$AJ$207,U$310,FALSE)/8760</f>
        <v>5.0682342606484215E-2</v>
      </c>
      <c r="V315" s="180">
        <f>VLOOKUP($A315,'Key Inputs_BY Techs'!$B$198:$AJ$207,V$310,FALSE)/8760</f>
        <v>5.807085407630011E-2</v>
      </c>
      <c r="W315" s="180">
        <f>VLOOKUP($A315,'Key Inputs_BY Techs'!$B$198:$AJ$207,W$310,FALSE)/8760</f>
        <v>4.1687877260716787E-2</v>
      </c>
      <c r="X315" s="180">
        <f>VLOOKUP($A315,'Key Inputs_BY Techs'!$B$198:$AJ$207,X$310,FALSE)/8760</f>
        <v>4.2884552320900708E-2</v>
      </c>
      <c r="Y315" s="180">
        <f>VLOOKUP($A315,'Key Inputs_BY Techs'!$B$198:$AJ$207,Y$310,FALSE)/8760</f>
        <v>4.1666666666666664E-2</v>
      </c>
      <c r="Z315" s="180">
        <f>VLOOKUP($A315,'Key Inputs_BY Techs'!$B$198:$AJ$207,Z$310,FALSE)/8760</f>
        <v>0.12925469986413698</v>
      </c>
      <c r="AA315" s="180">
        <f>VLOOKUP($A315,'Key Inputs_BY Techs'!$B$198:$AJ$207,AA$310,FALSE)/8760</f>
        <v>5.6018402502504346E-2</v>
      </c>
      <c r="AB315" s="180">
        <f>VLOOKUP($A315,'Key Inputs_BY Techs'!$B$198:$AJ$207,AB$310,FALSE)/8760</f>
        <v>8.0456212261297039E-2</v>
      </c>
      <c r="AC315" s="180">
        <f>VLOOKUP($A315,'Key Inputs_BY Techs'!$B$198:$AJ$207,AC$310,FALSE)/8760</f>
        <v>8.196249702811996E-2</v>
      </c>
      <c r="AD315" s="180">
        <f>VLOOKUP($A315,'Key Inputs_BY Techs'!$B$198:$AJ$207,AD$310,FALSE)/8760</f>
        <v>9.0560920532517131E-2</v>
      </c>
      <c r="AE315" s="180">
        <f>VLOOKUP($A315,'Key Inputs_BY Techs'!$B$198:$AJ$207,AE$310,FALSE)/8760</f>
        <v>7.7640907014416241E-2</v>
      </c>
      <c r="AF315" s="180">
        <f>VLOOKUP($A315,'Key Inputs_BY Techs'!$B$198:$AJ$207,AF$310,FALSE)/8760</f>
        <v>6.6864645901418843E-2</v>
      </c>
      <c r="AG315" s="180">
        <f>VLOOKUP($A315,'Key Inputs_BY Techs'!$B$198:$AJ$207,AG$310,FALSE)/8760</f>
        <v>6.6864645901418843E-2</v>
      </c>
      <c r="AH315" s="180">
        <f>VLOOKUP($A315,'Key Inputs_BY Techs'!$B$198:$AJ$207,AH$310,FALSE)/8760</f>
        <v>4.1666666666666664E-2</v>
      </c>
      <c r="AI315" s="180">
        <f>VLOOKUP($A315,'Key Inputs_BY Techs'!$B$198:$AJ$207,AI$310,FALSE)/8760</f>
        <v>4.1666666666666664E-2</v>
      </c>
      <c r="AJ315" s="180">
        <f>VLOOKUP($A315,'Key Inputs_BY Techs'!$B$198:$AJ$207,AJ$310,FALSE)/8760</f>
        <v>5.1477189103886295E-2</v>
      </c>
      <c r="AK315" s="180">
        <f>VLOOKUP($A315,'Key Inputs_BY Techs'!$B$198:$AJ$207,AK$310,FALSE)/8760</f>
        <v>4.1666666666666664E-2</v>
      </c>
      <c r="AL315" s="180">
        <f>VLOOKUP($A315,'Key Inputs_BY Techs'!$B$198:$AJ$207,AL$310,FALSE)/8760</f>
        <v>7.0781511423467725E-2</v>
      </c>
      <c r="AM315" s="180">
        <f>VLOOKUP($A315,'Key Inputs_BY Techs'!$B$198:$AJ$207,AM$310,FALSE)/8760</f>
        <v>4.1666666666666664E-2</v>
      </c>
      <c r="AN315" s="180">
        <f>VLOOKUP($A315,'Key Inputs_BY Techs'!$B$198:$AJ$207,AN$310,FALSE)/8760</f>
        <v>4.8525528371344114E-2</v>
      </c>
      <c r="AO315" s="180">
        <f>VLOOKUP($A315,'Key Inputs_BY Techs'!$B$198:$AJ$207,AO$310,FALSE)/8760</f>
        <v>4.1991055814934002E-2</v>
      </c>
      <c r="AP315" s="180">
        <f>VLOOKUP($A315,'Key Inputs_BY Techs'!$B$198:$AJ$207,AP$310,FALSE)/8760</f>
        <v>0.10573317089500424</v>
      </c>
      <c r="AQ315" s="180">
        <f>VLOOKUP($A315,'Key Inputs_BY Techs'!$B$198:$AJ$207,AQ$310,FALSE)/8760</f>
        <v>8.0437275857606058E-2</v>
      </c>
      <c r="AR315" s="180">
        <f>VLOOKUP($A315,'Key Inputs_BY Techs'!$B$198:$AJ$207,AR$310,FALSE)/8760</f>
        <v>6.6692438947101099E-2</v>
      </c>
      <c r="AS315" s="119"/>
      <c r="AT315" s="114"/>
      <c r="AV315" s="126"/>
      <c r="BF315" s="114"/>
      <c r="BG315" s="122"/>
      <c r="BH315" s="122"/>
    </row>
    <row r="316" spans="1:60" ht="15.75" x14ac:dyDescent="0.25">
      <c r="A316" s="245" t="str">
        <f t="shared" si="40"/>
        <v>Thermal uses</v>
      </c>
      <c r="B316" s="245" t="str">
        <f t="shared" si="40"/>
        <v>R-THL</v>
      </c>
      <c r="C316" s="254" t="str">
        <f t="shared" si="40"/>
        <v>Electricity</v>
      </c>
      <c r="D316" s="254" t="str">
        <f t="shared" si="40"/>
        <v>RSDELC</v>
      </c>
      <c r="E316" s="249" t="str">
        <f t="shared" si="40"/>
        <v>RSDELC</v>
      </c>
      <c r="F316" s="245" t="str">
        <f t="shared" si="40"/>
        <v>Heat Pump Air (Adv.)</v>
      </c>
      <c r="G316" s="250" t="str">
        <f t="shared" si="40"/>
        <v>03</v>
      </c>
      <c r="H316" s="250"/>
      <c r="I316" s="250"/>
      <c r="K316" s="201" t="str">
        <f>IF('Commodities &amp; Processes'!L$60="",'Commodities &amp; Processes'!K$60,'Commodities &amp; Processes'!L$60)</f>
        <v>R-THL-HPA_ELC03</v>
      </c>
      <c r="L316" s="109" t="str">
        <f>IF('Commodities &amp; Processes'!M$60="","",'Commodities &amp; Processes'!M$60)</f>
        <v>RSD Thermal uses technology: Electricity Heat Pump Air (Adv.) -New</v>
      </c>
      <c r="O316" s="114" t="s">
        <v>313</v>
      </c>
      <c r="P316" s="120" t="s">
        <v>174</v>
      </c>
      <c r="Q316" s="180">
        <f>VLOOKUP($A316,'Key Inputs_BY Techs'!$B$198:$AJ$207,Q$310,FALSE)/8760</f>
        <v>4.5322895632501033E-2</v>
      </c>
      <c r="R316" s="180">
        <f>VLOOKUP($A316,'Key Inputs_BY Techs'!$B$198:$AJ$207,R$310,FALSE)/8760</f>
        <v>4.5047579105877276E-2</v>
      </c>
      <c r="S316" s="180">
        <f>VLOOKUP($A316,'Key Inputs_BY Techs'!$B$198:$AJ$207,S$310,FALSE)/8760</f>
        <v>4.1991055814934002E-2</v>
      </c>
      <c r="T316" s="180">
        <f>VLOOKUP($A316,'Key Inputs_BY Techs'!$B$198:$AJ$207,T$310,FALSE)/8760</f>
        <v>4.1685785869904429E-2</v>
      </c>
      <c r="U316" s="180">
        <f>VLOOKUP($A316,'Key Inputs_BY Techs'!$B$198:$AJ$207,U$310,FALSE)/8760</f>
        <v>5.0682342606484215E-2</v>
      </c>
      <c r="V316" s="180">
        <f>VLOOKUP($A316,'Key Inputs_BY Techs'!$B$198:$AJ$207,V$310,FALSE)/8760</f>
        <v>5.807085407630011E-2</v>
      </c>
      <c r="W316" s="180">
        <f>VLOOKUP($A316,'Key Inputs_BY Techs'!$B$198:$AJ$207,W$310,FALSE)/8760</f>
        <v>4.1687877260716787E-2</v>
      </c>
      <c r="X316" s="180">
        <f>VLOOKUP($A316,'Key Inputs_BY Techs'!$B$198:$AJ$207,X$310,FALSE)/8760</f>
        <v>4.2884552320900708E-2</v>
      </c>
      <c r="Y316" s="180">
        <f>VLOOKUP($A316,'Key Inputs_BY Techs'!$B$198:$AJ$207,Y$310,FALSE)/8760</f>
        <v>4.1666666666666664E-2</v>
      </c>
      <c r="Z316" s="180">
        <f>VLOOKUP($A316,'Key Inputs_BY Techs'!$B$198:$AJ$207,Z$310,FALSE)/8760</f>
        <v>0.12925469986413698</v>
      </c>
      <c r="AA316" s="180">
        <f>VLOOKUP($A316,'Key Inputs_BY Techs'!$B$198:$AJ$207,AA$310,FALSE)/8760</f>
        <v>5.6018402502504346E-2</v>
      </c>
      <c r="AB316" s="180">
        <f>VLOOKUP($A316,'Key Inputs_BY Techs'!$B$198:$AJ$207,AB$310,FALSE)/8760</f>
        <v>8.0456212261297039E-2</v>
      </c>
      <c r="AC316" s="180">
        <f>VLOOKUP($A316,'Key Inputs_BY Techs'!$B$198:$AJ$207,AC$310,FALSE)/8760</f>
        <v>8.196249702811996E-2</v>
      </c>
      <c r="AD316" s="180">
        <f>VLOOKUP($A316,'Key Inputs_BY Techs'!$B$198:$AJ$207,AD$310,FALSE)/8760</f>
        <v>9.0560920532517131E-2</v>
      </c>
      <c r="AE316" s="180">
        <f>VLOOKUP($A316,'Key Inputs_BY Techs'!$B$198:$AJ$207,AE$310,FALSE)/8760</f>
        <v>7.7640907014416241E-2</v>
      </c>
      <c r="AF316" s="180">
        <f>VLOOKUP($A316,'Key Inputs_BY Techs'!$B$198:$AJ$207,AF$310,FALSE)/8760</f>
        <v>6.6864645901418843E-2</v>
      </c>
      <c r="AG316" s="180">
        <f>VLOOKUP($A316,'Key Inputs_BY Techs'!$B$198:$AJ$207,AG$310,FALSE)/8760</f>
        <v>6.6864645901418843E-2</v>
      </c>
      <c r="AH316" s="180">
        <f>VLOOKUP($A316,'Key Inputs_BY Techs'!$B$198:$AJ$207,AH$310,FALSE)/8760</f>
        <v>4.1666666666666664E-2</v>
      </c>
      <c r="AI316" s="180">
        <f>VLOOKUP($A316,'Key Inputs_BY Techs'!$B$198:$AJ$207,AI$310,FALSE)/8760</f>
        <v>4.1666666666666664E-2</v>
      </c>
      <c r="AJ316" s="180">
        <f>VLOOKUP($A316,'Key Inputs_BY Techs'!$B$198:$AJ$207,AJ$310,FALSE)/8760</f>
        <v>5.1477189103886295E-2</v>
      </c>
      <c r="AK316" s="180">
        <f>VLOOKUP($A316,'Key Inputs_BY Techs'!$B$198:$AJ$207,AK$310,FALSE)/8760</f>
        <v>4.1666666666666664E-2</v>
      </c>
      <c r="AL316" s="180">
        <f>VLOOKUP($A316,'Key Inputs_BY Techs'!$B$198:$AJ$207,AL$310,FALSE)/8760</f>
        <v>7.0781511423467725E-2</v>
      </c>
      <c r="AM316" s="180">
        <f>VLOOKUP($A316,'Key Inputs_BY Techs'!$B$198:$AJ$207,AM$310,FALSE)/8760</f>
        <v>4.1666666666666664E-2</v>
      </c>
      <c r="AN316" s="180">
        <f>VLOOKUP($A316,'Key Inputs_BY Techs'!$B$198:$AJ$207,AN$310,FALSE)/8760</f>
        <v>4.8525528371344114E-2</v>
      </c>
      <c r="AO316" s="180">
        <f>VLOOKUP($A316,'Key Inputs_BY Techs'!$B$198:$AJ$207,AO$310,FALSE)/8760</f>
        <v>4.1991055814934002E-2</v>
      </c>
      <c r="AP316" s="180">
        <f>VLOOKUP($A316,'Key Inputs_BY Techs'!$B$198:$AJ$207,AP$310,FALSE)/8760</f>
        <v>0.10573317089500424</v>
      </c>
      <c r="AQ316" s="180">
        <f>VLOOKUP($A316,'Key Inputs_BY Techs'!$B$198:$AJ$207,AQ$310,FALSE)/8760</f>
        <v>8.0437275857606058E-2</v>
      </c>
      <c r="AR316" s="180">
        <f>VLOOKUP($A316,'Key Inputs_BY Techs'!$B$198:$AJ$207,AR$310,FALSE)/8760</f>
        <v>6.6692438947101099E-2</v>
      </c>
      <c r="AS316" s="119"/>
      <c r="AT316" s="114"/>
      <c r="AV316" s="126"/>
      <c r="BF316" s="114"/>
      <c r="BG316" s="122"/>
      <c r="BH316" s="122"/>
    </row>
    <row r="317" spans="1:60" ht="15.75" x14ac:dyDescent="0.25">
      <c r="A317" s="245" t="str">
        <f t="shared" si="40"/>
        <v>Thermal uses</v>
      </c>
      <c r="B317" s="245" t="str">
        <f t="shared" si="40"/>
        <v>R-THL</v>
      </c>
      <c r="C317" s="254" t="str">
        <f t="shared" si="40"/>
        <v>Electricity</v>
      </c>
      <c r="D317" s="254" t="str">
        <f t="shared" si="40"/>
        <v>RSDELC</v>
      </c>
      <c r="E317" s="249" t="str">
        <f t="shared" si="40"/>
        <v>RSDELC</v>
      </c>
      <c r="F317" s="245" t="str">
        <f t="shared" si="40"/>
        <v>Heat Pump Wat. (Ord.)</v>
      </c>
      <c r="G317" s="250" t="str">
        <f t="shared" si="40"/>
        <v>04</v>
      </c>
      <c r="H317" s="250"/>
      <c r="I317" s="250"/>
      <c r="K317" s="201" t="str">
        <f>IF('Commodities &amp; Processes'!L$61="",'Commodities &amp; Processes'!K$61,'Commodities &amp; Processes'!L$61)</f>
        <v>R-THL-HPA_ELC04</v>
      </c>
      <c r="L317" s="109" t="str">
        <f>IF('Commodities &amp; Processes'!M$61="","",'Commodities &amp; Processes'!M$61)</f>
        <v>RSD Thermal uses technology: Electricity Heat Pump Wat. (Ord.) -New</v>
      </c>
      <c r="O317" s="114" t="s">
        <v>313</v>
      </c>
      <c r="P317" s="120" t="s">
        <v>174</v>
      </c>
      <c r="Q317" s="180">
        <f>VLOOKUP($A317,'Key Inputs_BY Techs'!$B$198:$AJ$207,Q$310,FALSE)/8760</f>
        <v>4.5322895632501033E-2</v>
      </c>
      <c r="R317" s="180">
        <f>VLOOKUP($A317,'Key Inputs_BY Techs'!$B$198:$AJ$207,R$310,FALSE)/8760</f>
        <v>4.5047579105877276E-2</v>
      </c>
      <c r="S317" s="180">
        <f>VLOOKUP($A317,'Key Inputs_BY Techs'!$B$198:$AJ$207,S$310,FALSE)/8760</f>
        <v>4.1991055814934002E-2</v>
      </c>
      <c r="T317" s="180">
        <f>VLOOKUP($A317,'Key Inputs_BY Techs'!$B$198:$AJ$207,T$310,FALSE)/8760</f>
        <v>4.1685785869904429E-2</v>
      </c>
      <c r="U317" s="180">
        <f>VLOOKUP($A317,'Key Inputs_BY Techs'!$B$198:$AJ$207,U$310,FALSE)/8760</f>
        <v>5.0682342606484215E-2</v>
      </c>
      <c r="V317" s="180">
        <f>VLOOKUP($A317,'Key Inputs_BY Techs'!$B$198:$AJ$207,V$310,FALSE)/8760</f>
        <v>5.807085407630011E-2</v>
      </c>
      <c r="W317" s="180">
        <f>VLOOKUP($A317,'Key Inputs_BY Techs'!$B$198:$AJ$207,W$310,FALSE)/8760</f>
        <v>4.1687877260716787E-2</v>
      </c>
      <c r="X317" s="180">
        <f>VLOOKUP($A317,'Key Inputs_BY Techs'!$B$198:$AJ$207,X$310,FALSE)/8760</f>
        <v>4.2884552320900708E-2</v>
      </c>
      <c r="Y317" s="180">
        <f>VLOOKUP($A317,'Key Inputs_BY Techs'!$B$198:$AJ$207,Y$310,FALSE)/8760</f>
        <v>4.1666666666666664E-2</v>
      </c>
      <c r="Z317" s="180">
        <f>VLOOKUP($A317,'Key Inputs_BY Techs'!$B$198:$AJ$207,Z$310,FALSE)/8760</f>
        <v>0.12925469986413698</v>
      </c>
      <c r="AA317" s="180">
        <f>VLOOKUP($A317,'Key Inputs_BY Techs'!$B$198:$AJ$207,AA$310,FALSE)/8760</f>
        <v>5.6018402502504346E-2</v>
      </c>
      <c r="AB317" s="180">
        <f>VLOOKUP($A317,'Key Inputs_BY Techs'!$B$198:$AJ$207,AB$310,FALSE)/8760</f>
        <v>8.0456212261297039E-2</v>
      </c>
      <c r="AC317" s="180">
        <f>VLOOKUP($A317,'Key Inputs_BY Techs'!$B$198:$AJ$207,AC$310,FALSE)/8760</f>
        <v>8.196249702811996E-2</v>
      </c>
      <c r="AD317" s="180">
        <f>VLOOKUP($A317,'Key Inputs_BY Techs'!$B$198:$AJ$207,AD$310,FALSE)/8760</f>
        <v>9.0560920532517131E-2</v>
      </c>
      <c r="AE317" s="180">
        <f>VLOOKUP($A317,'Key Inputs_BY Techs'!$B$198:$AJ$207,AE$310,FALSE)/8760</f>
        <v>7.7640907014416241E-2</v>
      </c>
      <c r="AF317" s="180">
        <f>VLOOKUP($A317,'Key Inputs_BY Techs'!$B$198:$AJ$207,AF$310,FALSE)/8760</f>
        <v>6.6864645901418843E-2</v>
      </c>
      <c r="AG317" s="180">
        <f>VLOOKUP($A317,'Key Inputs_BY Techs'!$B$198:$AJ$207,AG$310,FALSE)/8760</f>
        <v>6.6864645901418843E-2</v>
      </c>
      <c r="AH317" s="180">
        <f>VLOOKUP($A317,'Key Inputs_BY Techs'!$B$198:$AJ$207,AH$310,FALSE)/8760</f>
        <v>4.1666666666666664E-2</v>
      </c>
      <c r="AI317" s="180">
        <f>VLOOKUP($A317,'Key Inputs_BY Techs'!$B$198:$AJ$207,AI$310,FALSE)/8760</f>
        <v>4.1666666666666664E-2</v>
      </c>
      <c r="AJ317" s="180">
        <f>VLOOKUP($A317,'Key Inputs_BY Techs'!$B$198:$AJ$207,AJ$310,FALSE)/8760</f>
        <v>5.1477189103886295E-2</v>
      </c>
      <c r="AK317" s="180">
        <f>VLOOKUP($A317,'Key Inputs_BY Techs'!$B$198:$AJ$207,AK$310,FALSE)/8760</f>
        <v>4.1666666666666664E-2</v>
      </c>
      <c r="AL317" s="180">
        <f>VLOOKUP($A317,'Key Inputs_BY Techs'!$B$198:$AJ$207,AL$310,FALSE)/8760</f>
        <v>7.0781511423467725E-2</v>
      </c>
      <c r="AM317" s="180">
        <f>VLOOKUP($A317,'Key Inputs_BY Techs'!$B$198:$AJ$207,AM$310,FALSE)/8760</f>
        <v>4.1666666666666664E-2</v>
      </c>
      <c r="AN317" s="180">
        <f>VLOOKUP($A317,'Key Inputs_BY Techs'!$B$198:$AJ$207,AN$310,FALSE)/8760</f>
        <v>4.8525528371344114E-2</v>
      </c>
      <c r="AO317" s="180">
        <f>VLOOKUP($A317,'Key Inputs_BY Techs'!$B$198:$AJ$207,AO$310,FALSE)/8760</f>
        <v>4.1991055814934002E-2</v>
      </c>
      <c r="AP317" s="180">
        <f>VLOOKUP($A317,'Key Inputs_BY Techs'!$B$198:$AJ$207,AP$310,FALSE)/8760</f>
        <v>0.10573317089500424</v>
      </c>
      <c r="AQ317" s="180">
        <f>VLOOKUP($A317,'Key Inputs_BY Techs'!$B$198:$AJ$207,AQ$310,FALSE)/8760</f>
        <v>8.0437275857606058E-2</v>
      </c>
      <c r="AR317" s="180">
        <f>VLOOKUP($A317,'Key Inputs_BY Techs'!$B$198:$AJ$207,AR$310,FALSE)/8760</f>
        <v>6.6692438947101099E-2</v>
      </c>
      <c r="AS317" s="119"/>
      <c r="AT317" s="114"/>
      <c r="AV317" s="126"/>
      <c r="BF317" s="114"/>
      <c r="BG317" s="122"/>
      <c r="BH317" s="122"/>
    </row>
    <row r="318" spans="1:60" ht="15.75" x14ac:dyDescent="0.25">
      <c r="A318" s="245" t="str">
        <f t="shared" si="40"/>
        <v>Thermal uses</v>
      </c>
      <c r="B318" s="245" t="str">
        <f t="shared" si="40"/>
        <v>R-THL</v>
      </c>
      <c r="C318" s="254" t="str">
        <f t="shared" si="40"/>
        <v>Electricity</v>
      </c>
      <c r="D318" s="254" t="str">
        <f t="shared" si="40"/>
        <v>RSDELC</v>
      </c>
      <c r="E318" s="249" t="str">
        <f t="shared" si="40"/>
        <v>RSDELC</v>
      </c>
      <c r="F318" s="245" t="str">
        <f t="shared" si="40"/>
        <v>Heat Pump Wat. (Imp.)</v>
      </c>
      <c r="G318" s="250" t="str">
        <f t="shared" si="40"/>
        <v>05</v>
      </c>
      <c r="H318" s="250"/>
      <c r="I318" s="250"/>
      <c r="K318" s="201" t="str">
        <f>IF('Commodities &amp; Processes'!L$62="",'Commodities &amp; Processes'!K$62,'Commodities &amp; Processes'!L$62)</f>
        <v>R-THL-HPA_ELC05</v>
      </c>
      <c r="L318" s="109" t="str">
        <f>IF('Commodities &amp; Processes'!M$62="","",'Commodities &amp; Processes'!M$62)</f>
        <v>RSD Thermal uses technology: Electricity Heat Pump Wat. (Imp.) -New</v>
      </c>
      <c r="O318" s="114" t="s">
        <v>313</v>
      </c>
      <c r="P318" s="120" t="s">
        <v>174</v>
      </c>
      <c r="Q318" s="180">
        <f>VLOOKUP($A318,'Key Inputs_BY Techs'!$B$198:$AJ$207,Q$310,FALSE)/8760</f>
        <v>4.5322895632501033E-2</v>
      </c>
      <c r="R318" s="180">
        <f>VLOOKUP($A318,'Key Inputs_BY Techs'!$B$198:$AJ$207,R$310,FALSE)/8760</f>
        <v>4.5047579105877276E-2</v>
      </c>
      <c r="S318" s="180">
        <f>VLOOKUP($A318,'Key Inputs_BY Techs'!$B$198:$AJ$207,S$310,FALSE)/8760</f>
        <v>4.1991055814934002E-2</v>
      </c>
      <c r="T318" s="180">
        <f>VLOOKUP($A318,'Key Inputs_BY Techs'!$B$198:$AJ$207,T$310,FALSE)/8760</f>
        <v>4.1685785869904429E-2</v>
      </c>
      <c r="U318" s="180">
        <f>VLOOKUP($A318,'Key Inputs_BY Techs'!$B$198:$AJ$207,U$310,FALSE)/8760</f>
        <v>5.0682342606484215E-2</v>
      </c>
      <c r="V318" s="180">
        <f>VLOOKUP($A318,'Key Inputs_BY Techs'!$B$198:$AJ$207,V$310,FALSE)/8760</f>
        <v>5.807085407630011E-2</v>
      </c>
      <c r="W318" s="180">
        <f>VLOOKUP($A318,'Key Inputs_BY Techs'!$B$198:$AJ$207,W$310,FALSE)/8760</f>
        <v>4.1687877260716787E-2</v>
      </c>
      <c r="X318" s="180">
        <f>VLOOKUP($A318,'Key Inputs_BY Techs'!$B$198:$AJ$207,X$310,FALSE)/8760</f>
        <v>4.2884552320900708E-2</v>
      </c>
      <c r="Y318" s="180">
        <f>VLOOKUP($A318,'Key Inputs_BY Techs'!$B$198:$AJ$207,Y$310,FALSE)/8760</f>
        <v>4.1666666666666664E-2</v>
      </c>
      <c r="Z318" s="180">
        <f>VLOOKUP($A318,'Key Inputs_BY Techs'!$B$198:$AJ$207,Z$310,FALSE)/8760</f>
        <v>0.12925469986413698</v>
      </c>
      <c r="AA318" s="180">
        <f>VLOOKUP($A318,'Key Inputs_BY Techs'!$B$198:$AJ$207,AA$310,FALSE)/8760</f>
        <v>5.6018402502504346E-2</v>
      </c>
      <c r="AB318" s="180">
        <f>VLOOKUP($A318,'Key Inputs_BY Techs'!$B$198:$AJ$207,AB$310,FALSE)/8760</f>
        <v>8.0456212261297039E-2</v>
      </c>
      <c r="AC318" s="180">
        <f>VLOOKUP($A318,'Key Inputs_BY Techs'!$B$198:$AJ$207,AC$310,FALSE)/8760</f>
        <v>8.196249702811996E-2</v>
      </c>
      <c r="AD318" s="180">
        <f>VLOOKUP($A318,'Key Inputs_BY Techs'!$B$198:$AJ$207,AD$310,FALSE)/8760</f>
        <v>9.0560920532517131E-2</v>
      </c>
      <c r="AE318" s="180">
        <f>VLOOKUP($A318,'Key Inputs_BY Techs'!$B$198:$AJ$207,AE$310,FALSE)/8760</f>
        <v>7.7640907014416241E-2</v>
      </c>
      <c r="AF318" s="180">
        <f>VLOOKUP($A318,'Key Inputs_BY Techs'!$B$198:$AJ$207,AF$310,FALSE)/8760</f>
        <v>6.6864645901418843E-2</v>
      </c>
      <c r="AG318" s="180">
        <f>VLOOKUP($A318,'Key Inputs_BY Techs'!$B$198:$AJ$207,AG$310,FALSE)/8760</f>
        <v>6.6864645901418843E-2</v>
      </c>
      <c r="AH318" s="180">
        <f>VLOOKUP($A318,'Key Inputs_BY Techs'!$B$198:$AJ$207,AH$310,FALSE)/8760</f>
        <v>4.1666666666666664E-2</v>
      </c>
      <c r="AI318" s="180">
        <f>VLOOKUP($A318,'Key Inputs_BY Techs'!$B$198:$AJ$207,AI$310,FALSE)/8760</f>
        <v>4.1666666666666664E-2</v>
      </c>
      <c r="AJ318" s="180">
        <f>VLOOKUP($A318,'Key Inputs_BY Techs'!$B$198:$AJ$207,AJ$310,FALSE)/8760</f>
        <v>5.1477189103886295E-2</v>
      </c>
      <c r="AK318" s="180">
        <f>VLOOKUP($A318,'Key Inputs_BY Techs'!$B$198:$AJ$207,AK$310,FALSE)/8760</f>
        <v>4.1666666666666664E-2</v>
      </c>
      <c r="AL318" s="180">
        <f>VLOOKUP($A318,'Key Inputs_BY Techs'!$B$198:$AJ$207,AL$310,FALSE)/8760</f>
        <v>7.0781511423467725E-2</v>
      </c>
      <c r="AM318" s="180">
        <f>VLOOKUP($A318,'Key Inputs_BY Techs'!$B$198:$AJ$207,AM$310,FALSE)/8760</f>
        <v>4.1666666666666664E-2</v>
      </c>
      <c r="AN318" s="180">
        <f>VLOOKUP($A318,'Key Inputs_BY Techs'!$B$198:$AJ$207,AN$310,FALSE)/8760</f>
        <v>4.8525528371344114E-2</v>
      </c>
      <c r="AO318" s="180">
        <f>VLOOKUP($A318,'Key Inputs_BY Techs'!$B$198:$AJ$207,AO$310,FALSE)/8760</f>
        <v>4.1991055814934002E-2</v>
      </c>
      <c r="AP318" s="180">
        <f>VLOOKUP($A318,'Key Inputs_BY Techs'!$B$198:$AJ$207,AP$310,FALSE)/8760</f>
        <v>0.10573317089500424</v>
      </c>
      <c r="AQ318" s="180">
        <f>VLOOKUP($A318,'Key Inputs_BY Techs'!$B$198:$AJ$207,AQ$310,FALSE)/8760</f>
        <v>8.0437275857606058E-2</v>
      </c>
      <c r="AR318" s="180">
        <f>VLOOKUP($A318,'Key Inputs_BY Techs'!$B$198:$AJ$207,AR$310,FALSE)/8760</f>
        <v>6.6692438947101099E-2</v>
      </c>
      <c r="AS318" s="119"/>
      <c r="AT318" s="114"/>
      <c r="AV318" s="126"/>
      <c r="BF318" s="114"/>
      <c r="BG318" s="122"/>
      <c r="BH318" s="122"/>
    </row>
    <row r="319" spans="1:60" ht="15.75" x14ac:dyDescent="0.25">
      <c r="A319" s="245" t="str">
        <f t="shared" si="40"/>
        <v>Thermal uses</v>
      </c>
      <c r="B319" s="245" t="str">
        <f t="shared" si="40"/>
        <v>R-THL</v>
      </c>
      <c r="C319" s="254" t="str">
        <f t="shared" si="40"/>
        <v>Electricity</v>
      </c>
      <c r="D319" s="254" t="str">
        <f t="shared" si="40"/>
        <v>RSDELC</v>
      </c>
      <c r="E319" s="249" t="str">
        <f t="shared" si="40"/>
        <v>RSDELC</v>
      </c>
      <c r="F319" s="251" t="str">
        <f t="shared" si="40"/>
        <v>Heat Pump Wat. (Adv.)</v>
      </c>
      <c r="G319" s="250" t="str">
        <f t="shared" si="40"/>
        <v>06</v>
      </c>
      <c r="H319" s="250"/>
      <c r="I319" s="250"/>
      <c r="K319" s="201" t="str">
        <f>IF('Commodities &amp; Processes'!L$63="",'Commodities &amp; Processes'!K$63,'Commodities &amp; Processes'!L$63)</f>
        <v>R-THL-HPA_ELC06</v>
      </c>
      <c r="L319" s="109" t="str">
        <f>IF('Commodities &amp; Processes'!M$63="","",'Commodities &amp; Processes'!M$63)</f>
        <v>RSD Thermal uses technology: Electricity Heat Pump Wat. (Adv.) -New</v>
      </c>
      <c r="N319" s="113"/>
      <c r="O319" s="114" t="s">
        <v>313</v>
      </c>
      <c r="P319" s="120" t="s">
        <v>174</v>
      </c>
      <c r="Q319" s="180">
        <f>VLOOKUP($A319,'Key Inputs_BY Techs'!$B$198:$AJ$207,Q$310,FALSE)/8760</f>
        <v>4.5322895632501033E-2</v>
      </c>
      <c r="R319" s="180">
        <f>VLOOKUP($A319,'Key Inputs_BY Techs'!$B$198:$AJ$207,R$310,FALSE)/8760</f>
        <v>4.5047579105877276E-2</v>
      </c>
      <c r="S319" s="180">
        <f>VLOOKUP($A319,'Key Inputs_BY Techs'!$B$198:$AJ$207,S$310,FALSE)/8760</f>
        <v>4.1991055814934002E-2</v>
      </c>
      <c r="T319" s="180">
        <f>VLOOKUP($A319,'Key Inputs_BY Techs'!$B$198:$AJ$207,T$310,FALSE)/8760</f>
        <v>4.1685785869904429E-2</v>
      </c>
      <c r="U319" s="180">
        <f>VLOOKUP($A319,'Key Inputs_BY Techs'!$B$198:$AJ$207,U$310,FALSE)/8760</f>
        <v>5.0682342606484215E-2</v>
      </c>
      <c r="V319" s="180">
        <f>VLOOKUP($A319,'Key Inputs_BY Techs'!$B$198:$AJ$207,V$310,FALSE)/8760</f>
        <v>5.807085407630011E-2</v>
      </c>
      <c r="W319" s="180">
        <f>VLOOKUP($A319,'Key Inputs_BY Techs'!$B$198:$AJ$207,W$310,FALSE)/8760</f>
        <v>4.1687877260716787E-2</v>
      </c>
      <c r="X319" s="180">
        <f>VLOOKUP($A319,'Key Inputs_BY Techs'!$B$198:$AJ$207,X$310,FALSE)/8760</f>
        <v>4.2884552320900708E-2</v>
      </c>
      <c r="Y319" s="180">
        <f>VLOOKUP($A319,'Key Inputs_BY Techs'!$B$198:$AJ$207,Y$310,FALSE)/8760</f>
        <v>4.1666666666666664E-2</v>
      </c>
      <c r="Z319" s="180">
        <f>VLOOKUP($A319,'Key Inputs_BY Techs'!$B$198:$AJ$207,Z$310,FALSE)/8760</f>
        <v>0.12925469986413698</v>
      </c>
      <c r="AA319" s="180">
        <f>VLOOKUP($A319,'Key Inputs_BY Techs'!$B$198:$AJ$207,AA$310,FALSE)/8760</f>
        <v>5.6018402502504346E-2</v>
      </c>
      <c r="AB319" s="180">
        <f>VLOOKUP($A319,'Key Inputs_BY Techs'!$B$198:$AJ$207,AB$310,FALSE)/8760</f>
        <v>8.0456212261297039E-2</v>
      </c>
      <c r="AC319" s="180">
        <f>VLOOKUP($A319,'Key Inputs_BY Techs'!$B$198:$AJ$207,AC$310,FALSE)/8760</f>
        <v>8.196249702811996E-2</v>
      </c>
      <c r="AD319" s="180">
        <f>VLOOKUP($A319,'Key Inputs_BY Techs'!$B$198:$AJ$207,AD$310,FALSE)/8760</f>
        <v>9.0560920532517131E-2</v>
      </c>
      <c r="AE319" s="180">
        <f>VLOOKUP($A319,'Key Inputs_BY Techs'!$B$198:$AJ$207,AE$310,FALSE)/8760</f>
        <v>7.7640907014416241E-2</v>
      </c>
      <c r="AF319" s="180">
        <f>VLOOKUP($A319,'Key Inputs_BY Techs'!$B$198:$AJ$207,AF$310,FALSE)/8760</f>
        <v>6.6864645901418843E-2</v>
      </c>
      <c r="AG319" s="180">
        <f>VLOOKUP($A319,'Key Inputs_BY Techs'!$B$198:$AJ$207,AG$310,FALSE)/8760</f>
        <v>6.6864645901418843E-2</v>
      </c>
      <c r="AH319" s="180">
        <f>VLOOKUP($A319,'Key Inputs_BY Techs'!$B$198:$AJ$207,AH$310,FALSE)/8760</f>
        <v>4.1666666666666664E-2</v>
      </c>
      <c r="AI319" s="180">
        <f>VLOOKUP($A319,'Key Inputs_BY Techs'!$B$198:$AJ$207,AI$310,FALSE)/8760</f>
        <v>4.1666666666666664E-2</v>
      </c>
      <c r="AJ319" s="180">
        <f>VLOOKUP($A319,'Key Inputs_BY Techs'!$B$198:$AJ$207,AJ$310,FALSE)/8760</f>
        <v>5.1477189103886295E-2</v>
      </c>
      <c r="AK319" s="180">
        <f>VLOOKUP($A319,'Key Inputs_BY Techs'!$B$198:$AJ$207,AK$310,FALSE)/8760</f>
        <v>4.1666666666666664E-2</v>
      </c>
      <c r="AL319" s="180">
        <f>VLOOKUP($A319,'Key Inputs_BY Techs'!$B$198:$AJ$207,AL$310,FALSE)/8760</f>
        <v>7.0781511423467725E-2</v>
      </c>
      <c r="AM319" s="180">
        <f>VLOOKUP($A319,'Key Inputs_BY Techs'!$B$198:$AJ$207,AM$310,FALSE)/8760</f>
        <v>4.1666666666666664E-2</v>
      </c>
      <c r="AN319" s="180">
        <f>VLOOKUP($A319,'Key Inputs_BY Techs'!$B$198:$AJ$207,AN$310,FALSE)/8760</f>
        <v>4.8525528371344114E-2</v>
      </c>
      <c r="AO319" s="180">
        <f>VLOOKUP($A319,'Key Inputs_BY Techs'!$B$198:$AJ$207,AO$310,FALSE)/8760</f>
        <v>4.1991055814934002E-2</v>
      </c>
      <c r="AP319" s="180">
        <f>VLOOKUP($A319,'Key Inputs_BY Techs'!$B$198:$AJ$207,AP$310,FALSE)/8760</f>
        <v>0.10573317089500424</v>
      </c>
      <c r="AQ319" s="180">
        <f>VLOOKUP($A319,'Key Inputs_BY Techs'!$B$198:$AJ$207,AQ$310,FALSE)/8760</f>
        <v>8.0437275857606058E-2</v>
      </c>
      <c r="AR319" s="180">
        <f>VLOOKUP($A319,'Key Inputs_BY Techs'!$B$198:$AJ$207,AR$310,FALSE)/8760</f>
        <v>6.6692438947101099E-2</v>
      </c>
      <c r="AS319" s="119"/>
      <c r="AT319" s="114"/>
      <c r="AV319" s="126"/>
      <c r="BF319" s="114"/>
      <c r="BG319" s="122"/>
      <c r="BH319" s="122"/>
    </row>
    <row r="320" spans="1:60" ht="15.75" x14ac:dyDescent="0.25">
      <c r="A320" s="245" t="str">
        <f t="shared" si="40"/>
        <v>Thermal uses</v>
      </c>
      <c r="B320" s="245" t="str">
        <f t="shared" si="40"/>
        <v>R-THL</v>
      </c>
      <c r="C320" s="254" t="str">
        <f t="shared" si="40"/>
        <v>Electricity</v>
      </c>
      <c r="D320" s="254" t="str">
        <f t="shared" si="40"/>
        <v>RSDELC</v>
      </c>
      <c r="E320" s="249" t="str">
        <f t="shared" si="40"/>
        <v>RSDELC</v>
      </c>
      <c r="F320" s="245" t="str">
        <f t="shared" si="40"/>
        <v>Electr. Resist. (Ord.)</v>
      </c>
      <c r="G320" s="250" t="str">
        <f t="shared" si="40"/>
        <v>07</v>
      </c>
      <c r="H320" s="250"/>
      <c r="I320" s="250"/>
      <c r="K320" s="201" t="str">
        <f>IF('Commodities &amp; Processes'!L$64="",'Commodities &amp; Processes'!K$64,'Commodities &amp; Processes'!L$64)</f>
        <v>R-THL-RST_ELC07</v>
      </c>
      <c r="L320" s="109" t="str">
        <f>IF('Commodities &amp; Processes'!M$64="","",'Commodities &amp; Processes'!M$64)</f>
        <v>RSD Thermal uses technology: Electricity Electr. Resist. (Ord.) -New</v>
      </c>
      <c r="N320" s="113"/>
      <c r="O320" s="114" t="s">
        <v>313</v>
      </c>
      <c r="P320" s="120" t="s">
        <v>174</v>
      </c>
      <c r="Q320" s="180">
        <f>VLOOKUP($A320,'Key Inputs_BY Techs'!$B$198:$AJ$207,Q$310,FALSE)/8760</f>
        <v>4.5322895632501033E-2</v>
      </c>
      <c r="R320" s="180">
        <f>VLOOKUP($A320,'Key Inputs_BY Techs'!$B$198:$AJ$207,R$310,FALSE)/8760</f>
        <v>4.5047579105877276E-2</v>
      </c>
      <c r="S320" s="180">
        <f>VLOOKUP($A320,'Key Inputs_BY Techs'!$B$198:$AJ$207,S$310,FALSE)/8760</f>
        <v>4.1991055814934002E-2</v>
      </c>
      <c r="T320" s="180">
        <f>VLOOKUP($A320,'Key Inputs_BY Techs'!$B$198:$AJ$207,T$310,FALSE)/8760</f>
        <v>4.1685785869904429E-2</v>
      </c>
      <c r="U320" s="180">
        <f>VLOOKUP($A320,'Key Inputs_BY Techs'!$B$198:$AJ$207,U$310,FALSE)/8760</f>
        <v>5.0682342606484215E-2</v>
      </c>
      <c r="V320" s="180">
        <f>VLOOKUP($A320,'Key Inputs_BY Techs'!$B$198:$AJ$207,V$310,FALSE)/8760</f>
        <v>5.807085407630011E-2</v>
      </c>
      <c r="W320" s="180">
        <f>VLOOKUP($A320,'Key Inputs_BY Techs'!$B$198:$AJ$207,W$310,FALSE)/8760</f>
        <v>4.1687877260716787E-2</v>
      </c>
      <c r="X320" s="180">
        <f>VLOOKUP($A320,'Key Inputs_BY Techs'!$B$198:$AJ$207,X$310,FALSE)/8760</f>
        <v>4.2884552320900708E-2</v>
      </c>
      <c r="Y320" s="180">
        <f>VLOOKUP($A320,'Key Inputs_BY Techs'!$B$198:$AJ$207,Y$310,FALSE)/8760</f>
        <v>4.1666666666666664E-2</v>
      </c>
      <c r="Z320" s="180">
        <f>VLOOKUP($A320,'Key Inputs_BY Techs'!$B$198:$AJ$207,Z$310,FALSE)/8760</f>
        <v>0.12925469986413698</v>
      </c>
      <c r="AA320" s="180">
        <f>VLOOKUP($A320,'Key Inputs_BY Techs'!$B$198:$AJ$207,AA$310,FALSE)/8760</f>
        <v>5.6018402502504346E-2</v>
      </c>
      <c r="AB320" s="180">
        <f>VLOOKUP($A320,'Key Inputs_BY Techs'!$B$198:$AJ$207,AB$310,FALSE)/8760</f>
        <v>8.0456212261297039E-2</v>
      </c>
      <c r="AC320" s="180">
        <f>VLOOKUP($A320,'Key Inputs_BY Techs'!$B$198:$AJ$207,AC$310,FALSE)/8760</f>
        <v>8.196249702811996E-2</v>
      </c>
      <c r="AD320" s="180">
        <f>VLOOKUP($A320,'Key Inputs_BY Techs'!$B$198:$AJ$207,AD$310,FALSE)/8760</f>
        <v>9.0560920532517131E-2</v>
      </c>
      <c r="AE320" s="180">
        <f>VLOOKUP($A320,'Key Inputs_BY Techs'!$B$198:$AJ$207,AE$310,FALSE)/8760</f>
        <v>7.7640907014416241E-2</v>
      </c>
      <c r="AF320" s="180">
        <f>VLOOKUP($A320,'Key Inputs_BY Techs'!$B$198:$AJ$207,AF$310,FALSE)/8760</f>
        <v>6.6864645901418843E-2</v>
      </c>
      <c r="AG320" s="180">
        <f>VLOOKUP($A320,'Key Inputs_BY Techs'!$B$198:$AJ$207,AG$310,FALSE)/8760</f>
        <v>6.6864645901418843E-2</v>
      </c>
      <c r="AH320" s="180">
        <f>VLOOKUP($A320,'Key Inputs_BY Techs'!$B$198:$AJ$207,AH$310,FALSE)/8760</f>
        <v>4.1666666666666664E-2</v>
      </c>
      <c r="AI320" s="180">
        <f>VLOOKUP($A320,'Key Inputs_BY Techs'!$B$198:$AJ$207,AI$310,FALSE)/8760</f>
        <v>4.1666666666666664E-2</v>
      </c>
      <c r="AJ320" s="180">
        <f>VLOOKUP($A320,'Key Inputs_BY Techs'!$B$198:$AJ$207,AJ$310,FALSE)/8760</f>
        <v>5.1477189103886295E-2</v>
      </c>
      <c r="AK320" s="180">
        <f>VLOOKUP($A320,'Key Inputs_BY Techs'!$B$198:$AJ$207,AK$310,FALSE)/8760</f>
        <v>4.1666666666666664E-2</v>
      </c>
      <c r="AL320" s="180">
        <f>VLOOKUP($A320,'Key Inputs_BY Techs'!$B$198:$AJ$207,AL$310,FALSE)/8760</f>
        <v>7.0781511423467725E-2</v>
      </c>
      <c r="AM320" s="180">
        <f>VLOOKUP($A320,'Key Inputs_BY Techs'!$B$198:$AJ$207,AM$310,FALSE)/8760</f>
        <v>4.1666666666666664E-2</v>
      </c>
      <c r="AN320" s="180">
        <f>VLOOKUP($A320,'Key Inputs_BY Techs'!$B$198:$AJ$207,AN$310,FALSE)/8760</f>
        <v>4.8525528371344114E-2</v>
      </c>
      <c r="AO320" s="180">
        <f>VLOOKUP($A320,'Key Inputs_BY Techs'!$B$198:$AJ$207,AO$310,FALSE)/8760</f>
        <v>4.1991055814934002E-2</v>
      </c>
      <c r="AP320" s="180">
        <f>VLOOKUP($A320,'Key Inputs_BY Techs'!$B$198:$AJ$207,AP$310,FALSE)/8760</f>
        <v>0.10573317089500424</v>
      </c>
      <c r="AQ320" s="180">
        <f>VLOOKUP($A320,'Key Inputs_BY Techs'!$B$198:$AJ$207,AQ$310,FALSE)/8760</f>
        <v>8.0437275857606058E-2</v>
      </c>
      <c r="AR320" s="180">
        <f>VLOOKUP($A320,'Key Inputs_BY Techs'!$B$198:$AJ$207,AR$310,FALSE)/8760</f>
        <v>6.6692438947101099E-2</v>
      </c>
      <c r="AS320" s="119"/>
      <c r="AT320" s="114"/>
      <c r="AV320" s="126"/>
      <c r="BF320" s="114"/>
      <c r="BG320" s="122"/>
      <c r="BH320" s="122"/>
    </row>
    <row r="321" spans="1:63" ht="15.75" x14ac:dyDescent="0.25">
      <c r="A321" s="245" t="str">
        <f t="shared" ref="A321:G330" si="41">A16</f>
        <v>Thermal uses</v>
      </c>
      <c r="B321" s="245" t="str">
        <f t="shared" si="41"/>
        <v>R-THL</v>
      </c>
      <c r="C321" s="245" t="str">
        <f t="shared" si="41"/>
        <v>Natural gas,Biogas</v>
      </c>
      <c r="D321" s="245" t="str">
        <f t="shared" si="41"/>
        <v>RSDGAS,RSDBGS,RSDH2B,RSDEFUM</v>
      </c>
      <c r="E321" s="249" t="str">
        <f t="shared" si="41"/>
        <v>RSDGAS</v>
      </c>
      <c r="F321" s="251" t="str">
        <f t="shared" si="41"/>
        <v>Boiler (Ord.)</v>
      </c>
      <c r="G321" s="250" t="str">
        <f t="shared" si="41"/>
        <v>01</v>
      </c>
      <c r="H321" s="250"/>
      <c r="I321" s="250"/>
      <c r="K321" s="201" t="str">
        <f>IF('Commodities &amp; Processes'!L$65="",'Commodities &amp; Processes'!K$65,'Commodities &amp; Processes'!L$65)</f>
        <v>R-THL-BLR_GAS01</v>
      </c>
      <c r="L321" s="109" t="str">
        <f>IF('Commodities &amp; Processes'!M$65="","",'Commodities &amp; Processes'!M$65)</f>
        <v>RSD Thermal uses technology: Natural gas,Biogas Boiler (Ord.) -New</v>
      </c>
      <c r="N321" s="113"/>
      <c r="O321" s="114" t="s">
        <v>313</v>
      </c>
      <c r="P321" s="120" t="s">
        <v>174</v>
      </c>
      <c r="Q321" s="180">
        <f>VLOOKUP($A321,'Key Inputs_BY Techs'!$B$198:$AJ$207,Q$310,FALSE)/8760</f>
        <v>4.5322895632501033E-2</v>
      </c>
      <c r="R321" s="180">
        <f>VLOOKUP($A321,'Key Inputs_BY Techs'!$B$198:$AJ$207,R$310,FALSE)/8760</f>
        <v>4.5047579105877276E-2</v>
      </c>
      <c r="S321" s="180">
        <f>VLOOKUP($A321,'Key Inputs_BY Techs'!$B$198:$AJ$207,S$310,FALSE)/8760</f>
        <v>4.1991055814934002E-2</v>
      </c>
      <c r="T321" s="180">
        <f>VLOOKUP($A321,'Key Inputs_BY Techs'!$B$198:$AJ$207,T$310,FALSE)/8760</f>
        <v>4.1685785869904429E-2</v>
      </c>
      <c r="U321" s="180">
        <f>VLOOKUP($A321,'Key Inputs_BY Techs'!$B$198:$AJ$207,U$310,FALSE)/8760</f>
        <v>5.0682342606484215E-2</v>
      </c>
      <c r="V321" s="180">
        <f>VLOOKUP($A321,'Key Inputs_BY Techs'!$B$198:$AJ$207,V$310,FALSE)/8760</f>
        <v>5.807085407630011E-2</v>
      </c>
      <c r="W321" s="180">
        <f>VLOOKUP($A321,'Key Inputs_BY Techs'!$B$198:$AJ$207,W$310,FALSE)/8760</f>
        <v>4.1687877260716787E-2</v>
      </c>
      <c r="X321" s="180">
        <f>VLOOKUP($A321,'Key Inputs_BY Techs'!$B$198:$AJ$207,X$310,FALSE)/8760</f>
        <v>4.2884552320900708E-2</v>
      </c>
      <c r="Y321" s="180">
        <f>VLOOKUP($A321,'Key Inputs_BY Techs'!$B$198:$AJ$207,Y$310,FALSE)/8760</f>
        <v>4.1666666666666664E-2</v>
      </c>
      <c r="Z321" s="180">
        <f>VLOOKUP($A321,'Key Inputs_BY Techs'!$B$198:$AJ$207,Z$310,FALSE)/8760</f>
        <v>0.12925469986413698</v>
      </c>
      <c r="AA321" s="180">
        <f>VLOOKUP($A321,'Key Inputs_BY Techs'!$B$198:$AJ$207,AA$310,FALSE)/8760</f>
        <v>5.6018402502504346E-2</v>
      </c>
      <c r="AB321" s="180">
        <f>VLOOKUP($A321,'Key Inputs_BY Techs'!$B$198:$AJ$207,AB$310,FALSE)/8760</f>
        <v>8.0456212261297039E-2</v>
      </c>
      <c r="AC321" s="180">
        <f>VLOOKUP($A321,'Key Inputs_BY Techs'!$B$198:$AJ$207,AC$310,FALSE)/8760</f>
        <v>8.196249702811996E-2</v>
      </c>
      <c r="AD321" s="180">
        <f>VLOOKUP($A321,'Key Inputs_BY Techs'!$B$198:$AJ$207,AD$310,FALSE)/8760</f>
        <v>9.0560920532517131E-2</v>
      </c>
      <c r="AE321" s="180">
        <f>VLOOKUP($A321,'Key Inputs_BY Techs'!$B$198:$AJ$207,AE$310,FALSE)/8760</f>
        <v>7.7640907014416241E-2</v>
      </c>
      <c r="AF321" s="180">
        <f>VLOOKUP($A321,'Key Inputs_BY Techs'!$B$198:$AJ$207,AF$310,FALSE)/8760</f>
        <v>6.6864645901418843E-2</v>
      </c>
      <c r="AG321" s="180">
        <f>VLOOKUP($A321,'Key Inputs_BY Techs'!$B$198:$AJ$207,AG$310,FALSE)/8760</f>
        <v>6.6864645901418843E-2</v>
      </c>
      <c r="AH321" s="180">
        <f>VLOOKUP($A321,'Key Inputs_BY Techs'!$B$198:$AJ$207,AH$310,FALSE)/8760</f>
        <v>4.1666666666666664E-2</v>
      </c>
      <c r="AI321" s="180">
        <f>VLOOKUP($A321,'Key Inputs_BY Techs'!$B$198:$AJ$207,AI$310,FALSE)/8760</f>
        <v>4.1666666666666664E-2</v>
      </c>
      <c r="AJ321" s="180">
        <f>VLOOKUP($A321,'Key Inputs_BY Techs'!$B$198:$AJ$207,AJ$310,FALSE)/8760</f>
        <v>5.1477189103886295E-2</v>
      </c>
      <c r="AK321" s="180">
        <f>VLOOKUP($A321,'Key Inputs_BY Techs'!$B$198:$AJ$207,AK$310,FALSE)/8760</f>
        <v>4.1666666666666664E-2</v>
      </c>
      <c r="AL321" s="180">
        <f>VLOOKUP($A321,'Key Inputs_BY Techs'!$B$198:$AJ$207,AL$310,FALSE)/8760</f>
        <v>7.0781511423467725E-2</v>
      </c>
      <c r="AM321" s="180">
        <f>VLOOKUP($A321,'Key Inputs_BY Techs'!$B$198:$AJ$207,AM$310,FALSE)/8760</f>
        <v>4.1666666666666664E-2</v>
      </c>
      <c r="AN321" s="180">
        <f>VLOOKUP($A321,'Key Inputs_BY Techs'!$B$198:$AJ$207,AN$310,FALSE)/8760</f>
        <v>4.8525528371344114E-2</v>
      </c>
      <c r="AO321" s="180">
        <f>VLOOKUP($A321,'Key Inputs_BY Techs'!$B$198:$AJ$207,AO$310,FALSE)/8760</f>
        <v>4.1991055814934002E-2</v>
      </c>
      <c r="AP321" s="180">
        <f>VLOOKUP($A321,'Key Inputs_BY Techs'!$B$198:$AJ$207,AP$310,FALSE)/8760</f>
        <v>0.10573317089500424</v>
      </c>
      <c r="AQ321" s="180">
        <f>VLOOKUP($A321,'Key Inputs_BY Techs'!$B$198:$AJ$207,AQ$310,FALSE)/8760</f>
        <v>8.0437275857606058E-2</v>
      </c>
      <c r="AR321" s="180">
        <f>VLOOKUP($A321,'Key Inputs_BY Techs'!$B$198:$AJ$207,AR$310,FALSE)/8760</f>
        <v>6.6692438947101099E-2</v>
      </c>
      <c r="AS321" s="119"/>
      <c r="AT321" s="114"/>
      <c r="AV321" s="126"/>
      <c r="BF321" s="114"/>
      <c r="BG321" s="122"/>
      <c r="BH321" s="122"/>
    </row>
    <row r="322" spans="1:63" ht="15.75" x14ac:dyDescent="0.25">
      <c r="A322" s="245" t="str">
        <f t="shared" si="41"/>
        <v>Thermal uses</v>
      </c>
      <c r="B322" s="245" t="str">
        <f t="shared" si="41"/>
        <v>R-THL</v>
      </c>
      <c r="C322" s="245" t="str">
        <f t="shared" si="41"/>
        <v>Natural gas,Biogas</v>
      </c>
      <c r="D322" s="245" t="str">
        <f t="shared" si="41"/>
        <v>RSDGAS,RSDBGS,RSDH2B,RSDEFUM</v>
      </c>
      <c r="E322" s="249" t="str">
        <f t="shared" si="41"/>
        <v>RSDGAS</v>
      </c>
      <c r="F322" s="251" t="str">
        <f t="shared" si="41"/>
        <v>Boiler cond. (Ord.)</v>
      </c>
      <c r="G322" s="250" t="str">
        <f t="shared" si="41"/>
        <v>02</v>
      </c>
      <c r="H322" s="250"/>
      <c r="I322" s="250"/>
      <c r="K322" s="201" t="str">
        <f>IF('Commodities &amp; Processes'!L$66="",'Commodities &amp; Processes'!K$66,'Commodities &amp; Processes'!L$66)</f>
        <v>R-THL-BLR_GAS02</v>
      </c>
      <c r="L322" s="109" t="str">
        <f>IF('Commodities &amp; Processes'!M$66="","",'Commodities &amp; Processes'!M$66)</f>
        <v>RSD Thermal uses technology: Natural gas,Biogas Boiler cond. (Ord.) -New</v>
      </c>
      <c r="N322" s="113"/>
      <c r="O322" s="114" t="s">
        <v>313</v>
      </c>
      <c r="P322" s="120" t="s">
        <v>174</v>
      </c>
      <c r="Q322" s="180">
        <f>VLOOKUP($A322,'Key Inputs_BY Techs'!$B$198:$AJ$207,Q$310,FALSE)/8760</f>
        <v>4.5322895632501033E-2</v>
      </c>
      <c r="R322" s="180">
        <f>VLOOKUP($A322,'Key Inputs_BY Techs'!$B$198:$AJ$207,R$310,FALSE)/8760</f>
        <v>4.5047579105877276E-2</v>
      </c>
      <c r="S322" s="180">
        <f>VLOOKUP($A322,'Key Inputs_BY Techs'!$B$198:$AJ$207,S$310,FALSE)/8760</f>
        <v>4.1991055814934002E-2</v>
      </c>
      <c r="T322" s="180">
        <f>VLOOKUP($A322,'Key Inputs_BY Techs'!$B$198:$AJ$207,T$310,FALSE)/8760</f>
        <v>4.1685785869904429E-2</v>
      </c>
      <c r="U322" s="180">
        <f>VLOOKUP($A322,'Key Inputs_BY Techs'!$B$198:$AJ$207,U$310,FALSE)/8760</f>
        <v>5.0682342606484215E-2</v>
      </c>
      <c r="V322" s="180">
        <f>VLOOKUP($A322,'Key Inputs_BY Techs'!$B$198:$AJ$207,V$310,FALSE)/8760</f>
        <v>5.807085407630011E-2</v>
      </c>
      <c r="W322" s="180">
        <f>VLOOKUP($A322,'Key Inputs_BY Techs'!$B$198:$AJ$207,W$310,FALSE)/8760</f>
        <v>4.1687877260716787E-2</v>
      </c>
      <c r="X322" s="180">
        <f>VLOOKUP($A322,'Key Inputs_BY Techs'!$B$198:$AJ$207,X$310,FALSE)/8760</f>
        <v>4.2884552320900708E-2</v>
      </c>
      <c r="Y322" s="180">
        <f>VLOOKUP($A322,'Key Inputs_BY Techs'!$B$198:$AJ$207,Y$310,FALSE)/8760</f>
        <v>4.1666666666666664E-2</v>
      </c>
      <c r="Z322" s="180">
        <f>VLOOKUP($A322,'Key Inputs_BY Techs'!$B$198:$AJ$207,Z$310,FALSE)/8760</f>
        <v>0.12925469986413698</v>
      </c>
      <c r="AA322" s="180">
        <f>VLOOKUP($A322,'Key Inputs_BY Techs'!$B$198:$AJ$207,AA$310,FALSE)/8760</f>
        <v>5.6018402502504346E-2</v>
      </c>
      <c r="AB322" s="180">
        <f>VLOOKUP($A322,'Key Inputs_BY Techs'!$B$198:$AJ$207,AB$310,FALSE)/8760</f>
        <v>8.0456212261297039E-2</v>
      </c>
      <c r="AC322" s="180">
        <f>VLOOKUP($A322,'Key Inputs_BY Techs'!$B$198:$AJ$207,AC$310,FALSE)/8760</f>
        <v>8.196249702811996E-2</v>
      </c>
      <c r="AD322" s="180">
        <f>VLOOKUP($A322,'Key Inputs_BY Techs'!$B$198:$AJ$207,AD$310,FALSE)/8760</f>
        <v>9.0560920532517131E-2</v>
      </c>
      <c r="AE322" s="180">
        <f>VLOOKUP($A322,'Key Inputs_BY Techs'!$B$198:$AJ$207,AE$310,FALSE)/8760</f>
        <v>7.7640907014416241E-2</v>
      </c>
      <c r="AF322" s="180">
        <f>VLOOKUP($A322,'Key Inputs_BY Techs'!$B$198:$AJ$207,AF$310,FALSE)/8760</f>
        <v>6.6864645901418843E-2</v>
      </c>
      <c r="AG322" s="180">
        <f>VLOOKUP($A322,'Key Inputs_BY Techs'!$B$198:$AJ$207,AG$310,FALSE)/8760</f>
        <v>6.6864645901418843E-2</v>
      </c>
      <c r="AH322" s="180">
        <f>VLOOKUP($A322,'Key Inputs_BY Techs'!$B$198:$AJ$207,AH$310,FALSE)/8760</f>
        <v>4.1666666666666664E-2</v>
      </c>
      <c r="AI322" s="180">
        <f>VLOOKUP($A322,'Key Inputs_BY Techs'!$B$198:$AJ$207,AI$310,FALSE)/8760</f>
        <v>4.1666666666666664E-2</v>
      </c>
      <c r="AJ322" s="180">
        <f>VLOOKUP($A322,'Key Inputs_BY Techs'!$B$198:$AJ$207,AJ$310,FALSE)/8760</f>
        <v>5.1477189103886295E-2</v>
      </c>
      <c r="AK322" s="180">
        <f>VLOOKUP($A322,'Key Inputs_BY Techs'!$B$198:$AJ$207,AK$310,FALSE)/8760</f>
        <v>4.1666666666666664E-2</v>
      </c>
      <c r="AL322" s="180">
        <f>VLOOKUP($A322,'Key Inputs_BY Techs'!$B$198:$AJ$207,AL$310,FALSE)/8760</f>
        <v>7.0781511423467725E-2</v>
      </c>
      <c r="AM322" s="180">
        <f>VLOOKUP($A322,'Key Inputs_BY Techs'!$B$198:$AJ$207,AM$310,FALSE)/8760</f>
        <v>4.1666666666666664E-2</v>
      </c>
      <c r="AN322" s="180">
        <f>VLOOKUP($A322,'Key Inputs_BY Techs'!$B$198:$AJ$207,AN$310,FALSE)/8760</f>
        <v>4.8525528371344114E-2</v>
      </c>
      <c r="AO322" s="180">
        <f>VLOOKUP($A322,'Key Inputs_BY Techs'!$B$198:$AJ$207,AO$310,FALSE)/8760</f>
        <v>4.1991055814934002E-2</v>
      </c>
      <c r="AP322" s="180">
        <f>VLOOKUP($A322,'Key Inputs_BY Techs'!$B$198:$AJ$207,AP$310,FALSE)/8760</f>
        <v>0.10573317089500424</v>
      </c>
      <c r="AQ322" s="180">
        <f>VLOOKUP($A322,'Key Inputs_BY Techs'!$B$198:$AJ$207,AQ$310,FALSE)/8760</f>
        <v>8.0437275857606058E-2</v>
      </c>
      <c r="AR322" s="180">
        <f>VLOOKUP($A322,'Key Inputs_BY Techs'!$B$198:$AJ$207,AR$310,FALSE)/8760</f>
        <v>6.6692438947101099E-2</v>
      </c>
      <c r="AS322" s="119"/>
      <c r="AT322" s="114"/>
      <c r="AV322" s="126"/>
      <c r="BF322" s="114"/>
      <c r="BG322" s="122"/>
      <c r="BH322" s="122"/>
    </row>
    <row r="323" spans="1:63" ht="15.75" x14ac:dyDescent="0.25">
      <c r="A323" s="245" t="str">
        <f t="shared" si="41"/>
        <v>Thermal uses</v>
      </c>
      <c r="B323" s="245" t="str">
        <f t="shared" si="41"/>
        <v>R-THL</v>
      </c>
      <c r="C323" s="245" t="str">
        <f t="shared" si="41"/>
        <v>Natural gas,Biogas</v>
      </c>
      <c r="D323" s="245" t="str">
        <f t="shared" si="41"/>
        <v>RSDGAS,RSDBGS,RSDH2B,RSDEFUM</v>
      </c>
      <c r="E323" s="249" t="str">
        <f t="shared" si="41"/>
        <v>RSDGAS</v>
      </c>
      <c r="F323" s="251" t="str">
        <f t="shared" si="41"/>
        <v>Boiler (Imp.)</v>
      </c>
      <c r="G323" s="250" t="str">
        <f t="shared" si="41"/>
        <v>03</v>
      </c>
      <c r="H323" s="250"/>
      <c r="I323" s="250"/>
      <c r="K323" s="201" t="str">
        <f>IF('Commodities &amp; Processes'!L$67="",'Commodities &amp; Processes'!K$67,'Commodities &amp; Processes'!L$67)</f>
        <v>R-THL-BLR_GAS03</v>
      </c>
      <c r="L323" s="109" t="str">
        <f>IF('Commodities &amp; Processes'!M$67="","",'Commodities &amp; Processes'!M$67)</f>
        <v>RSD Thermal uses technology: Natural gas,Biogas Boiler (Imp.) -New</v>
      </c>
      <c r="N323" s="113"/>
      <c r="O323" s="114" t="s">
        <v>313</v>
      </c>
      <c r="P323" s="120" t="s">
        <v>174</v>
      </c>
      <c r="Q323" s="180">
        <f>VLOOKUP($A323,'Key Inputs_BY Techs'!$B$198:$AJ$207,Q$310,FALSE)/8760</f>
        <v>4.5322895632501033E-2</v>
      </c>
      <c r="R323" s="180">
        <f>VLOOKUP($A323,'Key Inputs_BY Techs'!$B$198:$AJ$207,R$310,FALSE)/8760</f>
        <v>4.5047579105877276E-2</v>
      </c>
      <c r="S323" s="180">
        <f>VLOOKUP($A323,'Key Inputs_BY Techs'!$B$198:$AJ$207,S$310,FALSE)/8760</f>
        <v>4.1991055814934002E-2</v>
      </c>
      <c r="T323" s="180">
        <f>VLOOKUP($A323,'Key Inputs_BY Techs'!$B$198:$AJ$207,T$310,FALSE)/8760</f>
        <v>4.1685785869904429E-2</v>
      </c>
      <c r="U323" s="180">
        <f>VLOOKUP($A323,'Key Inputs_BY Techs'!$B$198:$AJ$207,U$310,FALSE)/8760</f>
        <v>5.0682342606484215E-2</v>
      </c>
      <c r="V323" s="180">
        <f>VLOOKUP($A323,'Key Inputs_BY Techs'!$B$198:$AJ$207,V$310,FALSE)/8760</f>
        <v>5.807085407630011E-2</v>
      </c>
      <c r="W323" s="180">
        <f>VLOOKUP($A323,'Key Inputs_BY Techs'!$B$198:$AJ$207,W$310,FALSE)/8760</f>
        <v>4.1687877260716787E-2</v>
      </c>
      <c r="X323" s="180">
        <f>VLOOKUP($A323,'Key Inputs_BY Techs'!$B$198:$AJ$207,X$310,FALSE)/8760</f>
        <v>4.2884552320900708E-2</v>
      </c>
      <c r="Y323" s="180">
        <f>VLOOKUP($A323,'Key Inputs_BY Techs'!$B$198:$AJ$207,Y$310,FALSE)/8760</f>
        <v>4.1666666666666664E-2</v>
      </c>
      <c r="Z323" s="180">
        <f>VLOOKUP($A323,'Key Inputs_BY Techs'!$B$198:$AJ$207,Z$310,FALSE)/8760</f>
        <v>0.12925469986413698</v>
      </c>
      <c r="AA323" s="180">
        <f>VLOOKUP($A323,'Key Inputs_BY Techs'!$B$198:$AJ$207,AA$310,FALSE)/8760</f>
        <v>5.6018402502504346E-2</v>
      </c>
      <c r="AB323" s="180">
        <f>VLOOKUP($A323,'Key Inputs_BY Techs'!$B$198:$AJ$207,AB$310,FALSE)/8760</f>
        <v>8.0456212261297039E-2</v>
      </c>
      <c r="AC323" s="180">
        <f>VLOOKUP($A323,'Key Inputs_BY Techs'!$B$198:$AJ$207,AC$310,FALSE)/8760</f>
        <v>8.196249702811996E-2</v>
      </c>
      <c r="AD323" s="180">
        <f>VLOOKUP($A323,'Key Inputs_BY Techs'!$B$198:$AJ$207,AD$310,FALSE)/8760</f>
        <v>9.0560920532517131E-2</v>
      </c>
      <c r="AE323" s="180">
        <f>VLOOKUP($A323,'Key Inputs_BY Techs'!$B$198:$AJ$207,AE$310,FALSE)/8760</f>
        <v>7.7640907014416241E-2</v>
      </c>
      <c r="AF323" s="180">
        <f>VLOOKUP($A323,'Key Inputs_BY Techs'!$B$198:$AJ$207,AF$310,FALSE)/8760</f>
        <v>6.6864645901418843E-2</v>
      </c>
      <c r="AG323" s="180">
        <f>VLOOKUP($A323,'Key Inputs_BY Techs'!$B$198:$AJ$207,AG$310,FALSE)/8760</f>
        <v>6.6864645901418843E-2</v>
      </c>
      <c r="AH323" s="180">
        <f>VLOOKUP($A323,'Key Inputs_BY Techs'!$B$198:$AJ$207,AH$310,FALSE)/8760</f>
        <v>4.1666666666666664E-2</v>
      </c>
      <c r="AI323" s="180">
        <f>VLOOKUP($A323,'Key Inputs_BY Techs'!$B$198:$AJ$207,AI$310,FALSE)/8760</f>
        <v>4.1666666666666664E-2</v>
      </c>
      <c r="AJ323" s="180">
        <f>VLOOKUP($A323,'Key Inputs_BY Techs'!$B$198:$AJ$207,AJ$310,FALSE)/8760</f>
        <v>5.1477189103886295E-2</v>
      </c>
      <c r="AK323" s="180">
        <f>VLOOKUP($A323,'Key Inputs_BY Techs'!$B$198:$AJ$207,AK$310,FALSE)/8760</f>
        <v>4.1666666666666664E-2</v>
      </c>
      <c r="AL323" s="180">
        <f>VLOOKUP($A323,'Key Inputs_BY Techs'!$B$198:$AJ$207,AL$310,FALSE)/8760</f>
        <v>7.0781511423467725E-2</v>
      </c>
      <c r="AM323" s="180">
        <f>VLOOKUP($A323,'Key Inputs_BY Techs'!$B$198:$AJ$207,AM$310,FALSE)/8760</f>
        <v>4.1666666666666664E-2</v>
      </c>
      <c r="AN323" s="180">
        <f>VLOOKUP($A323,'Key Inputs_BY Techs'!$B$198:$AJ$207,AN$310,FALSE)/8760</f>
        <v>4.8525528371344114E-2</v>
      </c>
      <c r="AO323" s="180">
        <f>VLOOKUP($A323,'Key Inputs_BY Techs'!$B$198:$AJ$207,AO$310,FALSE)/8760</f>
        <v>4.1991055814934002E-2</v>
      </c>
      <c r="AP323" s="180">
        <f>VLOOKUP($A323,'Key Inputs_BY Techs'!$B$198:$AJ$207,AP$310,FALSE)/8760</f>
        <v>0.10573317089500424</v>
      </c>
      <c r="AQ323" s="180">
        <f>VLOOKUP($A323,'Key Inputs_BY Techs'!$B$198:$AJ$207,AQ$310,FALSE)/8760</f>
        <v>8.0437275857606058E-2</v>
      </c>
      <c r="AR323" s="180">
        <f>VLOOKUP($A323,'Key Inputs_BY Techs'!$B$198:$AJ$207,AR$310,FALSE)/8760</f>
        <v>6.6692438947101099E-2</v>
      </c>
      <c r="AS323" s="119"/>
      <c r="AT323" s="114"/>
      <c r="AV323" s="126"/>
      <c r="BF323" s="114"/>
      <c r="BG323" s="122"/>
      <c r="BH323" s="122"/>
    </row>
    <row r="324" spans="1:63" ht="15.75" x14ac:dyDescent="0.25">
      <c r="A324" s="245" t="str">
        <f t="shared" si="41"/>
        <v>Thermal uses</v>
      </c>
      <c r="B324" s="245" t="str">
        <f t="shared" si="41"/>
        <v>R-THL</v>
      </c>
      <c r="C324" s="245" t="str">
        <f t="shared" si="41"/>
        <v>Natural gas,Biogas</v>
      </c>
      <c r="D324" s="245" t="str">
        <f t="shared" si="41"/>
        <v>RSDGAS,RSDBGS,RSDH2B,RSDEFUM</v>
      </c>
      <c r="E324" s="249" t="str">
        <f t="shared" si="41"/>
        <v>RSDGAS</v>
      </c>
      <c r="F324" s="251" t="str">
        <f t="shared" si="41"/>
        <v>Boiler cond. (Imp.)</v>
      </c>
      <c r="G324" s="250" t="str">
        <f t="shared" si="41"/>
        <v>04</v>
      </c>
      <c r="H324" s="250"/>
      <c r="I324" s="250"/>
      <c r="K324" s="201" t="str">
        <f>IF('Commodities &amp; Processes'!L$68="",'Commodities &amp; Processes'!K$68,'Commodities &amp; Processes'!L$68)</f>
        <v>R-THL-BLR_GAS04</v>
      </c>
      <c r="L324" s="109" t="str">
        <f>IF('Commodities &amp; Processes'!M$68="",'Commodities &amp; Processes'!L$68,'Commodities &amp; Processes'!M$68)</f>
        <v>RSD Thermal uses technology: Natural gas,Biogas Boiler cond. (Imp.) -New</v>
      </c>
      <c r="N324" s="113"/>
      <c r="O324" s="114" t="s">
        <v>313</v>
      </c>
      <c r="P324" s="120" t="s">
        <v>174</v>
      </c>
      <c r="Q324" s="180">
        <f>VLOOKUP($A324,'Key Inputs_BY Techs'!$B$198:$AJ$207,Q$310,FALSE)/8760</f>
        <v>4.5322895632501033E-2</v>
      </c>
      <c r="R324" s="180">
        <f>VLOOKUP($A324,'Key Inputs_BY Techs'!$B$198:$AJ$207,R$310,FALSE)/8760</f>
        <v>4.5047579105877276E-2</v>
      </c>
      <c r="S324" s="180">
        <f>VLOOKUP($A324,'Key Inputs_BY Techs'!$B$198:$AJ$207,S$310,FALSE)/8760</f>
        <v>4.1991055814934002E-2</v>
      </c>
      <c r="T324" s="180">
        <f>VLOOKUP($A324,'Key Inputs_BY Techs'!$B$198:$AJ$207,T$310,FALSE)/8760</f>
        <v>4.1685785869904429E-2</v>
      </c>
      <c r="U324" s="180">
        <f>VLOOKUP($A324,'Key Inputs_BY Techs'!$B$198:$AJ$207,U$310,FALSE)/8760</f>
        <v>5.0682342606484215E-2</v>
      </c>
      <c r="V324" s="180">
        <f>VLOOKUP($A324,'Key Inputs_BY Techs'!$B$198:$AJ$207,V$310,FALSE)/8760</f>
        <v>5.807085407630011E-2</v>
      </c>
      <c r="W324" s="180">
        <f>VLOOKUP($A324,'Key Inputs_BY Techs'!$B$198:$AJ$207,W$310,FALSE)/8760</f>
        <v>4.1687877260716787E-2</v>
      </c>
      <c r="X324" s="180">
        <f>VLOOKUP($A324,'Key Inputs_BY Techs'!$B$198:$AJ$207,X$310,FALSE)/8760</f>
        <v>4.2884552320900708E-2</v>
      </c>
      <c r="Y324" s="180">
        <f>VLOOKUP($A324,'Key Inputs_BY Techs'!$B$198:$AJ$207,Y$310,FALSE)/8760</f>
        <v>4.1666666666666664E-2</v>
      </c>
      <c r="Z324" s="180">
        <f>VLOOKUP($A324,'Key Inputs_BY Techs'!$B$198:$AJ$207,Z$310,FALSE)/8760</f>
        <v>0.12925469986413698</v>
      </c>
      <c r="AA324" s="180">
        <f>VLOOKUP($A324,'Key Inputs_BY Techs'!$B$198:$AJ$207,AA$310,FALSE)/8760</f>
        <v>5.6018402502504346E-2</v>
      </c>
      <c r="AB324" s="180">
        <f>VLOOKUP($A324,'Key Inputs_BY Techs'!$B$198:$AJ$207,AB$310,FALSE)/8760</f>
        <v>8.0456212261297039E-2</v>
      </c>
      <c r="AC324" s="180">
        <f>VLOOKUP($A324,'Key Inputs_BY Techs'!$B$198:$AJ$207,AC$310,FALSE)/8760</f>
        <v>8.196249702811996E-2</v>
      </c>
      <c r="AD324" s="180">
        <f>VLOOKUP($A324,'Key Inputs_BY Techs'!$B$198:$AJ$207,AD$310,FALSE)/8760</f>
        <v>9.0560920532517131E-2</v>
      </c>
      <c r="AE324" s="180">
        <f>VLOOKUP($A324,'Key Inputs_BY Techs'!$B$198:$AJ$207,AE$310,FALSE)/8760</f>
        <v>7.7640907014416241E-2</v>
      </c>
      <c r="AF324" s="180">
        <f>VLOOKUP($A324,'Key Inputs_BY Techs'!$B$198:$AJ$207,AF$310,FALSE)/8760</f>
        <v>6.6864645901418843E-2</v>
      </c>
      <c r="AG324" s="180">
        <f>VLOOKUP($A324,'Key Inputs_BY Techs'!$B$198:$AJ$207,AG$310,FALSE)/8760</f>
        <v>6.6864645901418843E-2</v>
      </c>
      <c r="AH324" s="180">
        <f>VLOOKUP($A324,'Key Inputs_BY Techs'!$B$198:$AJ$207,AH$310,FALSE)/8760</f>
        <v>4.1666666666666664E-2</v>
      </c>
      <c r="AI324" s="180">
        <f>VLOOKUP($A324,'Key Inputs_BY Techs'!$B$198:$AJ$207,AI$310,FALSE)/8760</f>
        <v>4.1666666666666664E-2</v>
      </c>
      <c r="AJ324" s="180">
        <f>VLOOKUP($A324,'Key Inputs_BY Techs'!$B$198:$AJ$207,AJ$310,FALSE)/8760</f>
        <v>5.1477189103886295E-2</v>
      </c>
      <c r="AK324" s="180">
        <f>VLOOKUP($A324,'Key Inputs_BY Techs'!$B$198:$AJ$207,AK$310,FALSE)/8760</f>
        <v>4.1666666666666664E-2</v>
      </c>
      <c r="AL324" s="180">
        <f>VLOOKUP($A324,'Key Inputs_BY Techs'!$B$198:$AJ$207,AL$310,FALSE)/8760</f>
        <v>7.0781511423467725E-2</v>
      </c>
      <c r="AM324" s="180">
        <f>VLOOKUP($A324,'Key Inputs_BY Techs'!$B$198:$AJ$207,AM$310,FALSE)/8760</f>
        <v>4.1666666666666664E-2</v>
      </c>
      <c r="AN324" s="180">
        <f>VLOOKUP($A324,'Key Inputs_BY Techs'!$B$198:$AJ$207,AN$310,FALSE)/8760</f>
        <v>4.8525528371344114E-2</v>
      </c>
      <c r="AO324" s="180">
        <f>VLOOKUP($A324,'Key Inputs_BY Techs'!$B$198:$AJ$207,AO$310,FALSE)/8760</f>
        <v>4.1991055814934002E-2</v>
      </c>
      <c r="AP324" s="180">
        <f>VLOOKUP($A324,'Key Inputs_BY Techs'!$B$198:$AJ$207,AP$310,FALSE)/8760</f>
        <v>0.10573317089500424</v>
      </c>
      <c r="AQ324" s="180">
        <f>VLOOKUP($A324,'Key Inputs_BY Techs'!$B$198:$AJ$207,AQ$310,FALSE)/8760</f>
        <v>8.0437275857606058E-2</v>
      </c>
      <c r="AR324" s="180">
        <f>VLOOKUP($A324,'Key Inputs_BY Techs'!$B$198:$AJ$207,AR$310,FALSE)/8760</f>
        <v>6.6692438947101099E-2</v>
      </c>
      <c r="AS324" s="119"/>
      <c r="AT324" s="114"/>
      <c r="AV324" s="126"/>
      <c r="BF324" s="114"/>
      <c r="BG324" s="122"/>
      <c r="BH324" s="122"/>
    </row>
    <row r="325" spans="1:63" ht="15.75" x14ac:dyDescent="0.25">
      <c r="A325" s="245" t="str">
        <f t="shared" si="41"/>
        <v>Thermal uses</v>
      </c>
      <c r="B325" s="245" t="str">
        <f t="shared" si="41"/>
        <v>R-THL</v>
      </c>
      <c r="C325" s="245" t="str">
        <f t="shared" si="41"/>
        <v>Natural gas,Biogas</v>
      </c>
      <c r="D325" s="245" t="str">
        <f t="shared" si="41"/>
        <v>RSDGAS,RSDBGS,RSDH2B,RSDEFUM</v>
      </c>
      <c r="E325" s="249" t="str">
        <f t="shared" si="41"/>
        <v>RSDGAS</v>
      </c>
      <c r="F325" s="252" t="str">
        <f t="shared" si="41"/>
        <v>Heat Pump (Ord.)</v>
      </c>
      <c r="G325" s="250" t="str">
        <f t="shared" si="41"/>
        <v>05</v>
      </c>
      <c r="H325" s="250"/>
      <c r="I325" s="250"/>
      <c r="K325" s="201" t="str">
        <f>IF('Commodities &amp; Processes'!L$69="",'Commodities &amp; Processes'!K$69,'Commodities &amp; Processes'!L$69)</f>
        <v>R-THL-HPA_GAS05</v>
      </c>
      <c r="L325" s="109" t="str">
        <f>IF('Commodities &amp; Processes'!M$69="","",'Commodities &amp; Processes'!M$69)</f>
        <v>RSD Thermal uses technology: Natural gas,Biogas Heat Pump (Ord.) -New</v>
      </c>
      <c r="N325" s="113"/>
      <c r="O325" s="114" t="s">
        <v>313</v>
      </c>
      <c r="P325" s="120" t="s">
        <v>174</v>
      </c>
      <c r="Q325" s="180">
        <f>VLOOKUP($A325,'Key Inputs_BY Techs'!$B$198:$AJ$207,Q$310,FALSE)/8760</f>
        <v>4.5322895632501033E-2</v>
      </c>
      <c r="R325" s="180">
        <f>VLOOKUP($A325,'Key Inputs_BY Techs'!$B$198:$AJ$207,R$310,FALSE)/8760</f>
        <v>4.5047579105877276E-2</v>
      </c>
      <c r="S325" s="180">
        <f>VLOOKUP($A325,'Key Inputs_BY Techs'!$B$198:$AJ$207,S$310,FALSE)/8760</f>
        <v>4.1991055814934002E-2</v>
      </c>
      <c r="T325" s="180">
        <f>VLOOKUP($A325,'Key Inputs_BY Techs'!$B$198:$AJ$207,T$310,FALSE)/8760</f>
        <v>4.1685785869904429E-2</v>
      </c>
      <c r="U325" s="180">
        <f>VLOOKUP($A325,'Key Inputs_BY Techs'!$B$198:$AJ$207,U$310,FALSE)/8760</f>
        <v>5.0682342606484215E-2</v>
      </c>
      <c r="V325" s="180">
        <f>VLOOKUP($A325,'Key Inputs_BY Techs'!$B$198:$AJ$207,V$310,FALSE)/8760</f>
        <v>5.807085407630011E-2</v>
      </c>
      <c r="W325" s="180">
        <f>VLOOKUP($A325,'Key Inputs_BY Techs'!$B$198:$AJ$207,W$310,FALSE)/8760</f>
        <v>4.1687877260716787E-2</v>
      </c>
      <c r="X325" s="180">
        <f>VLOOKUP($A325,'Key Inputs_BY Techs'!$B$198:$AJ$207,X$310,FALSE)/8760</f>
        <v>4.2884552320900708E-2</v>
      </c>
      <c r="Y325" s="180">
        <f>VLOOKUP($A325,'Key Inputs_BY Techs'!$B$198:$AJ$207,Y$310,FALSE)/8760</f>
        <v>4.1666666666666664E-2</v>
      </c>
      <c r="Z325" s="180">
        <f>VLOOKUP($A325,'Key Inputs_BY Techs'!$B$198:$AJ$207,Z$310,FALSE)/8760</f>
        <v>0.12925469986413698</v>
      </c>
      <c r="AA325" s="180">
        <f>VLOOKUP($A325,'Key Inputs_BY Techs'!$B$198:$AJ$207,AA$310,FALSE)/8760</f>
        <v>5.6018402502504346E-2</v>
      </c>
      <c r="AB325" s="180">
        <f>VLOOKUP($A325,'Key Inputs_BY Techs'!$B$198:$AJ$207,AB$310,FALSE)/8760</f>
        <v>8.0456212261297039E-2</v>
      </c>
      <c r="AC325" s="180">
        <f>VLOOKUP($A325,'Key Inputs_BY Techs'!$B$198:$AJ$207,AC$310,FALSE)/8760</f>
        <v>8.196249702811996E-2</v>
      </c>
      <c r="AD325" s="180">
        <f>VLOOKUP($A325,'Key Inputs_BY Techs'!$B$198:$AJ$207,AD$310,FALSE)/8760</f>
        <v>9.0560920532517131E-2</v>
      </c>
      <c r="AE325" s="180">
        <f>VLOOKUP($A325,'Key Inputs_BY Techs'!$B$198:$AJ$207,AE$310,FALSE)/8760</f>
        <v>7.7640907014416241E-2</v>
      </c>
      <c r="AF325" s="180">
        <f>VLOOKUP($A325,'Key Inputs_BY Techs'!$B$198:$AJ$207,AF$310,FALSE)/8760</f>
        <v>6.6864645901418843E-2</v>
      </c>
      <c r="AG325" s="180">
        <f>VLOOKUP($A325,'Key Inputs_BY Techs'!$B$198:$AJ$207,AG$310,FALSE)/8760</f>
        <v>6.6864645901418843E-2</v>
      </c>
      <c r="AH325" s="180">
        <f>VLOOKUP($A325,'Key Inputs_BY Techs'!$B$198:$AJ$207,AH$310,FALSE)/8760</f>
        <v>4.1666666666666664E-2</v>
      </c>
      <c r="AI325" s="180">
        <f>VLOOKUP($A325,'Key Inputs_BY Techs'!$B$198:$AJ$207,AI$310,FALSE)/8760</f>
        <v>4.1666666666666664E-2</v>
      </c>
      <c r="AJ325" s="180">
        <f>VLOOKUP($A325,'Key Inputs_BY Techs'!$B$198:$AJ$207,AJ$310,FALSE)/8760</f>
        <v>5.1477189103886295E-2</v>
      </c>
      <c r="AK325" s="180">
        <f>VLOOKUP($A325,'Key Inputs_BY Techs'!$B$198:$AJ$207,AK$310,FALSE)/8760</f>
        <v>4.1666666666666664E-2</v>
      </c>
      <c r="AL325" s="180">
        <f>VLOOKUP($A325,'Key Inputs_BY Techs'!$B$198:$AJ$207,AL$310,FALSE)/8760</f>
        <v>7.0781511423467725E-2</v>
      </c>
      <c r="AM325" s="180">
        <f>VLOOKUP($A325,'Key Inputs_BY Techs'!$B$198:$AJ$207,AM$310,FALSE)/8760</f>
        <v>4.1666666666666664E-2</v>
      </c>
      <c r="AN325" s="180">
        <f>VLOOKUP($A325,'Key Inputs_BY Techs'!$B$198:$AJ$207,AN$310,FALSE)/8760</f>
        <v>4.8525528371344114E-2</v>
      </c>
      <c r="AO325" s="180">
        <f>VLOOKUP($A325,'Key Inputs_BY Techs'!$B$198:$AJ$207,AO$310,FALSE)/8760</f>
        <v>4.1991055814934002E-2</v>
      </c>
      <c r="AP325" s="180">
        <f>VLOOKUP($A325,'Key Inputs_BY Techs'!$B$198:$AJ$207,AP$310,FALSE)/8760</f>
        <v>0.10573317089500424</v>
      </c>
      <c r="AQ325" s="180">
        <f>VLOOKUP($A325,'Key Inputs_BY Techs'!$B$198:$AJ$207,AQ$310,FALSE)/8760</f>
        <v>8.0437275857606058E-2</v>
      </c>
      <c r="AR325" s="180">
        <f>VLOOKUP($A325,'Key Inputs_BY Techs'!$B$198:$AJ$207,AR$310,FALSE)/8760</f>
        <v>6.6692438947101099E-2</v>
      </c>
      <c r="AS325" s="119"/>
      <c r="AT325" s="114"/>
      <c r="AV325" s="126"/>
      <c r="BF325" s="114"/>
      <c r="BG325" s="122"/>
      <c r="BH325" s="122"/>
    </row>
    <row r="326" spans="1:63" ht="15.75" x14ac:dyDescent="0.25">
      <c r="A326" s="245" t="str">
        <f t="shared" si="41"/>
        <v>Thermal uses</v>
      </c>
      <c r="B326" s="245" t="str">
        <f t="shared" si="41"/>
        <v>R-THL</v>
      </c>
      <c r="C326" s="245" t="str">
        <f t="shared" si="41"/>
        <v>Natural gas,Biogas</v>
      </c>
      <c r="D326" s="245" t="str">
        <f t="shared" si="41"/>
        <v>RSDGAS,RSDBGS,RSDH2B,RSDEFUM</v>
      </c>
      <c r="E326" s="249" t="str">
        <f t="shared" si="41"/>
        <v>RSDGAS</v>
      </c>
      <c r="F326" s="252" t="str">
        <f t="shared" si="41"/>
        <v>Heat Pump (Imp.)</v>
      </c>
      <c r="G326" s="250" t="str">
        <f t="shared" si="41"/>
        <v>06</v>
      </c>
      <c r="H326" s="250"/>
      <c r="I326" s="250"/>
      <c r="K326" s="201" t="str">
        <f>IF('Commodities &amp; Processes'!L$70="",'Commodities &amp; Processes'!K$70,'Commodities &amp; Processes'!L$70)</f>
        <v>R-THL-HPA_GAS06</v>
      </c>
      <c r="L326" s="109" t="str">
        <f>IF('Commodities &amp; Processes'!M$70="","",'Commodities &amp; Processes'!M$70)</f>
        <v>RSD Thermal uses technology: Natural gas,Biogas Heat Pump (Imp.) -New</v>
      </c>
      <c r="N326" s="113"/>
      <c r="O326" s="114" t="s">
        <v>313</v>
      </c>
      <c r="P326" s="120" t="s">
        <v>174</v>
      </c>
      <c r="Q326" s="180">
        <f>VLOOKUP($A326,'Key Inputs_BY Techs'!$B$198:$AJ$207,Q$310,FALSE)/8760</f>
        <v>4.5322895632501033E-2</v>
      </c>
      <c r="R326" s="180">
        <f>VLOOKUP($A326,'Key Inputs_BY Techs'!$B$198:$AJ$207,R$310,FALSE)/8760</f>
        <v>4.5047579105877276E-2</v>
      </c>
      <c r="S326" s="180">
        <f>VLOOKUP($A326,'Key Inputs_BY Techs'!$B$198:$AJ$207,S$310,FALSE)/8760</f>
        <v>4.1991055814934002E-2</v>
      </c>
      <c r="T326" s="180">
        <f>VLOOKUP($A326,'Key Inputs_BY Techs'!$B$198:$AJ$207,T$310,FALSE)/8760</f>
        <v>4.1685785869904429E-2</v>
      </c>
      <c r="U326" s="180">
        <f>VLOOKUP($A326,'Key Inputs_BY Techs'!$B$198:$AJ$207,U$310,FALSE)/8760</f>
        <v>5.0682342606484215E-2</v>
      </c>
      <c r="V326" s="180">
        <f>VLOOKUP($A326,'Key Inputs_BY Techs'!$B$198:$AJ$207,V$310,FALSE)/8760</f>
        <v>5.807085407630011E-2</v>
      </c>
      <c r="W326" s="180">
        <f>VLOOKUP($A326,'Key Inputs_BY Techs'!$B$198:$AJ$207,W$310,FALSE)/8760</f>
        <v>4.1687877260716787E-2</v>
      </c>
      <c r="X326" s="180">
        <f>VLOOKUP($A326,'Key Inputs_BY Techs'!$B$198:$AJ$207,X$310,FALSE)/8760</f>
        <v>4.2884552320900708E-2</v>
      </c>
      <c r="Y326" s="180">
        <f>VLOOKUP($A326,'Key Inputs_BY Techs'!$B$198:$AJ$207,Y$310,FALSE)/8760</f>
        <v>4.1666666666666664E-2</v>
      </c>
      <c r="Z326" s="180">
        <f>VLOOKUP($A326,'Key Inputs_BY Techs'!$B$198:$AJ$207,Z$310,FALSE)/8760</f>
        <v>0.12925469986413698</v>
      </c>
      <c r="AA326" s="180">
        <f>VLOOKUP($A326,'Key Inputs_BY Techs'!$B$198:$AJ$207,AA$310,FALSE)/8760</f>
        <v>5.6018402502504346E-2</v>
      </c>
      <c r="AB326" s="180">
        <f>VLOOKUP($A326,'Key Inputs_BY Techs'!$B$198:$AJ$207,AB$310,FALSE)/8760</f>
        <v>8.0456212261297039E-2</v>
      </c>
      <c r="AC326" s="180">
        <f>VLOOKUP($A326,'Key Inputs_BY Techs'!$B$198:$AJ$207,AC$310,FALSE)/8760</f>
        <v>8.196249702811996E-2</v>
      </c>
      <c r="AD326" s="180">
        <f>VLOOKUP($A326,'Key Inputs_BY Techs'!$B$198:$AJ$207,AD$310,FALSE)/8760</f>
        <v>9.0560920532517131E-2</v>
      </c>
      <c r="AE326" s="180">
        <f>VLOOKUP($A326,'Key Inputs_BY Techs'!$B$198:$AJ$207,AE$310,FALSE)/8760</f>
        <v>7.7640907014416241E-2</v>
      </c>
      <c r="AF326" s="180">
        <f>VLOOKUP($A326,'Key Inputs_BY Techs'!$B$198:$AJ$207,AF$310,FALSE)/8760</f>
        <v>6.6864645901418843E-2</v>
      </c>
      <c r="AG326" s="180">
        <f>VLOOKUP($A326,'Key Inputs_BY Techs'!$B$198:$AJ$207,AG$310,FALSE)/8760</f>
        <v>6.6864645901418843E-2</v>
      </c>
      <c r="AH326" s="180">
        <f>VLOOKUP($A326,'Key Inputs_BY Techs'!$B$198:$AJ$207,AH$310,FALSE)/8760</f>
        <v>4.1666666666666664E-2</v>
      </c>
      <c r="AI326" s="180">
        <f>VLOOKUP($A326,'Key Inputs_BY Techs'!$B$198:$AJ$207,AI$310,FALSE)/8760</f>
        <v>4.1666666666666664E-2</v>
      </c>
      <c r="AJ326" s="180">
        <f>VLOOKUP($A326,'Key Inputs_BY Techs'!$B$198:$AJ$207,AJ$310,FALSE)/8760</f>
        <v>5.1477189103886295E-2</v>
      </c>
      <c r="AK326" s="180">
        <f>VLOOKUP($A326,'Key Inputs_BY Techs'!$B$198:$AJ$207,AK$310,FALSE)/8760</f>
        <v>4.1666666666666664E-2</v>
      </c>
      <c r="AL326" s="180">
        <f>VLOOKUP($A326,'Key Inputs_BY Techs'!$B$198:$AJ$207,AL$310,FALSE)/8760</f>
        <v>7.0781511423467725E-2</v>
      </c>
      <c r="AM326" s="180">
        <f>VLOOKUP($A326,'Key Inputs_BY Techs'!$B$198:$AJ$207,AM$310,FALSE)/8760</f>
        <v>4.1666666666666664E-2</v>
      </c>
      <c r="AN326" s="180">
        <f>VLOOKUP($A326,'Key Inputs_BY Techs'!$B$198:$AJ$207,AN$310,FALSE)/8760</f>
        <v>4.8525528371344114E-2</v>
      </c>
      <c r="AO326" s="180">
        <f>VLOOKUP($A326,'Key Inputs_BY Techs'!$B$198:$AJ$207,AO$310,FALSE)/8760</f>
        <v>4.1991055814934002E-2</v>
      </c>
      <c r="AP326" s="180">
        <f>VLOOKUP($A326,'Key Inputs_BY Techs'!$B$198:$AJ$207,AP$310,FALSE)/8760</f>
        <v>0.10573317089500424</v>
      </c>
      <c r="AQ326" s="180">
        <f>VLOOKUP($A326,'Key Inputs_BY Techs'!$B$198:$AJ$207,AQ$310,FALSE)/8760</f>
        <v>8.0437275857606058E-2</v>
      </c>
      <c r="AR326" s="180">
        <f>VLOOKUP($A326,'Key Inputs_BY Techs'!$B$198:$AJ$207,AR$310,FALSE)/8760</f>
        <v>6.6692438947101099E-2</v>
      </c>
      <c r="AS326" s="119"/>
      <c r="AT326" s="114"/>
      <c r="AV326" s="126"/>
      <c r="BF326" s="114"/>
      <c r="BG326" s="122"/>
      <c r="BH326" s="122"/>
    </row>
    <row r="327" spans="1:63" ht="15.75" x14ac:dyDescent="0.25">
      <c r="A327" s="245" t="str">
        <f t="shared" si="41"/>
        <v>Thermal uses</v>
      </c>
      <c r="B327" s="245" t="str">
        <f t="shared" si="41"/>
        <v>R-THL</v>
      </c>
      <c r="C327" s="245" t="str">
        <f t="shared" si="41"/>
        <v>Natural gas,Biogas</v>
      </c>
      <c r="D327" s="245" t="str">
        <f t="shared" si="41"/>
        <v>RSDGAS,RSDBGS,RSDH2B,RSDEFUM</v>
      </c>
      <c r="E327" s="249" t="str">
        <f t="shared" si="41"/>
        <v>RSDGAS</v>
      </c>
      <c r="F327" s="252" t="str">
        <f t="shared" si="41"/>
        <v>Heat Pump (Adv.)</v>
      </c>
      <c r="G327" s="250" t="str">
        <f t="shared" si="41"/>
        <v>07</v>
      </c>
      <c r="H327" s="250"/>
      <c r="I327" s="250"/>
      <c r="K327" s="201" t="str">
        <f>IF('Commodities &amp; Processes'!L$71="",'Commodities &amp; Processes'!K$71,'Commodities &amp; Processes'!L$71)</f>
        <v>R-THL-HPA_GAS07</v>
      </c>
      <c r="L327" s="109" t="str">
        <f>IF('Commodities &amp; Processes'!M$71="","",'Commodities &amp; Processes'!M$71)</f>
        <v>RSD Thermal uses technology: Natural gas,Biogas Heat Pump (Adv.) -New</v>
      </c>
      <c r="N327" s="113"/>
      <c r="O327" s="114" t="s">
        <v>313</v>
      </c>
      <c r="P327" s="120" t="s">
        <v>174</v>
      </c>
      <c r="Q327" s="180">
        <f>VLOOKUP($A327,'Key Inputs_BY Techs'!$B$198:$AJ$207,Q$310,FALSE)/8760</f>
        <v>4.5322895632501033E-2</v>
      </c>
      <c r="R327" s="180">
        <f>VLOOKUP($A327,'Key Inputs_BY Techs'!$B$198:$AJ$207,R$310,FALSE)/8760</f>
        <v>4.5047579105877276E-2</v>
      </c>
      <c r="S327" s="180">
        <f>VLOOKUP($A327,'Key Inputs_BY Techs'!$B$198:$AJ$207,S$310,FALSE)/8760</f>
        <v>4.1991055814934002E-2</v>
      </c>
      <c r="T327" s="180">
        <f>VLOOKUP($A327,'Key Inputs_BY Techs'!$B$198:$AJ$207,T$310,FALSE)/8760</f>
        <v>4.1685785869904429E-2</v>
      </c>
      <c r="U327" s="180">
        <f>VLOOKUP($A327,'Key Inputs_BY Techs'!$B$198:$AJ$207,U$310,FALSE)/8760</f>
        <v>5.0682342606484215E-2</v>
      </c>
      <c r="V327" s="180">
        <f>VLOOKUP($A327,'Key Inputs_BY Techs'!$B$198:$AJ$207,V$310,FALSE)/8760</f>
        <v>5.807085407630011E-2</v>
      </c>
      <c r="W327" s="180">
        <f>VLOOKUP($A327,'Key Inputs_BY Techs'!$B$198:$AJ$207,W$310,FALSE)/8760</f>
        <v>4.1687877260716787E-2</v>
      </c>
      <c r="X327" s="180">
        <f>VLOOKUP($A327,'Key Inputs_BY Techs'!$B$198:$AJ$207,X$310,FALSE)/8760</f>
        <v>4.2884552320900708E-2</v>
      </c>
      <c r="Y327" s="180">
        <f>VLOOKUP($A327,'Key Inputs_BY Techs'!$B$198:$AJ$207,Y$310,FALSE)/8760</f>
        <v>4.1666666666666664E-2</v>
      </c>
      <c r="Z327" s="180">
        <f>VLOOKUP($A327,'Key Inputs_BY Techs'!$B$198:$AJ$207,Z$310,FALSE)/8760</f>
        <v>0.12925469986413698</v>
      </c>
      <c r="AA327" s="180">
        <f>VLOOKUP($A327,'Key Inputs_BY Techs'!$B$198:$AJ$207,AA$310,FALSE)/8760</f>
        <v>5.6018402502504346E-2</v>
      </c>
      <c r="AB327" s="180">
        <f>VLOOKUP($A327,'Key Inputs_BY Techs'!$B$198:$AJ$207,AB$310,FALSE)/8760</f>
        <v>8.0456212261297039E-2</v>
      </c>
      <c r="AC327" s="180">
        <f>VLOOKUP($A327,'Key Inputs_BY Techs'!$B$198:$AJ$207,AC$310,FALSE)/8760</f>
        <v>8.196249702811996E-2</v>
      </c>
      <c r="AD327" s="180">
        <f>VLOOKUP($A327,'Key Inputs_BY Techs'!$B$198:$AJ$207,AD$310,FALSE)/8760</f>
        <v>9.0560920532517131E-2</v>
      </c>
      <c r="AE327" s="180">
        <f>VLOOKUP($A327,'Key Inputs_BY Techs'!$B$198:$AJ$207,AE$310,FALSE)/8760</f>
        <v>7.7640907014416241E-2</v>
      </c>
      <c r="AF327" s="180">
        <f>VLOOKUP($A327,'Key Inputs_BY Techs'!$B$198:$AJ$207,AF$310,FALSE)/8760</f>
        <v>6.6864645901418843E-2</v>
      </c>
      <c r="AG327" s="180">
        <f>VLOOKUP($A327,'Key Inputs_BY Techs'!$B$198:$AJ$207,AG$310,FALSE)/8760</f>
        <v>6.6864645901418843E-2</v>
      </c>
      <c r="AH327" s="180">
        <f>VLOOKUP($A327,'Key Inputs_BY Techs'!$B$198:$AJ$207,AH$310,FALSE)/8760</f>
        <v>4.1666666666666664E-2</v>
      </c>
      <c r="AI327" s="180">
        <f>VLOOKUP($A327,'Key Inputs_BY Techs'!$B$198:$AJ$207,AI$310,FALSE)/8760</f>
        <v>4.1666666666666664E-2</v>
      </c>
      <c r="AJ327" s="180">
        <f>VLOOKUP($A327,'Key Inputs_BY Techs'!$B$198:$AJ$207,AJ$310,FALSE)/8760</f>
        <v>5.1477189103886295E-2</v>
      </c>
      <c r="AK327" s="180">
        <f>VLOOKUP($A327,'Key Inputs_BY Techs'!$B$198:$AJ$207,AK$310,FALSE)/8760</f>
        <v>4.1666666666666664E-2</v>
      </c>
      <c r="AL327" s="180">
        <f>VLOOKUP($A327,'Key Inputs_BY Techs'!$B$198:$AJ$207,AL$310,FALSE)/8760</f>
        <v>7.0781511423467725E-2</v>
      </c>
      <c r="AM327" s="180">
        <f>VLOOKUP($A327,'Key Inputs_BY Techs'!$B$198:$AJ$207,AM$310,FALSE)/8760</f>
        <v>4.1666666666666664E-2</v>
      </c>
      <c r="AN327" s="180">
        <f>VLOOKUP($A327,'Key Inputs_BY Techs'!$B$198:$AJ$207,AN$310,FALSE)/8760</f>
        <v>4.8525528371344114E-2</v>
      </c>
      <c r="AO327" s="180">
        <f>VLOOKUP($A327,'Key Inputs_BY Techs'!$B$198:$AJ$207,AO$310,FALSE)/8760</f>
        <v>4.1991055814934002E-2</v>
      </c>
      <c r="AP327" s="180">
        <f>VLOOKUP($A327,'Key Inputs_BY Techs'!$B$198:$AJ$207,AP$310,FALSE)/8760</f>
        <v>0.10573317089500424</v>
      </c>
      <c r="AQ327" s="180">
        <f>VLOOKUP($A327,'Key Inputs_BY Techs'!$B$198:$AJ$207,AQ$310,FALSE)/8760</f>
        <v>8.0437275857606058E-2</v>
      </c>
      <c r="AR327" s="180">
        <f>VLOOKUP($A327,'Key Inputs_BY Techs'!$B$198:$AJ$207,AR$310,FALSE)/8760</f>
        <v>6.6692438947101099E-2</v>
      </c>
      <c r="AS327" s="119"/>
      <c r="AT327" s="114"/>
      <c r="AV327" s="126"/>
      <c r="BF327" s="114"/>
      <c r="BG327" s="122"/>
      <c r="BH327" s="122"/>
    </row>
    <row r="328" spans="1:63" ht="15.75" x14ac:dyDescent="0.25">
      <c r="A328" s="245" t="str">
        <f t="shared" si="41"/>
        <v>Thermal uses</v>
      </c>
      <c r="B328" s="245" t="str">
        <f t="shared" si="41"/>
        <v>R-THL</v>
      </c>
      <c r="C328" s="245" t="str">
        <f t="shared" si="41"/>
        <v>Electricity</v>
      </c>
      <c r="D328" s="245" t="str">
        <f t="shared" si="41"/>
        <v>RSDELC</v>
      </c>
      <c r="E328" s="249" t="str">
        <f t="shared" si="41"/>
        <v>RSDELC</v>
      </c>
      <c r="F328" s="245" t="str">
        <f t="shared" si="41"/>
        <v>Ground Heat Pump (Ord.)</v>
      </c>
      <c r="G328" s="250" t="str">
        <f t="shared" si="41"/>
        <v>01</v>
      </c>
      <c r="H328" s="250"/>
      <c r="I328" s="250"/>
      <c r="K328" s="201" t="str">
        <f>IF('Commodities &amp; Processes'!L$72="",'Commodities &amp; Processes'!K$72,'Commodities &amp; Processes'!L$72)</f>
        <v>R-THL-HPG_ELC01</v>
      </c>
      <c r="L328" s="109" t="str">
        <f>IF('Commodities &amp; Processes'!M$72="","",'Commodities &amp; Processes'!M$72)</f>
        <v>RSD Thermal uses technology: Electricity Ground Heat Pump (Ord.) -New</v>
      </c>
      <c r="N328" s="113"/>
      <c r="O328" s="114" t="s">
        <v>313</v>
      </c>
      <c r="P328" s="120" t="s">
        <v>174</v>
      </c>
      <c r="Q328" s="180">
        <f>VLOOKUP($A328,'Key Inputs_BY Techs'!$B$198:$AJ$207,Q$310,FALSE)/8760</f>
        <v>4.5322895632501033E-2</v>
      </c>
      <c r="R328" s="180">
        <f>VLOOKUP($A328,'Key Inputs_BY Techs'!$B$198:$AJ$207,R$310,FALSE)/8760</f>
        <v>4.5047579105877276E-2</v>
      </c>
      <c r="S328" s="180">
        <f>VLOOKUP($A328,'Key Inputs_BY Techs'!$B$198:$AJ$207,S$310,FALSE)/8760</f>
        <v>4.1991055814934002E-2</v>
      </c>
      <c r="T328" s="180">
        <f>VLOOKUP($A328,'Key Inputs_BY Techs'!$B$198:$AJ$207,T$310,FALSE)/8760</f>
        <v>4.1685785869904429E-2</v>
      </c>
      <c r="U328" s="180">
        <f>VLOOKUP($A328,'Key Inputs_BY Techs'!$B$198:$AJ$207,U$310,FALSE)/8760</f>
        <v>5.0682342606484215E-2</v>
      </c>
      <c r="V328" s="180">
        <f>VLOOKUP($A328,'Key Inputs_BY Techs'!$B$198:$AJ$207,V$310,FALSE)/8760</f>
        <v>5.807085407630011E-2</v>
      </c>
      <c r="W328" s="180">
        <f>VLOOKUP($A328,'Key Inputs_BY Techs'!$B$198:$AJ$207,W$310,FALSE)/8760</f>
        <v>4.1687877260716787E-2</v>
      </c>
      <c r="X328" s="180">
        <f>VLOOKUP($A328,'Key Inputs_BY Techs'!$B$198:$AJ$207,X$310,FALSE)/8760</f>
        <v>4.2884552320900708E-2</v>
      </c>
      <c r="Y328" s="180">
        <f>VLOOKUP($A328,'Key Inputs_BY Techs'!$B$198:$AJ$207,Y$310,FALSE)/8760</f>
        <v>4.1666666666666664E-2</v>
      </c>
      <c r="Z328" s="180">
        <f>VLOOKUP($A328,'Key Inputs_BY Techs'!$B$198:$AJ$207,Z$310,FALSE)/8760</f>
        <v>0.12925469986413698</v>
      </c>
      <c r="AA328" s="180">
        <f>VLOOKUP($A328,'Key Inputs_BY Techs'!$B$198:$AJ$207,AA$310,FALSE)/8760</f>
        <v>5.6018402502504346E-2</v>
      </c>
      <c r="AB328" s="180">
        <f>VLOOKUP($A328,'Key Inputs_BY Techs'!$B$198:$AJ$207,AB$310,FALSE)/8760</f>
        <v>8.0456212261297039E-2</v>
      </c>
      <c r="AC328" s="180">
        <f>VLOOKUP($A328,'Key Inputs_BY Techs'!$B$198:$AJ$207,AC$310,FALSE)/8760</f>
        <v>8.196249702811996E-2</v>
      </c>
      <c r="AD328" s="180">
        <f>VLOOKUP($A328,'Key Inputs_BY Techs'!$B$198:$AJ$207,AD$310,FALSE)/8760</f>
        <v>9.0560920532517131E-2</v>
      </c>
      <c r="AE328" s="180">
        <f>VLOOKUP($A328,'Key Inputs_BY Techs'!$B$198:$AJ$207,AE$310,FALSE)/8760</f>
        <v>7.7640907014416241E-2</v>
      </c>
      <c r="AF328" s="180">
        <f>VLOOKUP($A328,'Key Inputs_BY Techs'!$B$198:$AJ$207,AF$310,FALSE)/8760</f>
        <v>6.6864645901418843E-2</v>
      </c>
      <c r="AG328" s="180">
        <f>VLOOKUP($A328,'Key Inputs_BY Techs'!$B$198:$AJ$207,AG$310,FALSE)/8760</f>
        <v>6.6864645901418843E-2</v>
      </c>
      <c r="AH328" s="180">
        <f>VLOOKUP($A328,'Key Inputs_BY Techs'!$B$198:$AJ$207,AH$310,FALSE)/8760</f>
        <v>4.1666666666666664E-2</v>
      </c>
      <c r="AI328" s="180">
        <f>VLOOKUP($A328,'Key Inputs_BY Techs'!$B$198:$AJ$207,AI$310,FALSE)/8760</f>
        <v>4.1666666666666664E-2</v>
      </c>
      <c r="AJ328" s="180">
        <f>VLOOKUP($A328,'Key Inputs_BY Techs'!$B$198:$AJ$207,AJ$310,FALSE)/8760</f>
        <v>5.1477189103886295E-2</v>
      </c>
      <c r="AK328" s="180">
        <f>VLOOKUP($A328,'Key Inputs_BY Techs'!$B$198:$AJ$207,AK$310,FALSE)/8760</f>
        <v>4.1666666666666664E-2</v>
      </c>
      <c r="AL328" s="180">
        <f>VLOOKUP($A328,'Key Inputs_BY Techs'!$B$198:$AJ$207,AL$310,FALSE)/8760</f>
        <v>7.0781511423467725E-2</v>
      </c>
      <c r="AM328" s="180">
        <f>VLOOKUP($A328,'Key Inputs_BY Techs'!$B$198:$AJ$207,AM$310,FALSE)/8760</f>
        <v>4.1666666666666664E-2</v>
      </c>
      <c r="AN328" s="180">
        <f>VLOOKUP($A328,'Key Inputs_BY Techs'!$B$198:$AJ$207,AN$310,FALSE)/8760</f>
        <v>4.8525528371344114E-2</v>
      </c>
      <c r="AO328" s="180">
        <f>VLOOKUP($A328,'Key Inputs_BY Techs'!$B$198:$AJ$207,AO$310,FALSE)/8760</f>
        <v>4.1991055814934002E-2</v>
      </c>
      <c r="AP328" s="180">
        <f>VLOOKUP($A328,'Key Inputs_BY Techs'!$B$198:$AJ$207,AP$310,FALSE)/8760</f>
        <v>0.10573317089500424</v>
      </c>
      <c r="AQ328" s="180">
        <f>VLOOKUP($A328,'Key Inputs_BY Techs'!$B$198:$AJ$207,AQ$310,FALSE)/8760</f>
        <v>8.0437275857606058E-2</v>
      </c>
      <c r="AR328" s="180">
        <f>VLOOKUP($A328,'Key Inputs_BY Techs'!$B$198:$AJ$207,AR$310,FALSE)/8760</f>
        <v>6.6692438947101099E-2</v>
      </c>
      <c r="AS328" s="119"/>
      <c r="AT328" s="114"/>
      <c r="AV328" s="126"/>
      <c r="BF328" s="114"/>
      <c r="BG328" s="122"/>
      <c r="BH328" s="122"/>
    </row>
    <row r="329" spans="1:63" ht="15.75" x14ac:dyDescent="0.25">
      <c r="A329" s="245" t="str">
        <f t="shared" si="41"/>
        <v>Thermal uses</v>
      </c>
      <c r="B329" s="245" t="str">
        <f t="shared" si="41"/>
        <v>R-THL</v>
      </c>
      <c r="C329" s="245" t="str">
        <f t="shared" si="41"/>
        <v>Electricity</v>
      </c>
      <c r="D329" s="245" t="str">
        <f t="shared" si="41"/>
        <v>RSDELC</v>
      </c>
      <c r="E329" s="249" t="str">
        <f t="shared" si="41"/>
        <v>RSDELC</v>
      </c>
      <c r="F329" s="245" t="str">
        <f t="shared" si="41"/>
        <v>Ground Heat Pump (Imp.)</v>
      </c>
      <c r="G329" s="250" t="str">
        <f t="shared" si="41"/>
        <v>02</v>
      </c>
      <c r="H329" s="250"/>
      <c r="I329" s="250"/>
      <c r="K329" s="201" t="str">
        <f>IF('Commodities &amp; Processes'!L$73="",'Commodities &amp; Processes'!K$73,'Commodities &amp; Processes'!L$73)</f>
        <v>R-THL-HPG_ELC02</v>
      </c>
      <c r="L329" s="109" t="str">
        <f>IF('Commodities &amp; Processes'!M$73="","",'Commodities &amp; Processes'!M$73)</f>
        <v>RSD Thermal uses technology: Electricity Ground Heat Pump (Imp.) -New</v>
      </c>
      <c r="N329" s="113"/>
      <c r="O329" s="114" t="s">
        <v>313</v>
      </c>
      <c r="P329" s="120" t="s">
        <v>174</v>
      </c>
      <c r="Q329" s="180">
        <f>VLOOKUP($A329,'Key Inputs_BY Techs'!$B$198:$AJ$207,Q$310,FALSE)/8760</f>
        <v>4.5322895632501033E-2</v>
      </c>
      <c r="R329" s="180">
        <f>VLOOKUP($A329,'Key Inputs_BY Techs'!$B$198:$AJ$207,R$310,FALSE)/8760</f>
        <v>4.5047579105877276E-2</v>
      </c>
      <c r="S329" s="180">
        <f>VLOOKUP($A329,'Key Inputs_BY Techs'!$B$198:$AJ$207,S$310,FALSE)/8760</f>
        <v>4.1991055814934002E-2</v>
      </c>
      <c r="T329" s="180">
        <f>VLOOKUP($A329,'Key Inputs_BY Techs'!$B$198:$AJ$207,T$310,FALSE)/8760</f>
        <v>4.1685785869904429E-2</v>
      </c>
      <c r="U329" s="180">
        <f>VLOOKUP($A329,'Key Inputs_BY Techs'!$B$198:$AJ$207,U$310,FALSE)/8760</f>
        <v>5.0682342606484215E-2</v>
      </c>
      <c r="V329" s="180">
        <f>VLOOKUP($A329,'Key Inputs_BY Techs'!$B$198:$AJ$207,V$310,FALSE)/8760</f>
        <v>5.807085407630011E-2</v>
      </c>
      <c r="W329" s="180">
        <f>VLOOKUP($A329,'Key Inputs_BY Techs'!$B$198:$AJ$207,W$310,FALSE)/8760</f>
        <v>4.1687877260716787E-2</v>
      </c>
      <c r="X329" s="180">
        <f>VLOOKUP($A329,'Key Inputs_BY Techs'!$B$198:$AJ$207,X$310,FALSE)/8760</f>
        <v>4.2884552320900708E-2</v>
      </c>
      <c r="Y329" s="180">
        <f>VLOOKUP($A329,'Key Inputs_BY Techs'!$B$198:$AJ$207,Y$310,FALSE)/8760</f>
        <v>4.1666666666666664E-2</v>
      </c>
      <c r="Z329" s="180">
        <f>VLOOKUP($A329,'Key Inputs_BY Techs'!$B$198:$AJ$207,Z$310,FALSE)/8760</f>
        <v>0.12925469986413698</v>
      </c>
      <c r="AA329" s="180">
        <f>VLOOKUP($A329,'Key Inputs_BY Techs'!$B$198:$AJ$207,AA$310,FALSE)/8760</f>
        <v>5.6018402502504346E-2</v>
      </c>
      <c r="AB329" s="180">
        <f>VLOOKUP($A329,'Key Inputs_BY Techs'!$B$198:$AJ$207,AB$310,FALSE)/8760</f>
        <v>8.0456212261297039E-2</v>
      </c>
      <c r="AC329" s="180">
        <f>VLOOKUP($A329,'Key Inputs_BY Techs'!$B$198:$AJ$207,AC$310,FALSE)/8760</f>
        <v>8.196249702811996E-2</v>
      </c>
      <c r="AD329" s="180">
        <f>VLOOKUP($A329,'Key Inputs_BY Techs'!$B$198:$AJ$207,AD$310,FALSE)/8760</f>
        <v>9.0560920532517131E-2</v>
      </c>
      <c r="AE329" s="180">
        <f>VLOOKUP($A329,'Key Inputs_BY Techs'!$B$198:$AJ$207,AE$310,FALSE)/8760</f>
        <v>7.7640907014416241E-2</v>
      </c>
      <c r="AF329" s="180">
        <f>VLOOKUP($A329,'Key Inputs_BY Techs'!$B$198:$AJ$207,AF$310,FALSE)/8760</f>
        <v>6.6864645901418843E-2</v>
      </c>
      <c r="AG329" s="180">
        <f>VLOOKUP($A329,'Key Inputs_BY Techs'!$B$198:$AJ$207,AG$310,FALSE)/8760</f>
        <v>6.6864645901418843E-2</v>
      </c>
      <c r="AH329" s="180">
        <f>VLOOKUP($A329,'Key Inputs_BY Techs'!$B$198:$AJ$207,AH$310,FALSE)/8760</f>
        <v>4.1666666666666664E-2</v>
      </c>
      <c r="AI329" s="180">
        <f>VLOOKUP($A329,'Key Inputs_BY Techs'!$B$198:$AJ$207,AI$310,FALSE)/8760</f>
        <v>4.1666666666666664E-2</v>
      </c>
      <c r="AJ329" s="180">
        <f>VLOOKUP($A329,'Key Inputs_BY Techs'!$B$198:$AJ$207,AJ$310,FALSE)/8760</f>
        <v>5.1477189103886295E-2</v>
      </c>
      <c r="AK329" s="180">
        <f>VLOOKUP($A329,'Key Inputs_BY Techs'!$B$198:$AJ$207,AK$310,FALSE)/8760</f>
        <v>4.1666666666666664E-2</v>
      </c>
      <c r="AL329" s="180">
        <f>VLOOKUP($A329,'Key Inputs_BY Techs'!$B$198:$AJ$207,AL$310,FALSE)/8760</f>
        <v>7.0781511423467725E-2</v>
      </c>
      <c r="AM329" s="180">
        <f>VLOOKUP($A329,'Key Inputs_BY Techs'!$B$198:$AJ$207,AM$310,FALSE)/8760</f>
        <v>4.1666666666666664E-2</v>
      </c>
      <c r="AN329" s="180">
        <f>VLOOKUP($A329,'Key Inputs_BY Techs'!$B$198:$AJ$207,AN$310,FALSE)/8760</f>
        <v>4.8525528371344114E-2</v>
      </c>
      <c r="AO329" s="180">
        <f>VLOOKUP($A329,'Key Inputs_BY Techs'!$B$198:$AJ$207,AO$310,FALSE)/8760</f>
        <v>4.1991055814934002E-2</v>
      </c>
      <c r="AP329" s="180">
        <f>VLOOKUP($A329,'Key Inputs_BY Techs'!$B$198:$AJ$207,AP$310,FALSE)/8760</f>
        <v>0.10573317089500424</v>
      </c>
      <c r="AQ329" s="180">
        <f>VLOOKUP($A329,'Key Inputs_BY Techs'!$B$198:$AJ$207,AQ$310,FALSE)/8760</f>
        <v>8.0437275857606058E-2</v>
      </c>
      <c r="AR329" s="180">
        <f>VLOOKUP($A329,'Key Inputs_BY Techs'!$B$198:$AJ$207,AR$310,FALSE)/8760</f>
        <v>6.6692438947101099E-2</v>
      </c>
      <c r="AS329" s="119"/>
      <c r="AT329" s="114"/>
      <c r="AV329" s="126"/>
      <c r="BF329" s="114"/>
      <c r="BG329" s="122"/>
      <c r="BH329" s="122"/>
    </row>
    <row r="330" spans="1:63" ht="15.75" x14ac:dyDescent="0.25">
      <c r="A330" s="245" t="str">
        <f t="shared" si="41"/>
        <v>Thermal uses</v>
      </c>
      <c r="B330" s="245" t="str">
        <f t="shared" si="41"/>
        <v>R-THL</v>
      </c>
      <c r="C330" s="245" t="str">
        <f t="shared" si="41"/>
        <v>Electricity</v>
      </c>
      <c r="D330" s="245" t="str">
        <f t="shared" si="41"/>
        <v>RSDELC</v>
      </c>
      <c r="E330" s="249" t="str">
        <f t="shared" si="41"/>
        <v>RSDELC</v>
      </c>
      <c r="F330" s="245" t="str">
        <f t="shared" si="41"/>
        <v>Ground Heat Pump (Adv.)</v>
      </c>
      <c r="G330" s="250" t="str">
        <f t="shared" si="41"/>
        <v>03</v>
      </c>
      <c r="H330" s="250"/>
      <c r="I330" s="250"/>
      <c r="K330" s="201" t="str">
        <f>IF('Commodities &amp; Processes'!L74="",'Commodities &amp; Processes'!K74,'Commodities &amp; Processes'!L74)</f>
        <v>R-THL-HPG_ELC03</v>
      </c>
      <c r="L330" s="109" t="str">
        <f>IF('Commodities &amp; Processes'!M74="","",'Commodities &amp; Processes'!M74)</f>
        <v>RSD Thermal uses technology: Electricity Ground Heat Pump (Adv.) -New</v>
      </c>
      <c r="N330" s="113"/>
      <c r="O330" s="114" t="s">
        <v>313</v>
      </c>
      <c r="P330" s="120" t="s">
        <v>174</v>
      </c>
      <c r="Q330" s="180">
        <f>VLOOKUP($A330,'Key Inputs_BY Techs'!$B$198:$AJ$207,Q$310,FALSE)/8760</f>
        <v>4.5322895632501033E-2</v>
      </c>
      <c r="R330" s="180">
        <f>VLOOKUP($A330,'Key Inputs_BY Techs'!$B$198:$AJ$207,R$310,FALSE)/8760</f>
        <v>4.5047579105877276E-2</v>
      </c>
      <c r="S330" s="180">
        <f>VLOOKUP($A330,'Key Inputs_BY Techs'!$B$198:$AJ$207,S$310,FALSE)/8760</f>
        <v>4.1991055814934002E-2</v>
      </c>
      <c r="T330" s="180">
        <f>VLOOKUP($A330,'Key Inputs_BY Techs'!$B$198:$AJ$207,T$310,FALSE)/8760</f>
        <v>4.1685785869904429E-2</v>
      </c>
      <c r="U330" s="180">
        <f>VLOOKUP($A330,'Key Inputs_BY Techs'!$B$198:$AJ$207,U$310,FALSE)/8760</f>
        <v>5.0682342606484215E-2</v>
      </c>
      <c r="V330" s="180">
        <f>VLOOKUP($A330,'Key Inputs_BY Techs'!$B$198:$AJ$207,V$310,FALSE)/8760</f>
        <v>5.807085407630011E-2</v>
      </c>
      <c r="W330" s="180">
        <f>VLOOKUP($A330,'Key Inputs_BY Techs'!$B$198:$AJ$207,W$310,FALSE)/8760</f>
        <v>4.1687877260716787E-2</v>
      </c>
      <c r="X330" s="180">
        <f>VLOOKUP($A330,'Key Inputs_BY Techs'!$B$198:$AJ$207,X$310,FALSE)/8760</f>
        <v>4.2884552320900708E-2</v>
      </c>
      <c r="Y330" s="180">
        <f>VLOOKUP($A330,'Key Inputs_BY Techs'!$B$198:$AJ$207,Y$310,FALSE)/8760</f>
        <v>4.1666666666666664E-2</v>
      </c>
      <c r="Z330" s="180">
        <f>VLOOKUP($A330,'Key Inputs_BY Techs'!$B$198:$AJ$207,Z$310,FALSE)/8760</f>
        <v>0.12925469986413698</v>
      </c>
      <c r="AA330" s="180">
        <f>VLOOKUP($A330,'Key Inputs_BY Techs'!$B$198:$AJ$207,AA$310,FALSE)/8760</f>
        <v>5.6018402502504346E-2</v>
      </c>
      <c r="AB330" s="180">
        <f>VLOOKUP($A330,'Key Inputs_BY Techs'!$B$198:$AJ$207,AB$310,FALSE)/8760</f>
        <v>8.0456212261297039E-2</v>
      </c>
      <c r="AC330" s="180">
        <f>VLOOKUP($A330,'Key Inputs_BY Techs'!$B$198:$AJ$207,AC$310,FALSE)/8760</f>
        <v>8.196249702811996E-2</v>
      </c>
      <c r="AD330" s="180">
        <f>VLOOKUP($A330,'Key Inputs_BY Techs'!$B$198:$AJ$207,AD$310,FALSE)/8760</f>
        <v>9.0560920532517131E-2</v>
      </c>
      <c r="AE330" s="180">
        <f>VLOOKUP($A330,'Key Inputs_BY Techs'!$B$198:$AJ$207,AE$310,FALSE)/8760</f>
        <v>7.7640907014416241E-2</v>
      </c>
      <c r="AF330" s="180">
        <f>VLOOKUP($A330,'Key Inputs_BY Techs'!$B$198:$AJ$207,AF$310,FALSE)/8760</f>
        <v>6.6864645901418843E-2</v>
      </c>
      <c r="AG330" s="180">
        <f>VLOOKUP($A330,'Key Inputs_BY Techs'!$B$198:$AJ$207,AG$310,FALSE)/8760</f>
        <v>6.6864645901418843E-2</v>
      </c>
      <c r="AH330" s="180">
        <f>VLOOKUP($A330,'Key Inputs_BY Techs'!$B$198:$AJ$207,AH$310,FALSE)/8760</f>
        <v>4.1666666666666664E-2</v>
      </c>
      <c r="AI330" s="180">
        <f>VLOOKUP($A330,'Key Inputs_BY Techs'!$B$198:$AJ$207,AI$310,FALSE)/8760</f>
        <v>4.1666666666666664E-2</v>
      </c>
      <c r="AJ330" s="180">
        <f>VLOOKUP($A330,'Key Inputs_BY Techs'!$B$198:$AJ$207,AJ$310,FALSE)/8760</f>
        <v>5.1477189103886295E-2</v>
      </c>
      <c r="AK330" s="180">
        <f>VLOOKUP($A330,'Key Inputs_BY Techs'!$B$198:$AJ$207,AK$310,FALSE)/8760</f>
        <v>4.1666666666666664E-2</v>
      </c>
      <c r="AL330" s="180">
        <f>VLOOKUP($A330,'Key Inputs_BY Techs'!$B$198:$AJ$207,AL$310,FALSE)/8760</f>
        <v>7.0781511423467725E-2</v>
      </c>
      <c r="AM330" s="180">
        <f>VLOOKUP($A330,'Key Inputs_BY Techs'!$B$198:$AJ$207,AM$310,FALSE)/8760</f>
        <v>4.1666666666666664E-2</v>
      </c>
      <c r="AN330" s="180">
        <f>VLOOKUP($A330,'Key Inputs_BY Techs'!$B$198:$AJ$207,AN$310,FALSE)/8760</f>
        <v>4.8525528371344114E-2</v>
      </c>
      <c r="AO330" s="180">
        <f>VLOOKUP($A330,'Key Inputs_BY Techs'!$B$198:$AJ$207,AO$310,FALSE)/8760</f>
        <v>4.1991055814934002E-2</v>
      </c>
      <c r="AP330" s="180">
        <f>VLOOKUP($A330,'Key Inputs_BY Techs'!$B$198:$AJ$207,AP$310,FALSE)/8760</f>
        <v>0.10573317089500424</v>
      </c>
      <c r="AQ330" s="180">
        <f>VLOOKUP($A330,'Key Inputs_BY Techs'!$B$198:$AJ$207,AQ$310,FALSE)/8760</f>
        <v>8.0437275857606058E-2</v>
      </c>
      <c r="AR330" s="180">
        <f>VLOOKUP($A330,'Key Inputs_BY Techs'!$B$198:$AJ$207,AR$310,FALSE)/8760</f>
        <v>6.6692438947101099E-2</v>
      </c>
      <c r="AS330" s="119"/>
      <c r="AT330" s="114"/>
      <c r="AV330" s="126"/>
      <c r="BF330" s="114"/>
      <c r="BG330" s="122"/>
      <c r="BH330" s="122"/>
    </row>
    <row r="331" spans="1:63" ht="15.75" x14ac:dyDescent="0.25">
      <c r="A331" s="245" t="str">
        <f t="shared" ref="A331:G335" si="42">A26</f>
        <v>Thermal uses</v>
      </c>
      <c r="B331" s="245" t="str">
        <f t="shared" si="42"/>
        <v>R-THL</v>
      </c>
      <c r="C331" s="253" t="str">
        <f t="shared" si="42"/>
        <v>Oil, Liquid biofuels</v>
      </c>
      <c r="D331" s="254" t="str">
        <f t="shared" si="42"/>
        <v>RSDOIL, RSDBLQ</v>
      </c>
      <c r="E331" s="249" t="str">
        <f t="shared" si="42"/>
        <v>RSDOIL</v>
      </c>
      <c r="F331" s="252" t="str">
        <f t="shared" si="42"/>
        <v>Boiler (Ord.)</v>
      </c>
      <c r="G331" s="250" t="str">
        <f t="shared" si="42"/>
        <v>01</v>
      </c>
      <c r="H331" s="250"/>
      <c r="I331" s="250"/>
      <c r="K331" s="201" t="str">
        <f>IF('Commodities &amp; Processes'!L75="",'Commodities &amp; Processes'!K75,'Commodities &amp; Processes'!L75)</f>
        <v>R-THL-BLR_OIL01</v>
      </c>
      <c r="L331" s="109" t="str">
        <f>IF('Commodities &amp; Processes'!M75="","",'Commodities &amp; Processes'!M75)</f>
        <v>RSD Thermal uses technology: Oil, Liquid biofuels Boiler (Ord.) -New</v>
      </c>
      <c r="N331" s="113"/>
      <c r="O331" s="114" t="s">
        <v>313</v>
      </c>
      <c r="P331" s="120" t="s">
        <v>174</v>
      </c>
      <c r="Q331" s="180">
        <f>VLOOKUP($A331,'Key Inputs_BY Techs'!$B$198:$AJ$207,Q$310,FALSE)/8760</f>
        <v>4.5322895632501033E-2</v>
      </c>
      <c r="R331" s="180">
        <f>VLOOKUP($A331,'Key Inputs_BY Techs'!$B$198:$AJ$207,R$310,FALSE)/8760</f>
        <v>4.5047579105877276E-2</v>
      </c>
      <c r="S331" s="180">
        <f>VLOOKUP($A331,'Key Inputs_BY Techs'!$B$198:$AJ$207,S$310,FALSE)/8760</f>
        <v>4.1991055814934002E-2</v>
      </c>
      <c r="T331" s="180">
        <f>VLOOKUP($A331,'Key Inputs_BY Techs'!$B$198:$AJ$207,T$310,FALSE)/8760</f>
        <v>4.1685785869904429E-2</v>
      </c>
      <c r="U331" s="180">
        <f>VLOOKUP($A331,'Key Inputs_BY Techs'!$B$198:$AJ$207,U$310,FALSE)/8760</f>
        <v>5.0682342606484215E-2</v>
      </c>
      <c r="V331" s="180">
        <f>VLOOKUP($A331,'Key Inputs_BY Techs'!$B$198:$AJ$207,V$310,FALSE)/8760</f>
        <v>5.807085407630011E-2</v>
      </c>
      <c r="W331" s="180">
        <f>VLOOKUP($A331,'Key Inputs_BY Techs'!$B$198:$AJ$207,W$310,FALSE)/8760</f>
        <v>4.1687877260716787E-2</v>
      </c>
      <c r="X331" s="180">
        <f>VLOOKUP($A331,'Key Inputs_BY Techs'!$B$198:$AJ$207,X$310,FALSE)/8760</f>
        <v>4.2884552320900708E-2</v>
      </c>
      <c r="Y331" s="180">
        <f>VLOOKUP($A331,'Key Inputs_BY Techs'!$B$198:$AJ$207,Y$310,FALSE)/8760</f>
        <v>4.1666666666666664E-2</v>
      </c>
      <c r="Z331" s="180">
        <f>VLOOKUP($A331,'Key Inputs_BY Techs'!$B$198:$AJ$207,Z$310,FALSE)/8760</f>
        <v>0.12925469986413698</v>
      </c>
      <c r="AA331" s="180">
        <f>VLOOKUP($A331,'Key Inputs_BY Techs'!$B$198:$AJ$207,AA$310,FALSE)/8760</f>
        <v>5.6018402502504346E-2</v>
      </c>
      <c r="AB331" s="180">
        <f>VLOOKUP($A331,'Key Inputs_BY Techs'!$B$198:$AJ$207,AB$310,FALSE)/8760</f>
        <v>8.0456212261297039E-2</v>
      </c>
      <c r="AC331" s="180">
        <f>VLOOKUP($A331,'Key Inputs_BY Techs'!$B$198:$AJ$207,AC$310,FALSE)/8760</f>
        <v>8.196249702811996E-2</v>
      </c>
      <c r="AD331" s="180">
        <f>VLOOKUP($A331,'Key Inputs_BY Techs'!$B$198:$AJ$207,AD$310,FALSE)/8760</f>
        <v>9.0560920532517131E-2</v>
      </c>
      <c r="AE331" s="180">
        <f>VLOOKUP($A331,'Key Inputs_BY Techs'!$B$198:$AJ$207,AE$310,FALSE)/8760</f>
        <v>7.7640907014416241E-2</v>
      </c>
      <c r="AF331" s="180">
        <f>VLOOKUP($A331,'Key Inputs_BY Techs'!$B$198:$AJ$207,AF$310,FALSE)/8760</f>
        <v>6.6864645901418843E-2</v>
      </c>
      <c r="AG331" s="180">
        <f>VLOOKUP($A331,'Key Inputs_BY Techs'!$B$198:$AJ$207,AG$310,FALSE)/8760</f>
        <v>6.6864645901418843E-2</v>
      </c>
      <c r="AH331" s="180">
        <f>VLOOKUP($A331,'Key Inputs_BY Techs'!$B$198:$AJ$207,AH$310,FALSE)/8760</f>
        <v>4.1666666666666664E-2</v>
      </c>
      <c r="AI331" s="180">
        <f>VLOOKUP($A331,'Key Inputs_BY Techs'!$B$198:$AJ$207,AI$310,FALSE)/8760</f>
        <v>4.1666666666666664E-2</v>
      </c>
      <c r="AJ331" s="180">
        <f>VLOOKUP($A331,'Key Inputs_BY Techs'!$B$198:$AJ$207,AJ$310,FALSE)/8760</f>
        <v>5.1477189103886295E-2</v>
      </c>
      <c r="AK331" s="180">
        <f>VLOOKUP($A331,'Key Inputs_BY Techs'!$B$198:$AJ$207,AK$310,FALSE)/8760</f>
        <v>4.1666666666666664E-2</v>
      </c>
      <c r="AL331" s="180">
        <f>VLOOKUP($A331,'Key Inputs_BY Techs'!$B$198:$AJ$207,AL$310,FALSE)/8760</f>
        <v>7.0781511423467725E-2</v>
      </c>
      <c r="AM331" s="180">
        <f>VLOOKUP($A331,'Key Inputs_BY Techs'!$B$198:$AJ$207,AM$310,FALSE)/8760</f>
        <v>4.1666666666666664E-2</v>
      </c>
      <c r="AN331" s="180">
        <f>VLOOKUP($A331,'Key Inputs_BY Techs'!$B$198:$AJ$207,AN$310,FALSE)/8760</f>
        <v>4.8525528371344114E-2</v>
      </c>
      <c r="AO331" s="180">
        <f>VLOOKUP($A331,'Key Inputs_BY Techs'!$B$198:$AJ$207,AO$310,FALSE)/8760</f>
        <v>4.1991055814934002E-2</v>
      </c>
      <c r="AP331" s="180">
        <f>VLOOKUP($A331,'Key Inputs_BY Techs'!$B$198:$AJ$207,AP$310,FALSE)/8760</f>
        <v>0.10573317089500424</v>
      </c>
      <c r="AQ331" s="180">
        <f>VLOOKUP($A331,'Key Inputs_BY Techs'!$B$198:$AJ$207,AQ$310,FALSE)/8760</f>
        <v>8.0437275857606058E-2</v>
      </c>
      <c r="AR331" s="180">
        <f>VLOOKUP($A331,'Key Inputs_BY Techs'!$B$198:$AJ$207,AR$310,FALSE)/8760</f>
        <v>6.6692438947101099E-2</v>
      </c>
      <c r="AS331" s="119"/>
      <c r="AT331" s="114"/>
      <c r="AV331" s="126"/>
      <c r="BF331" s="114"/>
      <c r="BG331" s="122"/>
      <c r="BH331" s="122"/>
    </row>
    <row r="332" spans="1:63" ht="15.75" x14ac:dyDescent="0.25">
      <c r="A332" s="245" t="str">
        <f t="shared" si="42"/>
        <v>Thermal uses</v>
      </c>
      <c r="B332" s="245" t="str">
        <f t="shared" si="42"/>
        <v>R-THL</v>
      </c>
      <c r="C332" s="253" t="str">
        <f t="shared" si="42"/>
        <v>Oil, Liquid biofuels</v>
      </c>
      <c r="D332" s="254" t="str">
        <f t="shared" si="42"/>
        <v>RSDOIL, RSDBLQ</v>
      </c>
      <c r="E332" s="249" t="str">
        <f t="shared" si="42"/>
        <v>RSDOIL</v>
      </c>
      <c r="F332" s="251" t="str">
        <f t="shared" si="42"/>
        <v>Boiler cond. (Ord.)</v>
      </c>
      <c r="G332" s="250" t="str">
        <f t="shared" si="42"/>
        <v>02</v>
      </c>
      <c r="H332" s="250"/>
      <c r="I332" s="250"/>
      <c r="K332" s="201" t="str">
        <f>IF('Commodities &amp; Processes'!L76="",'Commodities &amp; Processes'!K76,'Commodities &amp; Processes'!L76)</f>
        <v>R-THL-BLR_OIL02</v>
      </c>
      <c r="L332" s="109" t="str">
        <f>IF('Commodities &amp; Processes'!M76="","",'Commodities &amp; Processes'!M76)</f>
        <v>RSD Thermal uses technology: Oil, Liquid biofuels Boiler cond. (Ord.) -New</v>
      </c>
      <c r="N332" s="113"/>
      <c r="O332" s="114" t="s">
        <v>313</v>
      </c>
      <c r="P332" s="120" t="s">
        <v>174</v>
      </c>
      <c r="Q332" s="180">
        <f>VLOOKUP($A332,'Key Inputs_BY Techs'!$B$198:$AJ$207,Q$310,FALSE)/8760</f>
        <v>4.5322895632501033E-2</v>
      </c>
      <c r="R332" s="180">
        <f>VLOOKUP($A332,'Key Inputs_BY Techs'!$B$198:$AJ$207,R$310,FALSE)/8760</f>
        <v>4.5047579105877276E-2</v>
      </c>
      <c r="S332" s="180">
        <f>VLOOKUP($A332,'Key Inputs_BY Techs'!$B$198:$AJ$207,S$310,FALSE)/8760</f>
        <v>4.1991055814934002E-2</v>
      </c>
      <c r="T332" s="180">
        <f>VLOOKUP($A332,'Key Inputs_BY Techs'!$B$198:$AJ$207,T$310,FALSE)/8760</f>
        <v>4.1685785869904429E-2</v>
      </c>
      <c r="U332" s="180">
        <f>VLOOKUP($A332,'Key Inputs_BY Techs'!$B$198:$AJ$207,U$310,FALSE)/8760</f>
        <v>5.0682342606484215E-2</v>
      </c>
      <c r="V332" s="180">
        <f>VLOOKUP($A332,'Key Inputs_BY Techs'!$B$198:$AJ$207,V$310,FALSE)/8760</f>
        <v>5.807085407630011E-2</v>
      </c>
      <c r="W332" s="180">
        <f>VLOOKUP($A332,'Key Inputs_BY Techs'!$B$198:$AJ$207,W$310,FALSE)/8760</f>
        <v>4.1687877260716787E-2</v>
      </c>
      <c r="X332" s="180">
        <f>VLOOKUP($A332,'Key Inputs_BY Techs'!$B$198:$AJ$207,X$310,FALSE)/8760</f>
        <v>4.2884552320900708E-2</v>
      </c>
      <c r="Y332" s="180">
        <f>VLOOKUP($A332,'Key Inputs_BY Techs'!$B$198:$AJ$207,Y$310,FALSE)/8760</f>
        <v>4.1666666666666664E-2</v>
      </c>
      <c r="Z332" s="180">
        <f>VLOOKUP($A332,'Key Inputs_BY Techs'!$B$198:$AJ$207,Z$310,FALSE)/8760</f>
        <v>0.12925469986413698</v>
      </c>
      <c r="AA332" s="180">
        <f>VLOOKUP($A332,'Key Inputs_BY Techs'!$B$198:$AJ$207,AA$310,FALSE)/8760</f>
        <v>5.6018402502504346E-2</v>
      </c>
      <c r="AB332" s="180">
        <f>VLOOKUP($A332,'Key Inputs_BY Techs'!$B$198:$AJ$207,AB$310,FALSE)/8760</f>
        <v>8.0456212261297039E-2</v>
      </c>
      <c r="AC332" s="180">
        <f>VLOOKUP($A332,'Key Inputs_BY Techs'!$B$198:$AJ$207,AC$310,FALSE)/8760</f>
        <v>8.196249702811996E-2</v>
      </c>
      <c r="AD332" s="180">
        <f>VLOOKUP($A332,'Key Inputs_BY Techs'!$B$198:$AJ$207,AD$310,FALSE)/8760</f>
        <v>9.0560920532517131E-2</v>
      </c>
      <c r="AE332" s="180">
        <f>VLOOKUP($A332,'Key Inputs_BY Techs'!$B$198:$AJ$207,AE$310,FALSE)/8760</f>
        <v>7.7640907014416241E-2</v>
      </c>
      <c r="AF332" s="180">
        <f>VLOOKUP($A332,'Key Inputs_BY Techs'!$B$198:$AJ$207,AF$310,FALSE)/8760</f>
        <v>6.6864645901418843E-2</v>
      </c>
      <c r="AG332" s="180">
        <f>VLOOKUP($A332,'Key Inputs_BY Techs'!$B$198:$AJ$207,AG$310,FALSE)/8760</f>
        <v>6.6864645901418843E-2</v>
      </c>
      <c r="AH332" s="180">
        <f>VLOOKUP($A332,'Key Inputs_BY Techs'!$B$198:$AJ$207,AH$310,FALSE)/8760</f>
        <v>4.1666666666666664E-2</v>
      </c>
      <c r="AI332" s="180">
        <f>VLOOKUP($A332,'Key Inputs_BY Techs'!$B$198:$AJ$207,AI$310,FALSE)/8760</f>
        <v>4.1666666666666664E-2</v>
      </c>
      <c r="AJ332" s="180">
        <f>VLOOKUP($A332,'Key Inputs_BY Techs'!$B$198:$AJ$207,AJ$310,FALSE)/8760</f>
        <v>5.1477189103886295E-2</v>
      </c>
      <c r="AK332" s="180">
        <f>VLOOKUP($A332,'Key Inputs_BY Techs'!$B$198:$AJ$207,AK$310,FALSE)/8760</f>
        <v>4.1666666666666664E-2</v>
      </c>
      <c r="AL332" s="180">
        <f>VLOOKUP($A332,'Key Inputs_BY Techs'!$B$198:$AJ$207,AL$310,FALSE)/8760</f>
        <v>7.0781511423467725E-2</v>
      </c>
      <c r="AM332" s="180">
        <f>VLOOKUP($A332,'Key Inputs_BY Techs'!$B$198:$AJ$207,AM$310,FALSE)/8760</f>
        <v>4.1666666666666664E-2</v>
      </c>
      <c r="AN332" s="180">
        <f>VLOOKUP($A332,'Key Inputs_BY Techs'!$B$198:$AJ$207,AN$310,FALSE)/8760</f>
        <v>4.8525528371344114E-2</v>
      </c>
      <c r="AO332" s="180">
        <f>VLOOKUP($A332,'Key Inputs_BY Techs'!$B$198:$AJ$207,AO$310,FALSE)/8760</f>
        <v>4.1991055814934002E-2</v>
      </c>
      <c r="AP332" s="180">
        <f>VLOOKUP($A332,'Key Inputs_BY Techs'!$B$198:$AJ$207,AP$310,FALSE)/8760</f>
        <v>0.10573317089500424</v>
      </c>
      <c r="AQ332" s="180">
        <f>VLOOKUP($A332,'Key Inputs_BY Techs'!$B$198:$AJ$207,AQ$310,FALSE)/8760</f>
        <v>8.0437275857606058E-2</v>
      </c>
      <c r="AR332" s="180">
        <f>VLOOKUP($A332,'Key Inputs_BY Techs'!$B$198:$AJ$207,AR$310,FALSE)/8760</f>
        <v>6.6692438947101099E-2</v>
      </c>
      <c r="AS332" s="119"/>
      <c r="AT332" s="114"/>
      <c r="AV332" s="126"/>
      <c r="BF332" s="114"/>
      <c r="BG332" s="122"/>
      <c r="BH332" s="122"/>
    </row>
    <row r="333" spans="1:63" x14ac:dyDescent="0.25">
      <c r="A333" s="245" t="str">
        <f t="shared" si="42"/>
        <v>Thermal uses</v>
      </c>
      <c r="B333" s="245" t="str">
        <f t="shared" si="42"/>
        <v>R-THL</v>
      </c>
      <c r="C333" s="253" t="str">
        <f t="shared" si="42"/>
        <v>Oil, Liquid biofuels</v>
      </c>
      <c r="D333" s="254" t="str">
        <f t="shared" si="42"/>
        <v>RSDOIL, RSDBLQ</v>
      </c>
      <c r="E333" s="249" t="str">
        <f t="shared" si="42"/>
        <v>RSDOIL</v>
      </c>
      <c r="F333" s="251" t="str">
        <f t="shared" si="42"/>
        <v>Boiler cond. (Imp.)</v>
      </c>
      <c r="G333" s="250" t="str">
        <f t="shared" si="42"/>
        <v>03</v>
      </c>
      <c r="H333" s="250"/>
      <c r="I333" s="250"/>
      <c r="K333" s="201" t="str">
        <f>IF('Commodities &amp; Processes'!L77="",'Commodities &amp; Processes'!K77,'Commodities &amp; Processes'!L77)</f>
        <v>R-THL-BLR_OIL03</v>
      </c>
      <c r="L333" s="109" t="str">
        <f>IF('Commodities &amp; Processes'!M77="","",'Commodities &amp; Processes'!M77)</f>
        <v>RSD Thermal uses technology: Oil, Liquid biofuels Boiler cond. (Imp.) -New</v>
      </c>
      <c r="O333" s="109" t="s">
        <v>313</v>
      </c>
      <c r="P333" s="109" t="s">
        <v>174</v>
      </c>
      <c r="Q333" s="180">
        <f>VLOOKUP($A333,'Key Inputs_BY Techs'!$B$198:$AJ$207,Q$310,FALSE)/8760</f>
        <v>4.5322895632501033E-2</v>
      </c>
      <c r="R333" s="180">
        <f>VLOOKUP($A333,'Key Inputs_BY Techs'!$B$198:$AJ$207,R$310,FALSE)/8760</f>
        <v>4.5047579105877276E-2</v>
      </c>
      <c r="S333" s="180">
        <f>VLOOKUP($A333,'Key Inputs_BY Techs'!$B$198:$AJ$207,S$310,FALSE)/8760</f>
        <v>4.1991055814934002E-2</v>
      </c>
      <c r="T333" s="180">
        <f>VLOOKUP($A333,'Key Inputs_BY Techs'!$B$198:$AJ$207,T$310,FALSE)/8760</f>
        <v>4.1685785869904429E-2</v>
      </c>
      <c r="U333" s="180">
        <f>VLOOKUP($A333,'Key Inputs_BY Techs'!$B$198:$AJ$207,U$310,FALSE)/8760</f>
        <v>5.0682342606484215E-2</v>
      </c>
      <c r="V333" s="180">
        <f>VLOOKUP($A333,'Key Inputs_BY Techs'!$B$198:$AJ$207,V$310,FALSE)/8760</f>
        <v>5.807085407630011E-2</v>
      </c>
      <c r="W333" s="180">
        <f>VLOOKUP($A333,'Key Inputs_BY Techs'!$B$198:$AJ$207,W$310,FALSE)/8760</f>
        <v>4.1687877260716787E-2</v>
      </c>
      <c r="X333" s="180">
        <f>VLOOKUP($A333,'Key Inputs_BY Techs'!$B$198:$AJ$207,X$310,FALSE)/8760</f>
        <v>4.2884552320900708E-2</v>
      </c>
      <c r="Y333" s="180">
        <f>VLOOKUP($A333,'Key Inputs_BY Techs'!$B$198:$AJ$207,Y$310,FALSE)/8760</f>
        <v>4.1666666666666664E-2</v>
      </c>
      <c r="Z333" s="180">
        <f>VLOOKUP($A333,'Key Inputs_BY Techs'!$B$198:$AJ$207,Z$310,FALSE)/8760</f>
        <v>0.12925469986413698</v>
      </c>
      <c r="AA333" s="180">
        <f>VLOOKUP($A333,'Key Inputs_BY Techs'!$B$198:$AJ$207,AA$310,FALSE)/8760</f>
        <v>5.6018402502504346E-2</v>
      </c>
      <c r="AB333" s="180">
        <f>VLOOKUP($A333,'Key Inputs_BY Techs'!$B$198:$AJ$207,AB$310,FALSE)/8760</f>
        <v>8.0456212261297039E-2</v>
      </c>
      <c r="AC333" s="180">
        <f>VLOOKUP($A333,'Key Inputs_BY Techs'!$B$198:$AJ$207,AC$310,FALSE)/8760</f>
        <v>8.196249702811996E-2</v>
      </c>
      <c r="AD333" s="180">
        <f>VLOOKUP($A333,'Key Inputs_BY Techs'!$B$198:$AJ$207,AD$310,FALSE)/8760</f>
        <v>9.0560920532517131E-2</v>
      </c>
      <c r="AE333" s="180">
        <f>VLOOKUP($A333,'Key Inputs_BY Techs'!$B$198:$AJ$207,AE$310,FALSE)/8760</f>
        <v>7.7640907014416241E-2</v>
      </c>
      <c r="AF333" s="180">
        <f>VLOOKUP($A333,'Key Inputs_BY Techs'!$B$198:$AJ$207,AF$310,FALSE)/8760</f>
        <v>6.6864645901418843E-2</v>
      </c>
      <c r="AG333" s="180">
        <f>VLOOKUP($A333,'Key Inputs_BY Techs'!$B$198:$AJ$207,AG$310,FALSE)/8760</f>
        <v>6.6864645901418843E-2</v>
      </c>
      <c r="AH333" s="180">
        <f>VLOOKUP($A333,'Key Inputs_BY Techs'!$B$198:$AJ$207,AH$310,FALSE)/8760</f>
        <v>4.1666666666666664E-2</v>
      </c>
      <c r="AI333" s="180">
        <f>VLOOKUP($A333,'Key Inputs_BY Techs'!$B$198:$AJ$207,AI$310,FALSE)/8760</f>
        <v>4.1666666666666664E-2</v>
      </c>
      <c r="AJ333" s="180">
        <f>VLOOKUP($A333,'Key Inputs_BY Techs'!$B$198:$AJ$207,AJ$310,FALSE)/8760</f>
        <v>5.1477189103886295E-2</v>
      </c>
      <c r="AK333" s="180">
        <f>VLOOKUP($A333,'Key Inputs_BY Techs'!$B$198:$AJ$207,AK$310,FALSE)/8760</f>
        <v>4.1666666666666664E-2</v>
      </c>
      <c r="AL333" s="180">
        <f>VLOOKUP($A333,'Key Inputs_BY Techs'!$B$198:$AJ$207,AL$310,FALSE)/8760</f>
        <v>7.0781511423467725E-2</v>
      </c>
      <c r="AM333" s="180">
        <f>VLOOKUP($A333,'Key Inputs_BY Techs'!$B$198:$AJ$207,AM$310,FALSE)/8760</f>
        <v>4.1666666666666664E-2</v>
      </c>
      <c r="AN333" s="180">
        <f>VLOOKUP($A333,'Key Inputs_BY Techs'!$B$198:$AJ$207,AN$310,FALSE)/8760</f>
        <v>4.8525528371344114E-2</v>
      </c>
      <c r="AO333" s="180">
        <f>VLOOKUP($A333,'Key Inputs_BY Techs'!$B$198:$AJ$207,AO$310,FALSE)/8760</f>
        <v>4.1991055814934002E-2</v>
      </c>
      <c r="AP333" s="180">
        <f>VLOOKUP($A333,'Key Inputs_BY Techs'!$B$198:$AJ$207,AP$310,FALSE)/8760</f>
        <v>0.10573317089500424</v>
      </c>
      <c r="AQ333" s="180">
        <f>VLOOKUP($A333,'Key Inputs_BY Techs'!$B$198:$AJ$207,AQ$310,FALSE)/8760</f>
        <v>8.0437275857606058E-2</v>
      </c>
      <c r="AR333" s="180">
        <f>VLOOKUP($A333,'Key Inputs_BY Techs'!$B$198:$AJ$207,AR$310,FALSE)/8760</f>
        <v>6.6692438947101099E-2</v>
      </c>
      <c r="AS333" s="119"/>
      <c r="AT333" s="119"/>
      <c r="AV333" s="127"/>
      <c r="BF333" s="114"/>
      <c r="BG333" s="182"/>
      <c r="BH333" s="182"/>
      <c r="BI333" s="183"/>
      <c r="BJ333" s="183"/>
      <c r="BK333" s="183"/>
    </row>
    <row r="334" spans="1:63" x14ac:dyDescent="0.25">
      <c r="A334" s="245" t="str">
        <f t="shared" si="42"/>
        <v>Thermal uses</v>
      </c>
      <c r="B334" s="245" t="str">
        <f t="shared" si="42"/>
        <v>R-THL</v>
      </c>
      <c r="C334" s="253" t="str">
        <f t="shared" si="42"/>
        <v>LPG</v>
      </c>
      <c r="D334" s="254" t="str">
        <f t="shared" si="42"/>
        <v>RSDLPG</v>
      </c>
      <c r="E334" s="249" t="str">
        <f t="shared" si="42"/>
        <v>RSDLPG</v>
      </c>
      <c r="F334" s="251" t="str">
        <f t="shared" si="42"/>
        <v>Boiler cond. (Imp.)</v>
      </c>
      <c r="G334" s="250" t="str">
        <f t="shared" si="42"/>
        <v>01</v>
      </c>
      <c r="H334" s="250"/>
      <c r="I334" s="250"/>
      <c r="K334" s="201" t="str">
        <f>IF('Commodities &amp; Processes'!L79="",'Commodities &amp; Processes'!K79,'Commodities &amp; Processes'!L79)</f>
        <v>R-THL-HEX_SOL01</v>
      </c>
      <c r="L334" s="109" t="str">
        <f>IF('Commodities &amp; Processes'!M79="","",'Commodities &amp; Processes'!M79)</f>
        <v>RSD Thermal uses technology: Solar Thermal (Ord.) -New</v>
      </c>
      <c r="O334" s="109" t="s">
        <v>313</v>
      </c>
      <c r="P334" s="109" t="s">
        <v>174</v>
      </c>
      <c r="Q334" s="180">
        <f>VLOOKUP($A334,'Key Inputs_BY Techs'!$B$198:$AJ$207,Q$310,FALSE)/8760</f>
        <v>4.5322895632501033E-2</v>
      </c>
      <c r="R334" s="180">
        <f>VLOOKUP($A334,'Key Inputs_BY Techs'!$B$198:$AJ$207,R$310,FALSE)/8760</f>
        <v>4.5047579105877276E-2</v>
      </c>
      <c r="S334" s="180">
        <f>VLOOKUP($A334,'Key Inputs_BY Techs'!$B$198:$AJ$207,S$310,FALSE)/8760</f>
        <v>4.1991055814934002E-2</v>
      </c>
      <c r="T334" s="180">
        <f>VLOOKUP($A334,'Key Inputs_BY Techs'!$B$198:$AJ$207,T$310,FALSE)/8760</f>
        <v>4.1685785869904429E-2</v>
      </c>
      <c r="U334" s="180">
        <f>VLOOKUP($A334,'Key Inputs_BY Techs'!$B$198:$AJ$207,U$310,FALSE)/8760</f>
        <v>5.0682342606484215E-2</v>
      </c>
      <c r="V334" s="180">
        <f>VLOOKUP($A334,'Key Inputs_BY Techs'!$B$198:$AJ$207,V$310,FALSE)/8760</f>
        <v>5.807085407630011E-2</v>
      </c>
      <c r="W334" s="180">
        <f>VLOOKUP($A334,'Key Inputs_BY Techs'!$B$198:$AJ$207,W$310,FALSE)/8760</f>
        <v>4.1687877260716787E-2</v>
      </c>
      <c r="X334" s="180">
        <f>VLOOKUP($A334,'Key Inputs_BY Techs'!$B$198:$AJ$207,X$310,FALSE)/8760</f>
        <v>4.2884552320900708E-2</v>
      </c>
      <c r="Y334" s="180">
        <f>VLOOKUP($A334,'Key Inputs_BY Techs'!$B$198:$AJ$207,Y$310,FALSE)/8760</f>
        <v>4.1666666666666664E-2</v>
      </c>
      <c r="Z334" s="180">
        <f>VLOOKUP($A334,'Key Inputs_BY Techs'!$B$198:$AJ$207,Z$310,FALSE)/8760</f>
        <v>0.12925469986413698</v>
      </c>
      <c r="AA334" s="180">
        <f>VLOOKUP($A334,'Key Inputs_BY Techs'!$B$198:$AJ$207,AA$310,FALSE)/8760</f>
        <v>5.6018402502504346E-2</v>
      </c>
      <c r="AB334" s="180">
        <f>VLOOKUP($A334,'Key Inputs_BY Techs'!$B$198:$AJ$207,AB$310,FALSE)/8760</f>
        <v>8.0456212261297039E-2</v>
      </c>
      <c r="AC334" s="180">
        <f>VLOOKUP($A334,'Key Inputs_BY Techs'!$B$198:$AJ$207,AC$310,FALSE)/8760</f>
        <v>8.196249702811996E-2</v>
      </c>
      <c r="AD334" s="180">
        <f>VLOOKUP($A334,'Key Inputs_BY Techs'!$B$198:$AJ$207,AD$310,FALSE)/8760</f>
        <v>9.0560920532517131E-2</v>
      </c>
      <c r="AE334" s="180">
        <f>VLOOKUP($A334,'Key Inputs_BY Techs'!$B$198:$AJ$207,AE$310,FALSE)/8760</f>
        <v>7.7640907014416241E-2</v>
      </c>
      <c r="AF334" s="180">
        <f>VLOOKUP($A334,'Key Inputs_BY Techs'!$B$198:$AJ$207,AF$310,FALSE)/8760</f>
        <v>6.6864645901418843E-2</v>
      </c>
      <c r="AG334" s="180">
        <f>VLOOKUP($A334,'Key Inputs_BY Techs'!$B$198:$AJ$207,AG$310,FALSE)/8760</f>
        <v>6.6864645901418843E-2</v>
      </c>
      <c r="AH334" s="180">
        <f>VLOOKUP($A334,'Key Inputs_BY Techs'!$B$198:$AJ$207,AH$310,FALSE)/8760</f>
        <v>4.1666666666666664E-2</v>
      </c>
      <c r="AI334" s="180">
        <f>VLOOKUP($A334,'Key Inputs_BY Techs'!$B$198:$AJ$207,AI$310,FALSE)/8760</f>
        <v>4.1666666666666664E-2</v>
      </c>
      <c r="AJ334" s="180">
        <f>VLOOKUP($A334,'Key Inputs_BY Techs'!$B$198:$AJ$207,AJ$310,FALSE)/8760</f>
        <v>5.1477189103886295E-2</v>
      </c>
      <c r="AK334" s="180">
        <f>VLOOKUP($A334,'Key Inputs_BY Techs'!$B$198:$AJ$207,AK$310,FALSE)/8760</f>
        <v>4.1666666666666664E-2</v>
      </c>
      <c r="AL334" s="180">
        <f>VLOOKUP($A334,'Key Inputs_BY Techs'!$B$198:$AJ$207,AL$310,FALSE)/8760</f>
        <v>7.0781511423467725E-2</v>
      </c>
      <c r="AM334" s="180">
        <f>VLOOKUP($A334,'Key Inputs_BY Techs'!$B$198:$AJ$207,AM$310,FALSE)/8760</f>
        <v>4.1666666666666664E-2</v>
      </c>
      <c r="AN334" s="180">
        <f>VLOOKUP($A334,'Key Inputs_BY Techs'!$B$198:$AJ$207,AN$310,FALSE)/8760</f>
        <v>4.8525528371344114E-2</v>
      </c>
      <c r="AO334" s="180">
        <f>VLOOKUP($A334,'Key Inputs_BY Techs'!$B$198:$AJ$207,AO$310,FALSE)/8760</f>
        <v>4.1991055814934002E-2</v>
      </c>
      <c r="AP334" s="180">
        <f>VLOOKUP($A334,'Key Inputs_BY Techs'!$B$198:$AJ$207,AP$310,FALSE)/8760</f>
        <v>0.10573317089500424</v>
      </c>
      <c r="AQ334" s="180">
        <f>VLOOKUP($A334,'Key Inputs_BY Techs'!$B$198:$AJ$207,AQ$310,FALSE)/8760</f>
        <v>8.0437275857606058E-2</v>
      </c>
      <c r="AR334" s="180">
        <f>VLOOKUP($A334,'Key Inputs_BY Techs'!$B$198:$AJ$207,AR$310,FALSE)/8760</f>
        <v>6.6692438947101099E-2</v>
      </c>
      <c r="AS334" s="119"/>
      <c r="AT334" s="119"/>
      <c r="AV334" s="127"/>
      <c r="BF334" s="114"/>
      <c r="BG334" s="182"/>
      <c r="BH334" s="182"/>
      <c r="BI334" s="183"/>
      <c r="BJ334" s="183"/>
      <c r="BK334" s="183"/>
    </row>
    <row r="335" spans="1:63" x14ac:dyDescent="0.25">
      <c r="A335" s="245" t="str">
        <f t="shared" si="42"/>
        <v>Thermal uses</v>
      </c>
      <c r="B335" s="245" t="str">
        <f t="shared" si="42"/>
        <v>R-THL</v>
      </c>
      <c r="C335" s="245" t="str">
        <f t="shared" si="42"/>
        <v>Solar</v>
      </c>
      <c r="D335" s="245" t="str">
        <f t="shared" si="42"/>
        <v>RSDSOL</v>
      </c>
      <c r="E335" s="249" t="str">
        <f t="shared" si="42"/>
        <v>RSDSOL</v>
      </c>
      <c r="F335" s="252" t="str">
        <f t="shared" si="42"/>
        <v>Thermal (Ord.)</v>
      </c>
      <c r="G335" s="250" t="str">
        <f t="shared" si="42"/>
        <v>01</v>
      </c>
      <c r="H335" s="250"/>
      <c r="I335" s="250"/>
      <c r="K335" s="201" t="str">
        <f>IF('Commodities &amp; Processes'!L79="",'Commodities &amp; Processes'!K79,'Commodities &amp; Processes'!L79)</f>
        <v>R-THL-HEX_SOL01</v>
      </c>
      <c r="L335" s="109" t="str">
        <f>IF('Commodities &amp; Processes'!M79="","",'Commodities &amp; Processes'!M79)</f>
        <v>RSD Thermal uses technology: Solar Thermal (Ord.) -New</v>
      </c>
      <c r="O335" s="109" t="s">
        <v>313</v>
      </c>
      <c r="P335" s="109" t="s">
        <v>174</v>
      </c>
      <c r="Q335" s="180">
        <f>VLOOKUP($A335,'Key Inputs_BY Techs'!$B$198:$AJ$207,Q$310,FALSE)/8760</f>
        <v>4.5322895632501033E-2</v>
      </c>
      <c r="R335" s="180">
        <f>VLOOKUP($A335,'Key Inputs_BY Techs'!$B$198:$AJ$207,R$310,FALSE)/8760</f>
        <v>4.5047579105877276E-2</v>
      </c>
      <c r="S335" s="180">
        <f>VLOOKUP($A335,'Key Inputs_BY Techs'!$B$198:$AJ$207,S$310,FALSE)/8760</f>
        <v>4.1991055814934002E-2</v>
      </c>
      <c r="T335" s="180">
        <f>VLOOKUP($A335,'Key Inputs_BY Techs'!$B$198:$AJ$207,T$310,FALSE)/8760</f>
        <v>4.1685785869904429E-2</v>
      </c>
      <c r="U335" s="180">
        <f>VLOOKUP($A335,'Key Inputs_BY Techs'!$B$198:$AJ$207,U$310,FALSE)/8760</f>
        <v>5.0682342606484215E-2</v>
      </c>
      <c r="V335" s="180">
        <f>VLOOKUP($A335,'Key Inputs_BY Techs'!$B$198:$AJ$207,V$310,FALSE)/8760</f>
        <v>5.807085407630011E-2</v>
      </c>
      <c r="W335" s="180">
        <f>VLOOKUP($A335,'Key Inputs_BY Techs'!$B$198:$AJ$207,W$310,FALSE)/8760</f>
        <v>4.1687877260716787E-2</v>
      </c>
      <c r="X335" s="180">
        <f>VLOOKUP($A335,'Key Inputs_BY Techs'!$B$198:$AJ$207,X$310,FALSE)/8760</f>
        <v>4.2884552320900708E-2</v>
      </c>
      <c r="Y335" s="180">
        <f>VLOOKUP($A335,'Key Inputs_BY Techs'!$B$198:$AJ$207,Y$310,FALSE)/8760</f>
        <v>4.1666666666666664E-2</v>
      </c>
      <c r="Z335" s="180">
        <f>VLOOKUP($A335,'Key Inputs_BY Techs'!$B$198:$AJ$207,Z$310,FALSE)/8760</f>
        <v>0.12925469986413698</v>
      </c>
      <c r="AA335" s="180">
        <f>VLOOKUP($A335,'Key Inputs_BY Techs'!$B$198:$AJ$207,AA$310,FALSE)/8760</f>
        <v>5.6018402502504346E-2</v>
      </c>
      <c r="AB335" s="180">
        <f>VLOOKUP($A335,'Key Inputs_BY Techs'!$B$198:$AJ$207,AB$310,FALSE)/8760</f>
        <v>8.0456212261297039E-2</v>
      </c>
      <c r="AC335" s="180">
        <f>VLOOKUP($A335,'Key Inputs_BY Techs'!$B$198:$AJ$207,AC$310,FALSE)/8760</f>
        <v>8.196249702811996E-2</v>
      </c>
      <c r="AD335" s="180">
        <f>VLOOKUP($A335,'Key Inputs_BY Techs'!$B$198:$AJ$207,AD$310,FALSE)/8760</f>
        <v>9.0560920532517131E-2</v>
      </c>
      <c r="AE335" s="180">
        <f>VLOOKUP($A335,'Key Inputs_BY Techs'!$B$198:$AJ$207,AE$310,FALSE)/8760</f>
        <v>7.7640907014416241E-2</v>
      </c>
      <c r="AF335" s="180">
        <f>VLOOKUP($A335,'Key Inputs_BY Techs'!$B$198:$AJ$207,AF$310,FALSE)/8760</f>
        <v>6.6864645901418843E-2</v>
      </c>
      <c r="AG335" s="180">
        <f>VLOOKUP($A335,'Key Inputs_BY Techs'!$B$198:$AJ$207,AG$310,FALSE)/8760</f>
        <v>6.6864645901418843E-2</v>
      </c>
      <c r="AH335" s="180">
        <f>VLOOKUP($A335,'Key Inputs_BY Techs'!$B$198:$AJ$207,AH$310,FALSE)/8760</f>
        <v>4.1666666666666664E-2</v>
      </c>
      <c r="AI335" s="180">
        <f>VLOOKUP($A335,'Key Inputs_BY Techs'!$B$198:$AJ$207,AI$310,FALSE)/8760</f>
        <v>4.1666666666666664E-2</v>
      </c>
      <c r="AJ335" s="180">
        <f>VLOOKUP($A335,'Key Inputs_BY Techs'!$B$198:$AJ$207,AJ$310,FALSE)/8760</f>
        <v>5.1477189103886295E-2</v>
      </c>
      <c r="AK335" s="180">
        <f>VLOOKUP($A335,'Key Inputs_BY Techs'!$B$198:$AJ$207,AK$310,FALSE)/8760</f>
        <v>4.1666666666666664E-2</v>
      </c>
      <c r="AL335" s="180">
        <f>VLOOKUP($A335,'Key Inputs_BY Techs'!$B$198:$AJ$207,AL$310,FALSE)/8760</f>
        <v>7.0781511423467725E-2</v>
      </c>
      <c r="AM335" s="180">
        <f>VLOOKUP($A335,'Key Inputs_BY Techs'!$B$198:$AJ$207,AM$310,FALSE)/8760</f>
        <v>4.1666666666666664E-2</v>
      </c>
      <c r="AN335" s="180">
        <f>VLOOKUP($A335,'Key Inputs_BY Techs'!$B$198:$AJ$207,AN$310,FALSE)/8760</f>
        <v>4.8525528371344114E-2</v>
      </c>
      <c r="AO335" s="180">
        <f>VLOOKUP($A335,'Key Inputs_BY Techs'!$B$198:$AJ$207,AO$310,FALSE)/8760</f>
        <v>4.1991055814934002E-2</v>
      </c>
      <c r="AP335" s="180">
        <f>VLOOKUP($A335,'Key Inputs_BY Techs'!$B$198:$AJ$207,AP$310,FALSE)/8760</f>
        <v>0.10573317089500424</v>
      </c>
      <c r="AQ335" s="180">
        <f>VLOOKUP($A335,'Key Inputs_BY Techs'!$B$198:$AJ$207,AQ$310,FALSE)/8760</f>
        <v>8.0437275857606058E-2</v>
      </c>
      <c r="AR335" s="180">
        <f>VLOOKUP($A335,'Key Inputs_BY Techs'!$B$198:$AJ$207,AR$310,FALSE)/8760</f>
        <v>6.6692438947101099E-2</v>
      </c>
      <c r="AS335" s="119"/>
      <c r="AT335" s="114"/>
      <c r="AV335" s="126"/>
      <c r="BF335" s="114"/>
      <c r="BG335" s="122"/>
      <c r="BH335" s="122"/>
    </row>
    <row r="336" spans="1:63" x14ac:dyDescent="0.25">
      <c r="A336" s="245" t="str">
        <f t="shared" ref="A336:G336" si="43">A31</f>
        <v>Thermal uses</v>
      </c>
      <c r="B336" s="245" t="str">
        <f t="shared" si="43"/>
        <v>R-THH</v>
      </c>
      <c r="C336" s="245" t="str">
        <f t="shared" si="43"/>
        <v>Biomass</v>
      </c>
      <c r="D336" s="245" t="str">
        <f t="shared" si="43"/>
        <v>RSDBIO</v>
      </c>
      <c r="E336" s="249" t="str">
        <f t="shared" si="43"/>
        <v>RSDBIO</v>
      </c>
      <c r="F336" s="252" t="str">
        <f t="shared" si="43"/>
        <v>Wood Stove (Ord.)</v>
      </c>
      <c r="G336" s="250" t="str">
        <f t="shared" si="43"/>
        <v>01</v>
      </c>
      <c r="H336" s="250"/>
      <c r="I336" s="250"/>
      <c r="K336" s="201" t="str">
        <f>IF('Commodities &amp; Processes'!L80="",'Commodities &amp; Processes'!K80,'Commodities &amp; Processes'!L80)</f>
        <v>R-THH-STV_BIO01</v>
      </c>
      <c r="L336" s="109" t="str">
        <f>IF('Commodities &amp; Processes'!M80="","",'Commodities &amp; Processes'!M80)</f>
        <v>RSD Thermal uses technology: Biomass Wood Stove (Ord.) -New</v>
      </c>
      <c r="O336" s="109" t="s">
        <v>313</v>
      </c>
      <c r="P336" s="109" t="s">
        <v>174</v>
      </c>
      <c r="Q336" s="180">
        <f>VLOOKUP($A336,'Key Inputs_BY Techs'!$B$198:$AJ$207,Q$310,FALSE)/8760</f>
        <v>4.5322895632501033E-2</v>
      </c>
      <c r="R336" s="180">
        <f>VLOOKUP($A336,'Key Inputs_BY Techs'!$B$198:$AJ$207,R$310,FALSE)/8760</f>
        <v>4.5047579105877276E-2</v>
      </c>
      <c r="S336" s="180">
        <f>VLOOKUP($A336,'Key Inputs_BY Techs'!$B$198:$AJ$207,S$310,FALSE)/8760</f>
        <v>4.1991055814934002E-2</v>
      </c>
      <c r="T336" s="180">
        <f>VLOOKUP($A336,'Key Inputs_BY Techs'!$B$198:$AJ$207,T$310,FALSE)/8760</f>
        <v>4.1685785869904429E-2</v>
      </c>
      <c r="U336" s="180">
        <f>VLOOKUP($A336,'Key Inputs_BY Techs'!$B$198:$AJ$207,U$310,FALSE)/8760</f>
        <v>5.0682342606484215E-2</v>
      </c>
      <c r="V336" s="180">
        <f>VLOOKUP($A336,'Key Inputs_BY Techs'!$B$198:$AJ$207,V$310,FALSE)/8760</f>
        <v>5.807085407630011E-2</v>
      </c>
      <c r="W336" s="180">
        <f>VLOOKUP($A336,'Key Inputs_BY Techs'!$B$198:$AJ$207,W$310,FALSE)/8760</f>
        <v>4.1687877260716787E-2</v>
      </c>
      <c r="X336" s="180">
        <f>VLOOKUP($A336,'Key Inputs_BY Techs'!$B$198:$AJ$207,X$310,FALSE)/8760</f>
        <v>4.2884552320900708E-2</v>
      </c>
      <c r="Y336" s="180">
        <f>VLOOKUP($A336,'Key Inputs_BY Techs'!$B$198:$AJ$207,Y$310,FALSE)/8760</f>
        <v>4.1666666666666664E-2</v>
      </c>
      <c r="Z336" s="180">
        <f>VLOOKUP($A336,'Key Inputs_BY Techs'!$B$198:$AJ$207,Z$310,FALSE)/8760</f>
        <v>0.12925469986413698</v>
      </c>
      <c r="AA336" s="180">
        <f>VLOOKUP($A336,'Key Inputs_BY Techs'!$B$198:$AJ$207,AA$310,FALSE)/8760</f>
        <v>5.6018402502504346E-2</v>
      </c>
      <c r="AB336" s="180">
        <f>VLOOKUP($A336,'Key Inputs_BY Techs'!$B$198:$AJ$207,AB$310,FALSE)/8760</f>
        <v>8.0456212261297039E-2</v>
      </c>
      <c r="AC336" s="180">
        <f>VLOOKUP($A336,'Key Inputs_BY Techs'!$B$198:$AJ$207,AC$310,FALSE)/8760</f>
        <v>8.196249702811996E-2</v>
      </c>
      <c r="AD336" s="180">
        <f>VLOOKUP($A336,'Key Inputs_BY Techs'!$B$198:$AJ$207,AD$310,FALSE)/8760</f>
        <v>9.0560920532517131E-2</v>
      </c>
      <c r="AE336" s="180">
        <f>VLOOKUP($A336,'Key Inputs_BY Techs'!$B$198:$AJ$207,AE$310,FALSE)/8760</f>
        <v>7.7640907014416241E-2</v>
      </c>
      <c r="AF336" s="180">
        <f>VLOOKUP($A336,'Key Inputs_BY Techs'!$B$198:$AJ$207,AF$310,FALSE)/8760</f>
        <v>6.6864645901418843E-2</v>
      </c>
      <c r="AG336" s="180">
        <f>VLOOKUP($A336,'Key Inputs_BY Techs'!$B$198:$AJ$207,AG$310,FALSE)/8760</f>
        <v>6.6864645901418843E-2</v>
      </c>
      <c r="AH336" s="180">
        <f>VLOOKUP($A336,'Key Inputs_BY Techs'!$B$198:$AJ$207,AH$310,FALSE)/8760</f>
        <v>4.1666666666666664E-2</v>
      </c>
      <c r="AI336" s="180">
        <f>VLOOKUP($A336,'Key Inputs_BY Techs'!$B$198:$AJ$207,AI$310,FALSE)/8760</f>
        <v>4.1666666666666664E-2</v>
      </c>
      <c r="AJ336" s="180">
        <f>VLOOKUP($A336,'Key Inputs_BY Techs'!$B$198:$AJ$207,AJ$310,FALSE)/8760</f>
        <v>5.1477189103886295E-2</v>
      </c>
      <c r="AK336" s="180">
        <f>VLOOKUP($A336,'Key Inputs_BY Techs'!$B$198:$AJ$207,AK$310,FALSE)/8760</f>
        <v>4.1666666666666664E-2</v>
      </c>
      <c r="AL336" s="180">
        <f>VLOOKUP($A336,'Key Inputs_BY Techs'!$B$198:$AJ$207,AL$310,FALSE)/8760</f>
        <v>7.0781511423467725E-2</v>
      </c>
      <c r="AM336" s="180">
        <f>VLOOKUP($A336,'Key Inputs_BY Techs'!$B$198:$AJ$207,AM$310,FALSE)/8760</f>
        <v>4.1666666666666664E-2</v>
      </c>
      <c r="AN336" s="180">
        <f>VLOOKUP($A336,'Key Inputs_BY Techs'!$B$198:$AJ$207,AN$310,FALSE)/8760</f>
        <v>4.8525528371344114E-2</v>
      </c>
      <c r="AO336" s="180">
        <f>VLOOKUP($A336,'Key Inputs_BY Techs'!$B$198:$AJ$207,AO$310,FALSE)/8760</f>
        <v>4.1991055814934002E-2</v>
      </c>
      <c r="AP336" s="180">
        <f>VLOOKUP($A336,'Key Inputs_BY Techs'!$B$198:$AJ$207,AP$310,FALSE)/8760</f>
        <v>0.10573317089500424</v>
      </c>
      <c r="AQ336" s="180">
        <f>VLOOKUP($A336,'Key Inputs_BY Techs'!$B$198:$AJ$207,AQ$310,FALSE)/8760</f>
        <v>8.0437275857606058E-2</v>
      </c>
      <c r="AR336" s="180">
        <f>VLOOKUP($A336,'Key Inputs_BY Techs'!$B$198:$AJ$207,AR$310,FALSE)/8760</f>
        <v>6.6692438947101099E-2</v>
      </c>
      <c r="AS336" s="119"/>
      <c r="AT336" s="114"/>
      <c r="AV336" s="126"/>
      <c r="BF336" s="114"/>
      <c r="BG336" s="122"/>
      <c r="BH336" s="122"/>
    </row>
    <row r="337" spans="1:60" x14ac:dyDescent="0.25">
      <c r="A337" s="245" t="str">
        <f t="shared" ref="A337:G337" si="44">A32</f>
        <v>Thermal uses</v>
      </c>
      <c r="B337" s="245" t="str">
        <f t="shared" si="44"/>
        <v>R-THH</v>
      </c>
      <c r="C337" s="245" t="str">
        <f t="shared" si="44"/>
        <v>Biomass</v>
      </c>
      <c r="D337" s="245" t="str">
        <f t="shared" si="44"/>
        <v>RSDBIO</v>
      </c>
      <c r="E337" s="249" t="str">
        <f t="shared" si="44"/>
        <v>RSDBIO</v>
      </c>
      <c r="F337" s="252" t="str">
        <f t="shared" si="44"/>
        <v>Wood Stove (Imp.)</v>
      </c>
      <c r="G337" s="250" t="str">
        <f t="shared" si="44"/>
        <v>02</v>
      </c>
      <c r="H337" s="250"/>
      <c r="I337" s="250"/>
      <c r="K337" s="201" t="str">
        <f>IF('Commodities &amp; Processes'!L81="",'Commodities &amp; Processes'!K81,'Commodities &amp; Processes'!L81)</f>
        <v>R-THH-STV_BIO02</v>
      </c>
      <c r="L337" s="109" t="str">
        <f>IF('Commodities &amp; Processes'!M81="","",'Commodities &amp; Processes'!M81)</f>
        <v>RSD Thermal uses technology: Biomass Wood Stove (Imp.) -New</v>
      </c>
      <c r="O337" s="109" t="s">
        <v>313</v>
      </c>
      <c r="P337" s="109" t="s">
        <v>174</v>
      </c>
      <c r="Q337" s="180">
        <f>VLOOKUP($A337,'Key Inputs_BY Techs'!$B$198:$AJ$207,Q$310,FALSE)/8760</f>
        <v>4.5322895632501033E-2</v>
      </c>
      <c r="R337" s="180">
        <f>VLOOKUP($A337,'Key Inputs_BY Techs'!$B$198:$AJ$207,R$310,FALSE)/8760</f>
        <v>4.5047579105877276E-2</v>
      </c>
      <c r="S337" s="180">
        <f>VLOOKUP($A337,'Key Inputs_BY Techs'!$B$198:$AJ$207,S$310,FALSE)/8760</f>
        <v>4.1991055814934002E-2</v>
      </c>
      <c r="T337" s="180">
        <f>VLOOKUP($A337,'Key Inputs_BY Techs'!$B$198:$AJ$207,T$310,FALSE)/8760</f>
        <v>4.1685785869904429E-2</v>
      </c>
      <c r="U337" s="180">
        <f>VLOOKUP($A337,'Key Inputs_BY Techs'!$B$198:$AJ$207,U$310,FALSE)/8760</f>
        <v>5.0682342606484215E-2</v>
      </c>
      <c r="V337" s="180">
        <f>VLOOKUP($A337,'Key Inputs_BY Techs'!$B$198:$AJ$207,V$310,FALSE)/8760</f>
        <v>5.807085407630011E-2</v>
      </c>
      <c r="W337" s="180">
        <f>VLOOKUP($A337,'Key Inputs_BY Techs'!$B$198:$AJ$207,W$310,FALSE)/8760</f>
        <v>4.1687877260716787E-2</v>
      </c>
      <c r="X337" s="180">
        <f>VLOOKUP($A337,'Key Inputs_BY Techs'!$B$198:$AJ$207,X$310,FALSE)/8760</f>
        <v>4.2884552320900708E-2</v>
      </c>
      <c r="Y337" s="180">
        <f>VLOOKUP($A337,'Key Inputs_BY Techs'!$B$198:$AJ$207,Y$310,FALSE)/8760</f>
        <v>4.1666666666666664E-2</v>
      </c>
      <c r="Z337" s="180">
        <f>VLOOKUP($A337,'Key Inputs_BY Techs'!$B$198:$AJ$207,Z$310,FALSE)/8760</f>
        <v>0.12925469986413698</v>
      </c>
      <c r="AA337" s="180">
        <f>VLOOKUP($A337,'Key Inputs_BY Techs'!$B$198:$AJ$207,AA$310,FALSE)/8760</f>
        <v>5.6018402502504346E-2</v>
      </c>
      <c r="AB337" s="180">
        <f>VLOOKUP($A337,'Key Inputs_BY Techs'!$B$198:$AJ$207,AB$310,FALSE)/8760</f>
        <v>8.0456212261297039E-2</v>
      </c>
      <c r="AC337" s="180">
        <f>VLOOKUP($A337,'Key Inputs_BY Techs'!$B$198:$AJ$207,AC$310,FALSE)/8760</f>
        <v>8.196249702811996E-2</v>
      </c>
      <c r="AD337" s="180">
        <f>VLOOKUP($A337,'Key Inputs_BY Techs'!$B$198:$AJ$207,AD$310,FALSE)/8760</f>
        <v>9.0560920532517131E-2</v>
      </c>
      <c r="AE337" s="180">
        <f>VLOOKUP($A337,'Key Inputs_BY Techs'!$B$198:$AJ$207,AE$310,FALSE)/8760</f>
        <v>7.7640907014416241E-2</v>
      </c>
      <c r="AF337" s="180">
        <f>VLOOKUP($A337,'Key Inputs_BY Techs'!$B$198:$AJ$207,AF$310,FALSE)/8760</f>
        <v>6.6864645901418843E-2</v>
      </c>
      <c r="AG337" s="180">
        <f>VLOOKUP($A337,'Key Inputs_BY Techs'!$B$198:$AJ$207,AG$310,FALSE)/8760</f>
        <v>6.6864645901418843E-2</v>
      </c>
      <c r="AH337" s="180">
        <f>VLOOKUP($A337,'Key Inputs_BY Techs'!$B$198:$AJ$207,AH$310,FALSE)/8760</f>
        <v>4.1666666666666664E-2</v>
      </c>
      <c r="AI337" s="180">
        <f>VLOOKUP($A337,'Key Inputs_BY Techs'!$B$198:$AJ$207,AI$310,FALSE)/8760</f>
        <v>4.1666666666666664E-2</v>
      </c>
      <c r="AJ337" s="180">
        <f>VLOOKUP($A337,'Key Inputs_BY Techs'!$B$198:$AJ$207,AJ$310,FALSE)/8760</f>
        <v>5.1477189103886295E-2</v>
      </c>
      <c r="AK337" s="180">
        <f>VLOOKUP($A337,'Key Inputs_BY Techs'!$B$198:$AJ$207,AK$310,FALSE)/8760</f>
        <v>4.1666666666666664E-2</v>
      </c>
      <c r="AL337" s="180">
        <f>VLOOKUP($A337,'Key Inputs_BY Techs'!$B$198:$AJ$207,AL$310,FALSE)/8760</f>
        <v>7.0781511423467725E-2</v>
      </c>
      <c r="AM337" s="180">
        <f>VLOOKUP($A337,'Key Inputs_BY Techs'!$B$198:$AJ$207,AM$310,FALSE)/8760</f>
        <v>4.1666666666666664E-2</v>
      </c>
      <c r="AN337" s="180">
        <f>VLOOKUP($A337,'Key Inputs_BY Techs'!$B$198:$AJ$207,AN$310,FALSE)/8760</f>
        <v>4.8525528371344114E-2</v>
      </c>
      <c r="AO337" s="180">
        <f>VLOOKUP($A337,'Key Inputs_BY Techs'!$B$198:$AJ$207,AO$310,FALSE)/8760</f>
        <v>4.1991055814934002E-2</v>
      </c>
      <c r="AP337" s="180">
        <f>VLOOKUP($A337,'Key Inputs_BY Techs'!$B$198:$AJ$207,AP$310,FALSE)/8760</f>
        <v>0.10573317089500424</v>
      </c>
      <c r="AQ337" s="180">
        <f>VLOOKUP($A337,'Key Inputs_BY Techs'!$B$198:$AJ$207,AQ$310,FALSE)/8760</f>
        <v>8.0437275857606058E-2</v>
      </c>
      <c r="AR337" s="180">
        <f>VLOOKUP($A337,'Key Inputs_BY Techs'!$B$198:$AJ$207,AR$310,FALSE)/8760</f>
        <v>6.6692438947101099E-2</v>
      </c>
      <c r="AS337" s="119"/>
      <c r="AT337" s="114"/>
      <c r="AV337" s="126"/>
      <c r="BF337" s="114"/>
      <c r="BG337" s="122"/>
      <c r="BH337" s="122"/>
    </row>
    <row r="338" spans="1:60" x14ac:dyDescent="0.25">
      <c r="A338" s="245" t="str">
        <f t="shared" ref="A338:G338" si="45">A33</f>
        <v>Thermal uses</v>
      </c>
      <c r="B338" s="245" t="str">
        <f t="shared" si="45"/>
        <v>R-THH</v>
      </c>
      <c r="C338" s="245" t="str">
        <f t="shared" si="45"/>
        <v>Biomass</v>
      </c>
      <c r="D338" s="245" t="str">
        <f t="shared" si="45"/>
        <v>RSDBIO</v>
      </c>
      <c r="E338" s="249" t="str">
        <f t="shared" si="45"/>
        <v>RSDBIO</v>
      </c>
      <c r="F338" s="252" t="str">
        <f t="shared" si="45"/>
        <v>Wood Stove (Adv.))</v>
      </c>
      <c r="G338" s="250" t="str">
        <f t="shared" si="45"/>
        <v>03</v>
      </c>
      <c r="H338" s="250"/>
      <c r="I338" s="250"/>
      <c r="K338" s="201" t="str">
        <f>IF('Commodities &amp; Processes'!L82="",'Commodities &amp; Processes'!K82,'Commodities &amp; Processes'!L82)</f>
        <v>R-THH-STV_BIO03</v>
      </c>
      <c r="L338" s="109" t="str">
        <f>IF('Commodities &amp; Processes'!M82="","",'Commodities &amp; Processes'!M82)</f>
        <v>RSD Thermal uses technology: Biomass Wood Stove (Adv.)) -New</v>
      </c>
      <c r="O338" s="109" t="s">
        <v>313</v>
      </c>
      <c r="P338" s="109" t="s">
        <v>174</v>
      </c>
      <c r="Q338" s="180">
        <f>VLOOKUP($A338,'Key Inputs_BY Techs'!$B$198:$AJ$207,Q$310,FALSE)/8760</f>
        <v>4.5322895632501033E-2</v>
      </c>
      <c r="R338" s="180">
        <f>VLOOKUP($A338,'Key Inputs_BY Techs'!$B$198:$AJ$207,R$310,FALSE)/8760</f>
        <v>4.5047579105877276E-2</v>
      </c>
      <c r="S338" s="180">
        <f>VLOOKUP($A338,'Key Inputs_BY Techs'!$B$198:$AJ$207,S$310,FALSE)/8760</f>
        <v>4.1991055814934002E-2</v>
      </c>
      <c r="T338" s="180">
        <f>VLOOKUP($A338,'Key Inputs_BY Techs'!$B$198:$AJ$207,T$310,FALSE)/8760</f>
        <v>4.1685785869904429E-2</v>
      </c>
      <c r="U338" s="180">
        <f>VLOOKUP($A338,'Key Inputs_BY Techs'!$B$198:$AJ$207,U$310,FALSE)/8760</f>
        <v>5.0682342606484215E-2</v>
      </c>
      <c r="V338" s="180">
        <f>VLOOKUP($A338,'Key Inputs_BY Techs'!$B$198:$AJ$207,V$310,FALSE)/8760</f>
        <v>5.807085407630011E-2</v>
      </c>
      <c r="W338" s="180">
        <f>VLOOKUP($A338,'Key Inputs_BY Techs'!$B$198:$AJ$207,W$310,FALSE)/8760</f>
        <v>4.1687877260716787E-2</v>
      </c>
      <c r="X338" s="180">
        <f>VLOOKUP($A338,'Key Inputs_BY Techs'!$B$198:$AJ$207,X$310,FALSE)/8760</f>
        <v>4.2884552320900708E-2</v>
      </c>
      <c r="Y338" s="180">
        <f>VLOOKUP($A338,'Key Inputs_BY Techs'!$B$198:$AJ$207,Y$310,FALSE)/8760</f>
        <v>4.1666666666666664E-2</v>
      </c>
      <c r="Z338" s="180">
        <f>VLOOKUP($A338,'Key Inputs_BY Techs'!$B$198:$AJ$207,Z$310,FALSE)/8760</f>
        <v>0.12925469986413698</v>
      </c>
      <c r="AA338" s="180">
        <f>VLOOKUP($A338,'Key Inputs_BY Techs'!$B$198:$AJ$207,AA$310,FALSE)/8760</f>
        <v>5.6018402502504346E-2</v>
      </c>
      <c r="AB338" s="180">
        <f>VLOOKUP($A338,'Key Inputs_BY Techs'!$B$198:$AJ$207,AB$310,FALSE)/8760</f>
        <v>8.0456212261297039E-2</v>
      </c>
      <c r="AC338" s="180">
        <f>VLOOKUP($A338,'Key Inputs_BY Techs'!$B$198:$AJ$207,AC$310,FALSE)/8760</f>
        <v>8.196249702811996E-2</v>
      </c>
      <c r="AD338" s="180">
        <f>VLOOKUP($A338,'Key Inputs_BY Techs'!$B$198:$AJ$207,AD$310,FALSE)/8760</f>
        <v>9.0560920532517131E-2</v>
      </c>
      <c r="AE338" s="180">
        <f>VLOOKUP($A338,'Key Inputs_BY Techs'!$B$198:$AJ$207,AE$310,FALSE)/8760</f>
        <v>7.7640907014416241E-2</v>
      </c>
      <c r="AF338" s="180">
        <f>VLOOKUP($A338,'Key Inputs_BY Techs'!$B$198:$AJ$207,AF$310,FALSE)/8760</f>
        <v>6.6864645901418843E-2</v>
      </c>
      <c r="AG338" s="180">
        <f>VLOOKUP($A338,'Key Inputs_BY Techs'!$B$198:$AJ$207,AG$310,FALSE)/8760</f>
        <v>6.6864645901418843E-2</v>
      </c>
      <c r="AH338" s="180">
        <f>VLOOKUP($A338,'Key Inputs_BY Techs'!$B$198:$AJ$207,AH$310,FALSE)/8760</f>
        <v>4.1666666666666664E-2</v>
      </c>
      <c r="AI338" s="180">
        <f>VLOOKUP($A338,'Key Inputs_BY Techs'!$B$198:$AJ$207,AI$310,FALSE)/8760</f>
        <v>4.1666666666666664E-2</v>
      </c>
      <c r="AJ338" s="180">
        <f>VLOOKUP($A338,'Key Inputs_BY Techs'!$B$198:$AJ$207,AJ$310,FALSE)/8760</f>
        <v>5.1477189103886295E-2</v>
      </c>
      <c r="AK338" s="180">
        <f>VLOOKUP($A338,'Key Inputs_BY Techs'!$B$198:$AJ$207,AK$310,FALSE)/8760</f>
        <v>4.1666666666666664E-2</v>
      </c>
      <c r="AL338" s="180">
        <f>VLOOKUP($A338,'Key Inputs_BY Techs'!$B$198:$AJ$207,AL$310,FALSE)/8760</f>
        <v>7.0781511423467725E-2</v>
      </c>
      <c r="AM338" s="180">
        <f>VLOOKUP($A338,'Key Inputs_BY Techs'!$B$198:$AJ$207,AM$310,FALSE)/8760</f>
        <v>4.1666666666666664E-2</v>
      </c>
      <c r="AN338" s="180">
        <f>VLOOKUP($A338,'Key Inputs_BY Techs'!$B$198:$AJ$207,AN$310,FALSE)/8760</f>
        <v>4.8525528371344114E-2</v>
      </c>
      <c r="AO338" s="180">
        <f>VLOOKUP($A338,'Key Inputs_BY Techs'!$B$198:$AJ$207,AO$310,FALSE)/8760</f>
        <v>4.1991055814934002E-2</v>
      </c>
      <c r="AP338" s="180">
        <f>VLOOKUP($A338,'Key Inputs_BY Techs'!$B$198:$AJ$207,AP$310,FALSE)/8760</f>
        <v>0.10573317089500424</v>
      </c>
      <c r="AQ338" s="180">
        <f>VLOOKUP($A338,'Key Inputs_BY Techs'!$B$198:$AJ$207,AQ$310,FALSE)/8760</f>
        <v>8.0437275857606058E-2</v>
      </c>
      <c r="AR338" s="180">
        <f>VLOOKUP($A338,'Key Inputs_BY Techs'!$B$198:$AJ$207,AR$310,FALSE)/8760</f>
        <v>6.6692438947101099E-2</v>
      </c>
      <c r="AS338" s="119"/>
      <c r="AT338" s="114"/>
      <c r="AV338" s="126"/>
      <c r="BF338" s="114"/>
      <c r="BG338" s="122"/>
      <c r="BH338" s="122"/>
    </row>
    <row r="339" spans="1:60" x14ac:dyDescent="0.25">
      <c r="A339" s="245" t="str">
        <f t="shared" ref="A339:G339" si="46">A34</f>
        <v>Thermal uses</v>
      </c>
      <c r="B339" s="245" t="str">
        <f t="shared" si="46"/>
        <v>R-THH</v>
      </c>
      <c r="C339" s="245" t="str">
        <f t="shared" si="46"/>
        <v>Electricity</v>
      </c>
      <c r="D339" s="245" t="str">
        <f t="shared" si="46"/>
        <v>RSDELC</v>
      </c>
      <c r="E339" s="249" t="str">
        <f t="shared" si="46"/>
        <v>RSDELC</v>
      </c>
      <c r="F339" s="252" t="str">
        <f t="shared" si="46"/>
        <v>Heat Pump Air (Ord.)</v>
      </c>
      <c r="G339" s="250" t="str">
        <f t="shared" si="46"/>
        <v>01</v>
      </c>
      <c r="H339" s="250"/>
      <c r="I339" s="250"/>
      <c r="K339" s="201" t="str">
        <f>IF('Commodities &amp; Processes'!L83="",'Commodities &amp; Processes'!K83,'Commodities &amp; Processes'!L83)</f>
        <v>R-THH-HPA_ELC01</v>
      </c>
      <c r="L339" s="109" t="str">
        <f>IF('Commodities &amp; Processes'!M83="","",'Commodities &amp; Processes'!M83)</f>
        <v>RSD Thermal uses technology: Electricity Heat Pump Air (Ord.) -New</v>
      </c>
      <c r="O339" s="109" t="s">
        <v>313</v>
      </c>
      <c r="P339" s="109" t="s">
        <v>174</v>
      </c>
      <c r="Q339" s="180">
        <f>VLOOKUP($A339,'Key Inputs_BY Techs'!$B$198:$AJ$207,Q$310,FALSE)/8760</f>
        <v>4.5322895632501033E-2</v>
      </c>
      <c r="R339" s="180">
        <f>VLOOKUP($A339,'Key Inputs_BY Techs'!$B$198:$AJ$207,R$310,FALSE)/8760</f>
        <v>4.5047579105877276E-2</v>
      </c>
      <c r="S339" s="180">
        <f>VLOOKUP($A339,'Key Inputs_BY Techs'!$B$198:$AJ$207,S$310,FALSE)/8760</f>
        <v>4.1991055814934002E-2</v>
      </c>
      <c r="T339" s="180">
        <f>VLOOKUP($A339,'Key Inputs_BY Techs'!$B$198:$AJ$207,T$310,FALSE)/8760</f>
        <v>4.1685785869904429E-2</v>
      </c>
      <c r="U339" s="180">
        <f>VLOOKUP($A339,'Key Inputs_BY Techs'!$B$198:$AJ$207,U$310,FALSE)/8760</f>
        <v>5.0682342606484215E-2</v>
      </c>
      <c r="V339" s="180">
        <f>VLOOKUP($A339,'Key Inputs_BY Techs'!$B$198:$AJ$207,V$310,FALSE)/8760</f>
        <v>5.807085407630011E-2</v>
      </c>
      <c r="W339" s="180">
        <f>VLOOKUP($A339,'Key Inputs_BY Techs'!$B$198:$AJ$207,W$310,FALSE)/8760</f>
        <v>4.1687877260716787E-2</v>
      </c>
      <c r="X339" s="180">
        <f>VLOOKUP($A339,'Key Inputs_BY Techs'!$B$198:$AJ$207,X$310,FALSE)/8760</f>
        <v>4.2884552320900708E-2</v>
      </c>
      <c r="Y339" s="180">
        <f>VLOOKUP($A339,'Key Inputs_BY Techs'!$B$198:$AJ$207,Y$310,FALSE)/8760</f>
        <v>4.1666666666666664E-2</v>
      </c>
      <c r="Z339" s="180">
        <f>VLOOKUP($A339,'Key Inputs_BY Techs'!$B$198:$AJ$207,Z$310,FALSE)/8760</f>
        <v>0.12925469986413698</v>
      </c>
      <c r="AA339" s="180">
        <f>VLOOKUP($A339,'Key Inputs_BY Techs'!$B$198:$AJ$207,AA$310,FALSE)/8760</f>
        <v>5.6018402502504346E-2</v>
      </c>
      <c r="AB339" s="180">
        <f>VLOOKUP($A339,'Key Inputs_BY Techs'!$B$198:$AJ$207,AB$310,FALSE)/8760</f>
        <v>8.0456212261297039E-2</v>
      </c>
      <c r="AC339" s="180">
        <f>VLOOKUP($A339,'Key Inputs_BY Techs'!$B$198:$AJ$207,AC$310,FALSE)/8760</f>
        <v>8.196249702811996E-2</v>
      </c>
      <c r="AD339" s="180">
        <f>VLOOKUP($A339,'Key Inputs_BY Techs'!$B$198:$AJ$207,AD$310,FALSE)/8760</f>
        <v>9.0560920532517131E-2</v>
      </c>
      <c r="AE339" s="180">
        <f>VLOOKUP($A339,'Key Inputs_BY Techs'!$B$198:$AJ$207,AE$310,FALSE)/8760</f>
        <v>7.7640907014416241E-2</v>
      </c>
      <c r="AF339" s="180">
        <f>VLOOKUP($A339,'Key Inputs_BY Techs'!$B$198:$AJ$207,AF$310,FALSE)/8760</f>
        <v>6.6864645901418843E-2</v>
      </c>
      <c r="AG339" s="180">
        <f>VLOOKUP($A339,'Key Inputs_BY Techs'!$B$198:$AJ$207,AG$310,FALSE)/8760</f>
        <v>6.6864645901418843E-2</v>
      </c>
      <c r="AH339" s="180">
        <f>VLOOKUP($A339,'Key Inputs_BY Techs'!$B$198:$AJ$207,AH$310,FALSE)/8760</f>
        <v>4.1666666666666664E-2</v>
      </c>
      <c r="AI339" s="180">
        <f>VLOOKUP($A339,'Key Inputs_BY Techs'!$B$198:$AJ$207,AI$310,FALSE)/8760</f>
        <v>4.1666666666666664E-2</v>
      </c>
      <c r="AJ339" s="180">
        <f>VLOOKUP($A339,'Key Inputs_BY Techs'!$B$198:$AJ$207,AJ$310,FALSE)/8760</f>
        <v>5.1477189103886295E-2</v>
      </c>
      <c r="AK339" s="180">
        <f>VLOOKUP($A339,'Key Inputs_BY Techs'!$B$198:$AJ$207,AK$310,FALSE)/8760</f>
        <v>4.1666666666666664E-2</v>
      </c>
      <c r="AL339" s="180">
        <f>VLOOKUP($A339,'Key Inputs_BY Techs'!$B$198:$AJ$207,AL$310,FALSE)/8760</f>
        <v>7.0781511423467725E-2</v>
      </c>
      <c r="AM339" s="180">
        <f>VLOOKUP($A339,'Key Inputs_BY Techs'!$B$198:$AJ$207,AM$310,FALSE)/8760</f>
        <v>4.1666666666666664E-2</v>
      </c>
      <c r="AN339" s="180">
        <f>VLOOKUP($A339,'Key Inputs_BY Techs'!$B$198:$AJ$207,AN$310,FALSE)/8760</f>
        <v>4.8525528371344114E-2</v>
      </c>
      <c r="AO339" s="180">
        <f>VLOOKUP($A339,'Key Inputs_BY Techs'!$B$198:$AJ$207,AO$310,FALSE)/8760</f>
        <v>4.1991055814934002E-2</v>
      </c>
      <c r="AP339" s="180">
        <f>VLOOKUP($A339,'Key Inputs_BY Techs'!$B$198:$AJ$207,AP$310,FALSE)/8760</f>
        <v>0.10573317089500424</v>
      </c>
      <c r="AQ339" s="180">
        <f>VLOOKUP($A339,'Key Inputs_BY Techs'!$B$198:$AJ$207,AQ$310,FALSE)/8760</f>
        <v>8.0437275857606058E-2</v>
      </c>
      <c r="AR339" s="180">
        <f>VLOOKUP($A339,'Key Inputs_BY Techs'!$B$198:$AJ$207,AR$310,FALSE)/8760</f>
        <v>6.6692438947101099E-2</v>
      </c>
      <c r="AS339" s="119"/>
      <c r="AT339" s="114"/>
      <c r="AV339" s="126"/>
      <c r="BF339" s="114"/>
      <c r="BG339" s="122"/>
      <c r="BH339" s="122"/>
    </row>
    <row r="340" spans="1:60" x14ac:dyDescent="0.25">
      <c r="A340" s="245" t="str">
        <f t="shared" ref="A340:G340" si="47">A35</f>
        <v>Thermal uses</v>
      </c>
      <c r="B340" s="245" t="str">
        <f t="shared" si="47"/>
        <v>R-THH</v>
      </c>
      <c r="C340" s="245" t="str">
        <f t="shared" si="47"/>
        <v>Electricity</v>
      </c>
      <c r="D340" s="245" t="str">
        <f t="shared" si="47"/>
        <v>RSDELC</v>
      </c>
      <c r="E340" s="249" t="str">
        <f t="shared" si="47"/>
        <v>RSDELC</v>
      </c>
      <c r="F340" s="252" t="str">
        <f t="shared" si="47"/>
        <v>Heat Pump Air (Imp.)</v>
      </c>
      <c r="G340" s="250" t="str">
        <f t="shared" si="47"/>
        <v>02</v>
      </c>
      <c r="H340" s="250"/>
      <c r="I340" s="250"/>
      <c r="K340" s="201" t="str">
        <f>IF('Commodities &amp; Processes'!L84="",'Commodities &amp; Processes'!K84,'Commodities &amp; Processes'!L84)</f>
        <v>R-THH-HPA_ELC02</v>
      </c>
      <c r="L340" s="109" t="str">
        <f>IF('Commodities &amp; Processes'!M84="","",'Commodities &amp; Processes'!M84)</f>
        <v>RSD Thermal uses technology: Electricity Heat Pump Air (Imp.) -New</v>
      </c>
      <c r="O340" s="109" t="s">
        <v>313</v>
      </c>
      <c r="P340" s="109" t="s">
        <v>174</v>
      </c>
      <c r="Q340" s="180">
        <f>VLOOKUP($A340,'Key Inputs_BY Techs'!$B$198:$AJ$207,Q$310,FALSE)/8760</f>
        <v>4.5322895632501033E-2</v>
      </c>
      <c r="R340" s="180">
        <f>VLOOKUP($A340,'Key Inputs_BY Techs'!$B$198:$AJ$207,R$310,FALSE)/8760</f>
        <v>4.5047579105877276E-2</v>
      </c>
      <c r="S340" s="180">
        <f>VLOOKUP($A340,'Key Inputs_BY Techs'!$B$198:$AJ$207,S$310,FALSE)/8760</f>
        <v>4.1991055814934002E-2</v>
      </c>
      <c r="T340" s="180">
        <f>VLOOKUP($A340,'Key Inputs_BY Techs'!$B$198:$AJ$207,T$310,FALSE)/8760</f>
        <v>4.1685785869904429E-2</v>
      </c>
      <c r="U340" s="180">
        <f>VLOOKUP($A340,'Key Inputs_BY Techs'!$B$198:$AJ$207,U$310,FALSE)/8760</f>
        <v>5.0682342606484215E-2</v>
      </c>
      <c r="V340" s="180">
        <f>VLOOKUP($A340,'Key Inputs_BY Techs'!$B$198:$AJ$207,V$310,FALSE)/8760</f>
        <v>5.807085407630011E-2</v>
      </c>
      <c r="W340" s="180">
        <f>VLOOKUP($A340,'Key Inputs_BY Techs'!$B$198:$AJ$207,W$310,FALSE)/8760</f>
        <v>4.1687877260716787E-2</v>
      </c>
      <c r="X340" s="180">
        <f>VLOOKUP($A340,'Key Inputs_BY Techs'!$B$198:$AJ$207,X$310,FALSE)/8760</f>
        <v>4.2884552320900708E-2</v>
      </c>
      <c r="Y340" s="180">
        <f>VLOOKUP($A340,'Key Inputs_BY Techs'!$B$198:$AJ$207,Y$310,FALSE)/8760</f>
        <v>4.1666666666666664E-2</v>
      </c>
      <c r="Z340" s="180">
        <f>VLOOKUP($A340,'Key Inputs_BY Techs'!$B$198:$AJ$207,Z$310,FALSE)/8760</f>
        <v>0.12925469986413698</v>
      </c>
      <c r="AA340" s="180">
        <f>VLOOKUP($A340,'Key Inputs_BY Techs'!$B$198:$AJ$207,AA$310,FALSE)/8760</f>
        <v>5.6018402502504346E-2</v>
      </c>
      <c r="AB340" s="180">
        <f>VLOOKUP($A340,'Key Inputs_BY Techs'!$B$198:$AJ$207,AB$310,FALSE)/8760</f>
        <v>8.0456212261297039E-2</v>
      </c>
      <c r="AC340" s="180">
        <f>VLOOKUP($A340,'Key Inputs_BY Techs'!$B$198:$AJ$207,AC$310,FALSE)/8760</f>
        <v>8.196249702811996E-2</v>
      </c>
      <c r="AD340" s="180">
        <f>VLOOKUP($A340,'Key Inputs_BY Techs'!$B$198:$AJ$207,AD$310,FALSE)/8760</f>
        <v>9.0560920532517131E-2</v>
      </c>
      <c r="AE340" s="180">
        <f>VLOOKUP($A340,'Key Inputs_BY Techs'!$B$198:$AJ$207,AE$310,FALSE)/8760</f>
        <v>7.7640907014416241E-2</v>
      </c>
      <c r="AF340" s="180">
        <f>VLOOKUP($A340,'Key Inputs_BY Techs'!$B$198:$AJ$207,AF$310,FALSE)/8760</f>
        <v>6.6864645901418843E-2</v>
      </c>
      <c r="AG340" s="180">
        <f>VLOOKUP($A340,'Key Inputs_BY Techs'!$B$198:$AJ$207,AG$310,FALSE)/8760</f>
        <v>6.6864645901418843E-2</v>
      </c>
      <c r="AH340" s="180">
        <f>VLOOKUP($A340,'Key Inputs_BY Techs'!$B$198:$AJ$207,AH$310,FALSE)/8760</f>
        <v>4.1666666666666664E-2</v>
      </c>
      <c r="AI340" s="180">
        <f>VLOOKUP($A340,'Key Inputs_BY Techs'!$B$198:$AJ$207,AI$310,FALSE)/8760</f>
        <v>4.1666666666666664E-2</v>
      </c>
      <c r="AJ340" s="180">
        <f>VLOOKUP($A340,'Key Inputs_BY Techs'!$B$198:$AJ$207,AJ$310,FALSE)/8760</f>
        <v>5.1477189103886295E-2</v>
      </c>
      <c r="AK340" s="180">
        <f>VLOOKUP($A340,'Key Inputs_BY Techs'!$B$198:$AJ$207,AK$310,FALSE)/8760</f>
        <v>4.1666666666666664E-2</v>
      </c>
      <c r="AL340" s="180">
        <f>VLOOKUP($A340,'Key Inputs_BY Techs'!$B$198:$AJ$207,AL$310,FALSE)/8760</f>
        <v>7.0781511423467725E-2</v>
      </c>
      <c r="AM340" s="180">
        <f>VLOOKUP($A340,'Key Inputs_BY Techs'!$B$198:$AJ$207,AM$310,FALSE)/8760</f>
        <v>4.1666666666666664E-2</v>
      </c>
      <c r="AN340" s="180">
        <f>VLOOKUP($A340,'Key Inputs_BY Techs'!$B$198:$AJ$207,AN$310,FALSE)/8760</f>
        <v>4.8525528371344114E-2</v>
      </c>
      <c r="AO340" s="180">
        <f>VLOOKUP($A340,'Key Inputs_BY Techs'!$B$198:$AJ$207,AO$310,FALSE)/8760</f>
        <v>4.1991055814934002E-2</v>
      </c>
      <c r="AP340" s="180">
        <f>VLOOKUP($A340,'Key Inputs_BY Techs'!$B$198:$AJ$207,AP$310,FALSE)/8760</f>
        <v>0.10573317089500424</v>
      </c>
      <c r="AQ340" s="180">
        <f>VLOOKUP($A340,'Key Inputs_BY Techs'!$B$198:$AJ$207,AQ$310,FALSE)/8760</f>
        <v>8.0437275857606058E-2</v>
      </c>
      <c r="AR340" s="180">
        <f>VLOOKUP($A340,'Key Inputs_BY Techs'!$B$198:$AJ$207,AR$310,FALSE)/8760</f>
        <v>6.6692438947101099E-2</v>
      </c>
      <c r="AS340" s="119"/>
      <c r="AT340" s="114"/>
      <c r="AV340" s="126"/>
      <c r="BF340" s="114"/>
      <c r="BG340" s="122"/>
      <c r="BH340" s="122"/>
    </row>
    <row r="341" spans="1:60" x14ac:dyDescent="0.25">
      <c r="A341" s="245" t="str">
        <f t="shared" ref="A341:G341" si="48">A36</f>
        <v>Thermal uses</v>
      </c>
      <c r="B341" s="245" t="str">
        <f t="shared" si="48"/>
        <v>R-THH</v>
      </c>
      <c r="C341" s="245" t="str">
        <f t="shared" si="48"/>
        <v>Electricity</v>
      </c>
      <c r="D341" s="245" t="str">
        <f t="shared" si="48"/>
        <v>RSDELC</v>
      </c>
      <c r="E341" s="249" t="str">
        <f t="shared" si="48"/>
        <v>RSDELC</v>
      </c>
      <c r="F341" s="252" t="str">
        <f t="shared" si="48"/>
        <v>Heat Pump Air (Adv.)</v>
      </c>
      <c r="G341" s="250" t="str">
        <f t="shared" si="48"/>
        <v>03</v>
      </c>
      <c r="H341" s="250"/>
      <c r="I341" s="250"/>
      <c r="K341" s="201" t="str">
        <f>IF('Commodities &amp; Processes'!L85="",'Commodities &amp; Processes'!K85,'Commodities &amp; Processes'!L85)</f>
        <v>R-THH-HPA_ELC03</v>
      </c>
      <c r="L341" s="109" t="str">
        <f>IF('Commodities &amp; Processes'!M85="","",'Commodities &amp; Processes'!M85)</f>
        <v>RSD Thermal uses technology: Electricity Heat Pump Air (Adv.) -New</v>
      </c>
      <c r="O341" s="109" t="s">
        <v>313</v>
      </c>
      <c r="P341" s="109" t="s">
        <v>174</v>
      </c>
      <c r="Q341" s="180">
        <f>VLOOKUP($A341,'Key Inputs_BY Techs'!$B$198:$AJ$207,Q$310,FALSE)/8760</f>
        <v>4.5322895632501033E-2</v>
      </c>
      <c r="R341" s="180">
        <f>VLOOKUP($A341,'Key Inputs_BY Techs'!$B$198:$AJ$207,R$310,FALSE)/8760</f>
        <v>4.5047579105877276E-2</v>
      </c>
      <c r="S341" s="180">
        <f>VLOOKUP($A341,'Key Inputs_BY Techs'!$B$198:$AJ$207,S$310,FALSE)/8760</f>
        <v>4.1991055814934002E-2</v>
      </c>
      <c r="T341" s="180">
        <f>VLOOKUP($A341,'Key Inputs_BY Techs'!$B$198:$AJ$207,T$310,FALSE)/8760</f>
        <v>4.1685785869904429E-2</v>
      </c>
      <c r="U341" s="180">
        <f>VLOOKUP($A341,'Key Inputs_BY Techs'!$B$198:$AJ$207,U$310,FALSE)/8760</f>
        <v>5.0682342606484215E-2</v>
      </c>
      <c r="V341" s="180">
        <f>VLOOKUP($A341,'Key Inputs_BY Techs'!$B$198:$AJ$207,V$310,FALSE)/8760</f>
        <v>5.807085407630011E-2</v>
      </c>
      <c r="W341" s="180">
        <f>VLOOKUP($A341,'Key Inputs_BY Techs'!$B$198:$AJ$207,W$310,FALSE)/8760</f>
        <v>4.1687877260716787E-2</v>
      </c>
      <c r="X341" s="180">
        <f>VLOOKUP($A341,'Key Inputs_BY Techs'!$B$198:$AJ$207,X$310,FALSE)/8760</f>
        <v>4.2884552320900708E-2</v>
      </c>
      <c r="Y341" s="180">
        <f>VLOOKUP($A341,'Key Inputs_BY Techs'!$B$198:$AJ$207,Y$310,FALSE)/8760</f>
        <v>4.1666666666666664E-2</v>
      </c>
      <c r="Z341" s="180">
        <f>VLOOKUP($A341,'Key Inputs_BY Techs'!$B$198:$AJ$207,Z$310,FALSE)/8760</f>
        <v>0.12925469986413698</v>
      </c>
      <c r="AA341" s="180">
        <f>VLOOKUP($A341,'Key Inputs_BY Techs'!$B$198:$AJ$207,AA$310,FALSE)/8760</f>
        <v>5.6018402502504346E-2</v>
      </c>
      <c r="AB341" s="180">
        <f>VLOOKUP($A341,'Key Inputs_BY Techs'!$B$198:$AJ$207,AB$310,FALSE)/8760</f>
        <v>8.0456212261297039E-2</v>
      </c>
      <c r="AC341" s="180">
        <f>VLOOKUP($A341,'Key Inputs_BY Techs'!$B$198:$AJ$207,AC$310,FALSE)/8760</f>
        <v>8.196249702811996E-2</v>
      </c>
      <c r="AD341" s="180">
        <f>VLOOKUP($A341,'Key Inputs_BY Techs'!$B$198:$AJ$207,AD$310,FALSE)/8760</f>
        <v>9.0560920532517131E-2</v>
      </c>
      <c r="AE341" s="180">
        <f>VLOOKUP($A341,'Key Inputs_BY Techs'!$B$198:$AJ$207,AE$310,FALSE)/8760</f>
        <v>7.7640907014416241E-2</v>
      </c>
      <c r="AF341" s="180">
        <f>VLOOKUP($A341,'Key Inputs_BY Techs'!$B$198:$AJ$207,AF$310,FALSE)/8760</f>
        <v>6.6864645901418843E-2</v>
      </c>
      <c r="AG341" s="180">
        <f>VLOOKUP($A341,'Key Inputs_BY Techs'!$B$198:$AJ$207,AG$310,FALSE)/8760</f>
        <v>6.6864645901418843E-2</v>
      </c>
      <c r="AH341" s="180">
        <f>VLOOKUP($A341,'Key Inputs_BY Techs'!$B$198:$AJ$207,AH$310,FALSE)/8760</f>
        <v>4.1666666666666664E-2</v>
      </c>
      <c r="AI341" s="180">
        <f>VLOOKUP($A341,'Key Inputs_BY Techs'!$B$198:$AJ$207,AI$310,FALSE)/8760</f>
        <v>4.1666666666666664E-2</v>
      </c>
      <c r="AJ341" s="180">
        <f>VLOOKUP($A341,'Key Inputs_BY Techs'!$B$198:$AJ$207,AJ$310,FALSE)/8760</f>
        <v>5.1477189103886295E-2</v>
      </c>
      <c r="AK341" s="180">
        <f>VLOOKUP($A341,'Key Inputs_BY Techs'!$B$198:$AJ$207,AK$310,FALSE)/8760</f>
        <v>4.1666666666666664E-2</v>
      </c>
      <c r="AL341" s="180">
        <f>VLOOKUP($A341,'Key Inputs_BY Techs'!$B$198:$AJ$207,AL$310,FALSE)/8760</f>
        <v>7.0781511423467725E-2</v>
      </c>
      <c r="AM341" s="180">
        <f>VLOOKUP($A341,'Key Inputs_BY Techs'!$B$198:$AJ$207,AM$310,FALSE)/8760</f>
        <v>4.1666666666666664E-2</v>
      </c>
      <c r="AN341" s="180">
        <f>VLOOKUP($A341,'Key Inputs_BY Techs'!$B$198:$AJ$207,AN$310,FALSE)/8760</f>
        <v>4.8525528371344114E-2</v>
      </c>
      <c r="AO341" s="180">
        <f>VLOOKUP($A341,'Key Inputs_BY Techs'!$B$198:$AJ$207,AO$310,FALSE)/8760</f>
        <v>4.1991055814934002E-2</v>
      </c>
      <c r="AP341" s="180">
        <f>VLOOKUP($A341,'Key Inputs_BY Techs'!$B$198:$AJ$207,AP$310,FALSE)/8760</f>
        <v>0.10573317089500424</v>
      </c>
      <c r="AQ341" s="180">
        <f>VLOOKUP($A341,'Key Inputs_BY Techs'!$B$198:$AJ$207,AQ$310,FALSE)/8760</f>
        <v>8.0437275857606058E-2</v>
      </c>
      <c r="AR341" s="180">
        <f>VLOOKUP($A341,'Key Inputs_BY Techs'!$B$198:$AJ$207,AR$310,FALSE)/8760</f>
        <v>6.6692438947101099E-2</v>
      </c>
      <c r="AS341" s="119"/>
      <c r="AT341" s="114"/>
      <c r="AV341" s="126"/>
      <c r="BF341" s="114"/>
      <c r="BG341" s="122"/>
      <c r="BH341" s="122"/>
    </row>
    <row r="342" spans="1:60" x14ac:dyDescent="0.25">
      <c r="A342" s="245" t="str">
        <f t="shared" ref="A342:G342" si="49">A37</f>
        <v>Thermal uses</v>
      </c>
      <c r="B342" s="245" t="str">
        <f t="shared" si="49"/>
        <v>R-THH</v>
      </c>
      <c r="C342" s="245" t="str">
        <f t="shared" si="49"/>
        <v>Electricity</v>
      </c>
      <c r="D342" s="245" t="str">
        <f t="shared" si="49"/>
        <v>RSDELC</v>
      </c>
      <c r="E342" s="249" t="str">
        <f t="shared" si="49"/>
        <v>RSDELC</v>
      </c>
      <c r="F342" s="252" t="str">
        <f t="shared" si="49"/>
        <v>Heat Pump Wat. (Ord.)</v>
      </c>
      <c r="G342" s="250" t="str">
        <f t="shared" si="49"/>
        <v>04</v>
      </c>
      <c r="H342" s="250"/>
      <c r="I342" s="250"/>
      <c r="K342" s="201" t="str">
        <f>IF('Commodities &amp; Processes'!L86="",'Commodities &amp; Processes'!K86,'Commodities &amp; Processes'!L86)</f>
        <v>R-THH-HPA_ELC04</v>
      </c>
      <c r="L342" s="109" t="str">
        <f>IF('Commodities &amp; Processes'!M86="","",'Commodities &amp; Processes'!M86)</f>
        <v>RSD Thermal uses technology: Electricity Heat Pump Wat. (Ord.) -New</v>
      </c>
      <c r="O342" s="109" t="s">
        <v>313</v>
      </c>
      <c r="P342" s="109" t="s">
        <v>174</v>
      </c>
      <c r="Q342" s="180">
        <f>VLOOKUP($A342,'Key Inputs_BY Techs'!$B$198:$AJ$207,Q$310,FALSE)/8760</f>
        <v>4.5322895632501033E-2</v>
      </c>
      <c r="R342" s="180">
        <f>VLOOKUP($A342,'Key Inputs_BY Techs'!$B$198:$AJ$207,R$310,FALSE)/8760</f>
        <v>4.5047579105877276E-2</v>
      </c>
      <c r="S342" s="180">
        <f>VLOOKUP($A342,'Key Inputs_BY Techs'!$B$198:$AJ$207,S$310,FALSE)/8760</f>
        <v>4.1991055814934002E-2</v>
      </c>
      <c r="T342" s="180">
        <f>VLOOKUP($A342,'Key Inputs_BY Techs'!$B$198:$AJ$207,T$310,FALSE)/8760</f>
        <v>4.1685785869904429E-2</v>
      </c>
      <c r="U342" s="180">
        <f>VLOOKUP($A342,'Key Inputs_BY Techs'!$B$198:$AJ$207,U$310,FALSE)/8760</f>
        <v>5.0682342606484215E-2</v>
      </c>
      <c r="V342" s="180">
        <f>VLOOKUP($A342,'Key Inputs_BY Techs'!$B$198:$AJ$207,V$310,FALSE)/8760</f>
        <v>5.807085407630011E-2</v>
      </c>
      <c r="W342" s="180">
        <f>VLOOKUP($A342,'Key Inputs_BY Techs'!$B$198:$AJ$207,W$310,FALSE)/8760</f>
        <v>4.1687877260716787E-2</v>
      </c>
      <c r="X342" s="180">
        <f>VLOOKUP($A342,'Key Inputs_BY Techs'!$B$198:$AJ$207,X$310,FALSE)/8760</f>
        <v>4.2884552320900708E-2</v>
      </c>
      <c r="Y342" s="180">
        <f>VLOOKUP($A342,'Key Inputs_BY Techs'!$B$198:$AJ$207,Y$310,FALSE)/8760</f>
        <v>4.1666666666666664E-2</v>
      </c>
      <c r="Z342" s="180">
        <f>VLOOKUP($A342,'Key Inputs_BY Techs'!$B$198:$AJ$207,Z$310,FALSE)/8760</f>
        <v>0.12925469986413698</v>
      </c>
      <c r="AA342" s="180">
        <f>VLOOKUP($A342,'Key Inputs_BY Techs'!$B$198:$AJ$207,AA$310,FALSE)/8760</f>
        <v>5.6018402502504346E-2</v>
      </c>
      <c r="AB342" s="180">
        <f>VLOOKUP($A342,'Key Inputs_BY Techs'!$B$198:$AJ$207,AB$310,FALSE)/8760</f>
        <v>8.0456212261297039E-2</v>
      </c>
      <c r="AC342" s="180">
        <f>VLOOKUP($A342,'Key Inputs_BY Techs'!$B$198:$AJ$207,AC$310,FALSE)/8760</f>
        <v>8.196249702811996E-2</v>
      </c>
      <c r="AD342" s="180">
        <f>VLOOKUP($A342,'Key Inputs_BY Techs'!$B$198:$AJ$207,AD$310,FALSE)/8760</f>
        <v>9.0560920532517131E-2</v>
      </c>
      <c r="AE342" s="180">
        <f>VLOOKUP($A342,'Key Inputs_BY Techs'!$B$198:$AJ$207,AE$310,FALSE)/8760</f>
        <v>7.7640907014416241E-2</v>
      </c>
      <c r="AF342" s="180">
        <f>VLOOKUP($A342,'Key Inputs_BY Techs'!$B$198:$AJ$207,AF$310,FALSE)/8760</f>
        <v>6.6864645901418843E-2</v>
      </c>
      <c r="AG342" s="180">
        <f>VLOOKUP($A342,'Key Inputs_BY Techs'!$B$198:$AJ$207,AG$310,FALSE)/8760</f>
        <v>6.6864645901418843E-2</v>
      </c>
      <c r="AH342" s="180">
        <f>VLOOKUP($A342,'Key Inputs_BY Techs'!$B$198:$AJ$207,AH$310,FALSE)/8760</f>
        <v>4.1666666666666664E-2</v>
      </c>
      <c r="AI342" s="180">
        <f>VLOOKUP($A342,'Key Inputs_BY Techs'!$B$198:$AJ$207,AI$310,FALSE)/8760</f>
        <v>4.1666666666666664E-2</v>
      </c>
      <c r="AJ342" s="180">
        <f>VLOOKUP($A342,'Key Inputs_BY Techs'!$B$198:$AJ$207,AJ$310,FALSE)/8760</f>
        <v>5.1477189103886295E-2</v>
      </c>
      <c r="AK342" s="180">
        <f>VLOOKUP($A342,'Key Inputs_BY Techs'!$B$198:$AJ$207,AK$310,FALSE)/8760</f>
        <v>4.1666666666666664E-2</v>
      </c>
      <c r="AL342" s="180">
        <f>VLOOKUP($A342,'Key Inputs_BY Techs'!$B$198:$AJ$207,AL$310,FALSE)/8760</f>
        <v>7.0781511423467725E-2</v>
      </c>
      <c r="AM342" s="180">
        <f>VLOOKUP($A342,'Key Inputs_BY Techs'!$B$198:$AJ$207,AM$310,FALSE)/8760</f>
        <v>4.1666666666666664E-2</v>
      </c>
      <c r="AN342" s="180">
        <f>VLOOKUP($A342,'Key Inputs_BY Techs'!$B$198:$AJ$207,AN$310,FALSE)/8760</f>
        <v>4.8525528371344114E-2</v>
      </c>
      <c r="AO342" s="180">
        <f>VLOOKUP($A342,'Key Inputs_BY Techs'!$B$198:$AJ$207,AO$310,FALSE)/8760</f>
        <v>4.1991055814934002E-2</v>
      </c>
      <c r="AP342" s="180">
        <f>VLOOKUP($A342,'Key Inputs_BY Techs'!$B$198:$AJ$207,AP$310,FALSE)/8760</f>
        <v>0.10573317089500424</v>
      </c>
      <c r="AQ342" s="180">
        <f>VLOOKUP($A342,'Key Inputs_BY Techs'!$B$198:$AJ$207,AQ$310,FALSE)/8760</f>
        <v>8.0437275857606058E-2</v>
      </c>
      <c r="AR342" s="180">
        <f>VLOOKUP($A342,'Key Inputs_BY Techs'!$B$198:$AJ$207,AR$310,FALSE)/8760</f>
        <v>6.6692438947101099E-2</v>
      </c>
      <c r="AS342" s="119"/>
      <c r="AT342" s="114"/>
      <c r="AV342" s="126"/>
      <c r="BF342" s="114"/>
      <c r="BG342" s="122"/>
      <c r="BH342" s="122"/>
    </row>
    <row r="343" spans="1:60" x14ac:dyDescent="0.25">
      <c r="A343" s="245" t="str">
        <f t="shared" ref="A343:G343" si="50">A38</f>
        <v>Thermal uses</v>
      </c>
      <c r="B343" s="245" t="str">
        <f t="shared" si="50"/>
        <v>R-THH</v>
      </c>
      <c r="C343" s="245" t="str">
        <f t="shared" si="50"/>
        <v>Electricity</v>
      </c>
      <c r="D343" s="245" t="str">
        <f t="shared" si="50"/>
        <v>RSDELC</v>
      </c>
      <c r="E343" s="249" t="str">
        <f t="shared" si="50"/>
        <v>RSDELC</v>
      </c>
      <c r="F343" s="252" t="str">
        <f t="shared" si="50"/>
        <v>Heat Pump Wat. (Imp.)</v>
      </c>
      <c r="G343" s="250" t="str">
        <f t="shared" si="50"/>
        <v>05</v>
      </c>
      <c r="H343" s="250"/>
      <c r="I343" s="250"/>
      <c r="K343" s="201" t="str">
        <f>IF('Commodities &amp; Processes'!L87="",'Commodities &amp; Processes'!K87,'Commodities &amp; Processes'!L87)</f>
        <v>R-THH-HPA_ELC05</v>
      </c>
      <c r="L343" s="109" t="str">
        <f>IF('Commodities &amp; Processes'!M87="","",'Commodities &amp; Processes'!M87)</f>
        <v>RSD Thermal uses technology: Electricity Heat Pump Wat. (Imp.) -New</v>
      </c>
      <c r="O343" s="109" t="s">
        <v>313</v>
      </c>
      <c r="P343" s="109" t="s">
        <v>174</v>
      </c>
      <c r="Q343" s="180">
        <f>VLOOKUP($A343,'Key Inputs_BY Techs'!$B$198:$AJ$207,Q$310,FALSE)/8760</f>
        <v>4.5322895632501033E-2</v>
      </c>
      <c r="R343" s="180">
        <f>VLOOKUP($A343,'Key Inputs_BY Techs'!$B$198:$AJ$207,R$310,FALSE)/8760</f>
        <v>4.5047579105877276E-2</v>
      </c>
      <c r="S343" s="180">
        <f>VLOOKUP($A343,'Key Inputs_BY Techs'!$B$198:$AJ$207,S$310,FALSE)/8760</f>
        <v>4.1991055814934002E-2</v>
      </c>
      <c r="T343" s="180">
        <f>VLOOKUP($A343,'Key Inputs_BY Techs'!$B$198:$AJ$207,T$310,FALSE)/8760</f>
        <v>4.1685785869904429E-2</v>
      </c>
      <c r="U343" s="180">
        <f>VLOOKUP($A343,'Key Inputs_BY Techs'!$B$198:$AJ$207,U$310,FALSE)/8760</f>
        <v>5.0682342606484215E-2</v>
      </c>
      <c r="V343" s="180">
        <f>VLOOKUP($A343,'Key Inputs_BY Techs'!$B$198:$AJ$207,V$310,FALSE)/8760</f>
        <v>5.807085407630011E-2</v>
      </c>
      <c r="W343" s="180">
        <f>VLOOKUP($A343,'Key Inputs_BY Techs'!$B$198:$AJ$207,W$310,FALSE)/8760</f>
        <v>4.1687877260716787E-2</v>
      </c>
      <c r="X343" s="180">
        <f>VLOOKUP($A343,'Key Inputs_BY Techs'!$B$198:$AJ$207,X$310,FALSE)/8760</f>
        <v>4.2884552320900708E-2</v>
      </c>
      <c r="Y343" s="180">
        <f>VLOOKUP($A343,'Key Inputs_BY Techs'!$B$198:$AJ$207,Y$310,FALSE)/8760</f>
        <v>4.1666666666666664E-2</v>
      </c>
      <c r="Z343" s="180">
        <f>VLOOKUP($A343,'Key Inputs_BY Techs'!$B$198:$AJ$207,Z$310,FALSE)/8760</f>
        <v>0.12925469986413698</v>
      </c>
      <c r="AA343" s="180">
        <f>VLOOKUP($A343,'Key Inputs_BY Techs'!$B$198:$AJ$207,AA$310,FALSE)/8760</f>
        <v>5.6018402502504346E-2</v>
      </c>
      <c r="AB343" s="180">
        <f>VLOOKUP($A343,'Key Inputs_BY Techs'!$B$198:$AJ$207,AB$310,FALSE)/8760</f>
        <v>8.0456212261297039E-2</v>
      </c>
      <c r="AC343" s="180">
        <f>VLOOKUP($A343,'Key Inputs_BY Techs'!$B$198:$AJ$207,AC$310,FALSE)/8760</f>
        <v>8.196249702811996E-2</v>
      </c>
      <c r="AD343" s="180">
        <f>VLOOKUP($A343,'Key Inputs_BY Techs'!$B$198:$AJ$207,AD$310,FALSE)/8760</f>
        <v>9.0560920532517131E-2</v>
      </c>
      <c r="AE343" s="180">
        <f>VLOOKUP($A343,'Key Inputs_BY Techs'!$B$198:$AJ$207,AE$310,FALSE)/8760</f>
        <v>7.7640907014416241E-2</v>
      </c>
      <c r="AF343" s="180">
        <f>VLOOKUP($A343,'Key Inputs_BY Techs'!$B$198:$AJ$207,AF$310,FALSE)/8760</f>
        <v>6.6864645901418843E-2</v>
      </c>
      <c r="AG343" s="180">
        <f>VLOOKUP($A343,'Key Inputs_BY Techs'!$B$198:$AJ$207,AG$310,FALSE)/8760</f>
        <v>6.6864645901418843E-2</v>
      </c>
      <c r="AH343" s="180">
        <f>VLOOKUP($A343,'Key Inputs_BY Techs'!$B$198:$AJ$207,AH$310,FALSE)/8760</f>
        <v>4.1666666666666664E-2</v>
      </c>
      <c r="AI343" s="180">
        <f>VLOOKUP($A343,'Key Inputs_BY Techs'!$B$198:$AJ$207,AI$310,FALSE)/8760</f>
        <v>4.1666666666666664E-2</v>
      </c>
      <c r="AJ343" s="180">
        <f>VLOOKUP($A343,'Key Inputs_BY Techs'!$B$198:$AJ$207,AJ$310,FALSE)/8760</f>
        <v>5.1477189103886295E-2</v>
      </c>
      <c r="AK343" s="180">
        <f>VLOOKUP($A343,'Key Inputs_BY Techs'!$B$198:$AJ$207,AK$310,FALSE)/8760</f>
        <v>4.1666666666666664E-2</v>
      </c>
      <c r="AL343" s="180">
        <f>VLOOKUP($A343,'Key Inputs_BY Techs'!$B$198:$AJ$207,AL$310,FALSE)/8760</f>
        <v>7.0781511423467725E-2</v>
      </c>
      <c r="AM343" s="180">
        <f>VLOOKUP($A343,'Key Inputs_BY Techs'!$B$198:$AJ$207,AM$310,FALSE)/8760</f>
        <v>4.1666666666666664E-2</v>
      </c>
      <c r="AN343" s="180">
        <f>VLOOKUP($A343,'Key Inputs_BY Techs'!$B$198:$AJ$207,AN$310,FALSE)/8760</f>
        <v>4.8525528371344114E-2</v>
      </c>
      <c r="AO343" s="180">
        <f>VLOOKUP($A343,'Key Inputs_BY Techs'!$B$198:$AJ$207,AO$310,FALSE)/8760</f>
        <v>4.1991055814934002E-2</v>
      </c>
      <c r="AP343" s="180">
        <f>VLOOKUP($A343,'Key Inputs_BY Techs'!$B$198:$AJ$207,AP$310,FALSE)/8760</f>
        <v>0.10573317089500424</v>
      </c>
      <c r="AQ343" s="180">
        <f>VLOOKUP($A343,'Key Inputs_BY Techs'!$B$198:$AJ$207,AQ$310,FALSE)/8760</f>
        <v>8.0437275857606058E-2</v>
      </c>
      <c r="AR343" s="180">
        <f>VLOOKUP($A343,'Key Inputs_BY Techs'!$B$198:$AJ$207,AR$310,FALSE)/8760</f>
        <v>6.6692438947101099E-2</v>
      </c>
      <c r="AS343" s="119"/>
      <c r="AT343" s="114"/>
      <c r="AV343" s="126"/>
      <c r="BF343" s="114"/>
      <c r="BG343" s="122"/>
      <c r="BH343" s="122"/>
    </row>
    <row r="344" spans="1:60" x14ac:dyDescent="0.25">
      <c r="A344" s="245" t="str">
        <f t="shared" ref="A344:G344" si="51">A39</f>
        <v>Thermal uses</v>
      </c>
      <c r="B344" s="245" t="str">
        <f t="shared" si="51"/>
        <v>R-THH</v>
      </c>
      <c r="C344" s="245" t="str">
        <f t="shared" si="51"/>
        <v>Electricity</v>
      </c>
      <c r="D344" s="245" t="str">
        <f t="shared" si="51"/>
        <v>RSDELC</v>
      </c>
      <c r="E344" s="249" t="str">
        <f t="shared" si="51"/>
        <v>RSDELC</v>
      </c>
      <c r="F344" s="252" t="str">
        <f t="shared" si="51"/>
        <v>Heat Pump Wat. (Adv.)</v>
      </c>
      <c r="G344" s="250" t="str">
        <f t="shared" si="51"/>
        <v>06</v>
      </c>
      <c r="H344" s="250"/>
      <c r="I344" s="250"/>
      <c r="K344" s="201" t="str">
        <f>IF('Commodities &amp; Processes'!L88="",'Commodities &amp; Processes'!K88,'Commodities &amp; Processes'!L88)</f>
        <v>R-THH-HPA_ELC06</v>
      </c>
      <c r="L344" s="109" t="str">
        <f>IF('Commodities &amp; Processes'!M88="","",'Commodities &amp; Processes'!M88)</f>
        <v>RSD Thermal uses technology: Electricity Heat Pump Wat. (Adv.) -New</v>
      </c>
      <c r="O344" s="109" t="s">
        <v>313</v>
      </c>
      <c r="P344" s="109" t="s">
        <v>174</v>
      </c>
      <c r="Q344" s="180">
        <f>VLOOKUP($A344,'Key Inputs_BY Techs'!$B$198:$AJ$207,Q$310,FALSE)/8760</f>
        <v>4.5322895632501033E-2</v>
      </c>
      <c r="R344" s="180">
        <f>VLOOKUP($A344,'Key Inputs_BY Techs'!$B$198:$AJ$207,R$310,FALSE)/8760</f>
        <v>4.5047579105877276E-2</v>
      </c>
      <c r="S344" s="180">
        <f>VLOOKUP($A344,'Key Inputs_BY Techs'!$B$198:$AJ$207,S$310,FALSE)/8760</f>
        <v>4.1991055814934002E-2</v>
      </c>
      <c r="T344" s="180">
        <f>VLOOKUP($A344,'Key Inputs_BY Techs'!$B$198:$AJ$207,T$310,FALSE)/8760</f>
        <v>4.1685785869904429E-2</v>
      </c>
      <c r="U344" s="180">
        <f>VLOOKUP($A344,'Key Inputs_BY Techs'!$B$198:$AJ$207,U$310,FALSE)/8760</f>
        <v>5.0682342606484215E-2</v>
      </c>
      <c r="V344" s="180">
        <f>VLOOKUP($A344,'Key Inputs_BY Techs'!$B$198:$AJ$207,V$310,FALSE)/8760</f>
        <v>5.807085407630011E-2</v>
      </c>
      <c r="W344" s="180">
        <f>VLOOKUP($A344,'Key Inputs_BY Techs'!$B$198:$AJ$207,W$310,FALSE)/8760</f>
        <v>4.1687877260716787E-2</v>
      </c>
      <c r="X344" s="180">
        <f>VLOOKUP($A344,'Key Inputs_BY Techs'!$B$198:$AJ$207,X$310,FALSE)/8760</f>
        <v>4.2884552320900708E-2</v>
      </c>
      <c r="Y344" s="180">
        <f>VLOOKUP($A344,'Key Inputs_BY Techs'!$B$198:$AJ$207,Y$310,FALSE)/8760</f>
        <v>4.1666666666666664E-2</v>
      </c>
      <c r="Z344" s="180">
        <f>VLOOKUP($A344,'Key Inputs_BY Techs'!$B$198:$AJ$207,Z$310,FALSE)/8760</f>
        <v>0.12925469986413698</v>
      </c>
      <c r="AA344" s="180">
        <f>VLOOKUP($A344,'Key Inputs_BY Techs'!$B$198:$AJ$207,AA$310,FALSE)/8760</f>
        <v>5.6018402502504346E-2</v>
      </c>
      <c r="AB344" s="180">
        <f>VLOOKUP($A344,'Key Inputs_BY Techs'!$B$198:$AJ$207,AB$310,FALSE)/8760</f>
        <v>8.0456212261297039E-2</v>
      </c>
      <c r="AC344" s="180">
        <f>VLOOKUP($A344,'Key Inputs_BY Techs'!$B$198:$AJ$207,AC$310,FALSE)/8760</f>
        <v>8.196249702811996E-2</v>
      </c>
      <c r="AD344" s="180">
        <f>VLOOKUP($A344,'Key Inputs_BY Techs'!$B$198:$AJ$207,AD$310,FALSE)/8760</f>
        <v>9.0560920532517131E-2</v>
      </c>
      <c r="AE344" s="180">
        <f>VLOOKUP($A344,'Key Inputs_BY Techs'!$B$198:$AJ$207,AE$310,FALSE)/8760</f>
        <v>7.7640907014416241E-2</v>
      </c>
      <c r="AF344" s="180">
        <f>VLOOKUP($A344,'Key Inputs_BY Techs'!$B$198:$AJ$207,AF$310,FALSE)/8760</f>
        <v>6.6864645901418843E-2</v>
      </c>
      <c r="AG344" s="180">
        <f>VLOOKUP($A344,'Key Inputs_BY Techs'!$B$198:$AJ$207,AG$310,FALSE)/8760</f>
        <v>6.6864645901418843E-2</v>
      </c>
      <c r="AH344" s="180">
        <f>VLOOKUP($A344,'Key Inputs_BY Techs'!$B$198:$AJ$207,AH$310,FALSE)/8760</f>
        <v>4.1666666666666664E-2</v>
      </c>
      <c r="AI344" s="180">
        <f>VLOOKUP($A344,'Key Inputs_BY Techs'!$B$198:$AJ$207,AI$310,FALSE)/8760</f>
        <v>4.1666666666666664E-2</v>
      </c>
      <c r="AJ344" s="180">
        <f>VLOOKUP($A344,'Key Inputs_BY Techs'!$B$198:$AJ$207,AJ$310,FALSE)/8760</f>
        <v>5.1477189103886295E-2</v>
      </c>
      <c r="AK344" s="180">
        <f>VLOOKUP($A344,'Key Inputs_BY Techs'!$B$198:$AJ$207,AK$310,FALSE)/8760</f>
        <v>4.1666666666666664E-2</v>
      </c>
      <c r="AL344" s="180">
        <f>VLOOKUP($A344,'Key Inputs_BY Techs'!$B$198:$AJ$207,AL$310,FALSE)/8760</f>
        <v>7.0781511423467725E-2</v>
      </c>
      <c r="AM344" s="180">
        <f>VLOOKUP($A344,'Key Inputs_BY Techs'!$B$198:$AJ$207,AM$310,FALSE)/8760</f>
        <v>4.1666666666666664E-2</v>
      </c>
      <c r="AN344" s="180">
        <f>VLOOKUP($A344,'Key Inputs_BY Techs'!$B$198:$AJ$207,AN$310,FALSE)/8760</f>
        <v>4.8525528371344114E-2</v>
      </c>
      <c r="AO344" s="180">
        <f>VLOOKUP($A344,'Key Inputs_BY Techs'!$B$198:$AJ$207,AO$310,FALSE)/8760</f>
        <v>4.1991055814934002E-2</v>
      </c>
      <c r="AP344" s="180">
        <f>VLOOKUP($A344,'Key Inputs_BY Techs'!$B$198:$AJ$207,AP$310,FALSE)/8760</f>
        <v>0.10573317089500424</v>
      </c>
      <c r="AQ344" s="180">
        <f>VLOOKUP($A344,'Key Inputs_BY Techs'!$B$198:$AJ$207,AQ$310,FALSE)/8760</f>
        <v>8.0437275857606058E-2</v>
      </c>
      <c r="AR344" s="180">
        <f>VLOOKUP($A344,'Key Inputs_BY Techs'!$B$198:$AJ$207,AR$310,FALSE)/8760</f>
        <v>6.6692438947101099E-2</v>
      </c>
      <c r="AS344" s="119"/>
      <c r="AT344" s="114"/>
      <c r="AV344" s="126"/>
      <c r="BF344" s="114"/>
      <c r="BG344" s="122"/>
      <c r="BH344" s="122"/>
    </row>
    <row r="345" spans="1:60" x14ac:dyDescent="0.25">
      <c r="A345" s="245" t="str">
        <f t="shared" ref="A345:G345" si="52">A40</f>
        <v>Thermal uses</v>
      </c>
      <c r="B345" s="245" t="str">
        <f t="shared" si="52"/>
        <v>R-THH</v>
      </c>
      <c r="C345" s="245" t="str">
        <f t="shared" si="52"/>
        <v>Electricity</v>
      </c>
      <c r="D345" s="245" t="str">
        <f t="shared" si="52"/>
        <v>RSDELC</v>
      </c>
      <c r="E345" s="249" t="str">
        <f t="shared" si="52"/>
        <v>RSDELC</v>
      </c>
      <c r="F345" s="252" t="str">
        <f t="shared" si="52"/>
        <v>Electr. Resist. (Ord.)</v>
      </c>
      <c r="G345" s="250" t="str">
        <f t="shared" si="52"/>
        <v>07</v>
      </c>
      <c r="H345" s="250"/>
      <c r="I345" s="250"/>
      <c r="K345" s="201" t="str">
        <f>IF('Commodities &amp; Processes'!L89="",'Commodities &amp; Processes'!K89,'Commodities &amp; Processes'!L89)</f>
        <v>R-THH-RST_ELC07</v>
      </c>
      <c r="L345" s="109" t="str">
        <f>IF('Commodities &amp; Processes'!M89="","",'Commodities &amp; Processes'!M89)</f>
        <v>RSD Thermal uses technology: Electricity Electr. Resist. (Ord.) -New</v>
      </c>
      <c r="O345" s="109" t="s">
        <v>313</v>
      </c>
      <c r="P345" s="109" t="s">
        <v>174</v>
      </c>
      <c r="Q345" s="180">
        <f>VLOOKUP($A345,'Key Inputs_BY Techs'!$B$198:$AJ$207,Q$310,FALSE)/8760</f>
        <v>4.5322895632501033E-2</v>
      </c>
      <c r="R345" s="180">
        <f>VLOOKUP($A345,'Key Inputs_BY Techs'!$B$198:$AJ$207,R$310,FALSE)/8760</f>
        <v>4.5047579105877276E-2</v>
      </c>
      <c r="S345" s="180">
        <f>VLOOKUP($A345,'Key Inputs_BY Techs'!$B$198:$AJ$207,S$310,FALSE)/8760</f>
        <v>4.1991055814934002E-2</v>
      </c>
      <c r="T345" s="180">
        <f>VLOOKUP($A345,'Key Inputs_BY Techs'!$B$198:$AJ$207,T$310,FALSE)/8760</f>
        <v>4.1685785869904429E-2</v>
      </c>
      <c r="U345" s="180">
        <f>VLOOKUP($A345,'Key Inputs_BY Techs'!$B$198:$AJ$207,U$310,FALSE)/8760</f>
        <v>5.0682342606484215E-2</v>
      </c>
      <c r="V345" s="180">
        <f>VLOOKUP($A345,'Key Inputs_BY Techs'!$B$198:$AJ$207,V$310,FALSE)/8760</f>
        <v>5.807085407630011E-2</v>
      </c>
      <c r="W345" s="180">
        <f>VLOOKUP($A345,'Key Inputs_BY Techs'!$B$198:$AJ$207,W$310,FALSE)/8760</f>
        <v>4.1687877260716787E-2</v>
      </c>
      <c r="X345" s="180">
        <f>VLOOKUP($A345,'Key Inputs_BY Techs'!$B$198:$AJ$207,X$310,FALSE)/8760</f>
        <v>4.2884552320900708E-2</v>
      </c>
      <c r="Y345" s="180">
        <f>VLOOKUP($A345,'Key Inputs_BY Techs'!$B$198:$AJ$207,Y$310,FALSE)/8760</f>
        <v>4.1666666666666664E-2</v>
      </c>
      <c r="Z345" s="180">
        <f>VLOOKUP($A345,'Key Inputs_BY Techs'!$B$198:$AJ$207,Z$310,FALSE)/8760</f>
        <v>0.12925469986413698</v>
      </c>
      <c r="AA345" s="180">
        <f>VLOOKUP($A345,'Key Inputs_BY Techs'!$B$198:$AJ$207,AA$310,FALSE)/8760</f>
        <v>5.6018402502504346E-2</v>
      </c>
      <c r="AB345" s="180">
        <f>VLOOKUP($A345,'Key Inputs_BY Techs'!$B$198:$AJ$207,AB$310,FALSE)/8760</f>
        <v>8.0456212261297039E-2</v>
      </c>
      <c r="AC345" s="180">
        <f>VLOOKUP($A345,'Key Inputs_BY Techs'!$B$198:$AJ$207,AC$310,FALSE)/8760</f>
        <v>8.196249702811996E-2</v>
      </c>
      <c r="AD345" s="180">
        <f>VLOOKUP($A345,'Key Inputs_BY Techs'!$B$198:$AJ$207,AD$310,FALSE)/8760</f>
        <v>9.0560920532517131E-2</v>
      </c>
      <c r="AE345" s="180">
        <f>VLOOKUP($A345,'Key Inputs_BY Techs'!$B$198:$AJ$207,AE$310,FALSE)/8760</f>
        <v>7.7640907014416241E-2</v>
      </c>
      <c r="AF345" s="180">
        <f>VLOOKUP($A345,'Key Inputs_BY Techs'!$B$198:$AJ$207,AF$310,FALSE)/8760</f>
        <v>6.6864645901418843E-2</v>
      </c>
      <c r="AG345" s="180">
        <f>VLOOKUP($A345,'Key Inputs_BY Techs'!$B$198:$AJ$207,AG$310,FALSE)/8760</f>
        <v>6.6864645901418843E-2</v>
      </c>
      <c r="AH345" s="180">
        <f>VLOOKUP($A345,'Key Inputs_BY Techs'!$B$198:$AJ$207,AH$310,FALSE)/8760</f>
        <v>4.1666666666666664E-2</v>
      </c>
      <c r="AI345" s="180">
        <f>VLOOKUP($A345,'Key Inputs_BY Techs'!$B$198:$AJ$207,AI$310,FALSE)/8760</f>
        <v>4.1666666666666664E-2</v>
      </c>
      <c r="AJ345" s="180">
        <f>VLOOKUP($A345,'Key Inputs_BY Techs'!$B$198:$AJ$207,AJ$310,FALSE)/8760</f>
        <v>5.1477189103886295E-2</v>
      </c>
      <c r="AK345" s="180">
        <f>VLOOKUP($A345,'Key Inputs_BY Techs'!$B$198:$AJ$207,AK$310,FALSE)/8760</f>
        <v>4.1666666666666664E-2</v>
      </c>
      <c r="AL345" s="180">
        <f>VLOOKUP($A345,'Key Inputs_BY Techs'!$B$198:$AJ$207,AL$310,FALSE)/8760</f>
        <v>7.0781511423467725E-2</v>
      </c>
      <c r="AM345" s="180">
        <f>VLOOKUP($A345,'Key Inputs_BY Techs'!$B$198:$AJ$207,AM$310,FALSE)/8760</f>
        <v>4.1666666666666664E-2</v>
      </c>
      <c r="AN345" s="180">
        <f>VLOOKUP($A345,'Key Inputs_BY Techs'!$B$198:$AJ$207,AN$310,FALSE)/8760</f>
        <v>4.8525528371344114E-2</v>
      </c>
      <c r="AO345" s="180">
        <f>VLOOKUP($A345,'Key Inputs_BY Techs'!$B$198:$AJ$207,AO$310,FALSE)/8760</f>
        <v>4.1991055814934002E-2</v>
      </c>
      <c r="AP345" s="180">
        <f>VLOOKUP($A345,'Key Inputs_BY Techs'!$B$198:$AJ$207,AP$310,FALSE)/8760</f>
        <v>0.10573317089500424</v>
      </c>
      <c r="AQ345" s="180">
        <f>VLOOKUP($A345,'Key Inputs_BY Techs'!$B$198:$AJ$207,AQ$310,FALSE)/8760</f>
        <v>8.0437275857606058E-2</v>
      </c>
      <c r="AR345" s="180">
        <f>VLOOKUP($A345,'Key Inputs_BY Techs'!$B$198:$AJ$207,AR$310,FALSE)/8760</f>
        <v>6.6692438947101099E-2</v>
      </c>
      <c r="AS345" s="119"/>
      <c r="AT345" s="114"/>
      <c r="AV345" s="126"/>
      <c r="BF345" s="114"/>
      <c r="BG345" s="122"/>
      <c r="BH345" s="122"/>
    </row>
    <row r="346" spans="1:60" x14ac:dyDescent="0.25">
      <c r="A346" s="245" t="str">
        <f t="shared" ref="A346:G346" si="53">A41</f>
        <v>Thermal uses</v>
      </c>
      <c r="B346" s="245" t="str">
        <f t="shared" si="53"/>
        <v>R-THH</v>
      </c>
      <c r="C346" s="245" t="str">
        <f t="shared" si="53"/>
        <v>Natural gas,Biogas</v>
      </c>
      <c r="D346" s="245" t="str">
        <f t="shared" si="53"/>
        <v>RSDGAS,RSDBGS,RSDH2B,RSDEFUM</v>
      </c>
      <c r="E346" s="249" t="str">
        <f t="shared" si="53"/>
        <v>RSDGAS</v>
      </c>
      <c r="F346" s="252" t="str">
        <f t="shared" si="53"/>
        <v>Boiler (Ord.)</v>
      </c>
      <c r="G346" s="250" t="str">
        <f t="shared" si="53"/>
        <v>01</v>
      </c>
      <c r="H346" s="250"/>
      <c r="I346" s="250"/>
      <c r="K346" s="201" t="str">
        <f>IF('Commodities &amp; Processes'!L90="",'Commodities &amp; Processes'!K90,'Commodities &amp; Processes'!L90)</f>
        <v>R-THH-BLR_GAS01</v>
      </c>
      <c r="L346" s="109" t="str">
        <f>IF('Commodities &amp; Processes'!M90="","",'Commodities &amp; Processes'!M90)</f>
        <v>RSD Thermal uses technology: Natural gas,Biogas Boiler (Ord.) -New</v>
      </c>
      <c r="O346" s="109" t="s">
        <v>313</v>
      </c>
      <c r="P346" s="109" t="s">
        <v>174</v>
      </c>
      <c r="Q346" s="180">
        <f>VLOOKUP($A346,'Key Inputs_BY Techs'!$B$198:$AJ$207,Q$310,FALSE)/8760</f>
        <v>4.5322895632501033E-2</v>
      </c>
      <c r="R346" s="180">
        <f>VLOOKUP($A346,'Key Inputs_BY Techs'!$B$198:$AJ$207,R$310,FALSE)/8760</f>
        <v>4.5047579105877276E-2</v>
      </c>
      <c r="S346" s="180">
        <f>VLOOKUP($A346,'Key Inputs_BY Techs'!$B$198:$AJ$207,S$310,FALSE)/8760</f>
        <v>4.1991055814934002E-2</v>
      </c>
      <c r="T346" s="180">
        <f>VLOOKUP($A346,'Key Inputs_BY Techs'!$B$198:$AJ$207,T$310,FALSE)/8760</f>
        <v>4.1685785869904429E-2</v>
      </c>
      <c r="U346" s="180">
        <f>VLOOKUP($A346,'Key Inputs_BY Techs'!$B$198:$AJ$207,U$310,FALSE)/8760</f>
        <v>5.0682342606484215E-2</v>
      </c>
      <c r="V346" s="180">
        <f>VLOOKUP($A346,'Key Inputs_BY Techs'!$B$198:$AJ$207,V$310,FALSE)/8760</f>
        <v>5.807085407630011E-2</v>
      </c>
      <c r="W346" s="180">
        <f>VLOOKUP($A346,'Key Inputs_BY Techs'!$B$198:$AJ$207,W$310,FALSE)/8760</f>
        <v>4.1687877260716787E-2</v>
      </c>
      <c r="X346" s="180">
        <f>VLOOKUP($A346,'Key Inputs_BY Techs'!$B$198:$AJ$207,X$310,FALSE)/8760</f>
        <v>4.2884552320900708E-2</v>
      </c>
      <c r="Y346" s="180">
        <f>VLOOKUP($A346,'Key Inputs_BY Techs'!$B$198:$AJ$207,Y$310,FALSE)/8760</f>
        <v>4.1666666666666664E-2</v>
      </c>
      <c r="Z346" s="180">
        <f>VLOOKUP($A346,'Key Inputs_BY Techs'!$B$198:$AJ$207,Z$310,FALSE)/8760</f>
        <v>0.12925469986413698</v>
      </c>
      <c r="AA346" s="180">
        <f>VLOOKUP($A346,'Key Inputs_BY Techs'!$B$198:$AJ$207,AA$310,FALSE)/8760</f>
        <v>5.6018402502504346E-2</v>
      </c>
      <c r="AB346" s="180">
        <f>VLOOKUP($A346,'Key Inputs_BY Techs'!$B$198:$AJ$207,AB$310,FALSE)/8760</f>
        <v>8.0456212261297039E-2</v>
      </c>
      <c r="AC346" s="180">
        <f>VLOOKUP($A346,'Key Inputs_BY Techs'!$B$198:$AJ$207,AC$310,FALSE)/8760</f>
        <v>8.196249702811996E-2</v>
      </c>
      <c r="AD346" s="180">
        <f>VLOOKUP($A346,'Key Inputs_BY Techs'!$B$198:$AJ$207,AD$310,FALSE)/8760</f>
        <v>9.0560920532517131E-2</v>
      </c>
      <c r="AE346" s="180">
        <f>VLOOKUP($A346,'Key Inputs_BY Techs'!$B$198:$AJ$207,AE$310,FALSE)/8760</f>
        <v>7.7640907014416241E-2</v>
      </c>
      <c r="AF346" s="180">
        <f>VLOOKUP($A346,'Key Inputs_BY Techs'!$B$198:$AJ$207,AF$310,FALSE)/8760</f>
        <v>6.6864645901418843E-2</v>
      </c>
      <c r="AG346" s="180">
        <f>VLOOKUP($A346,'Key Inputs_BY Techs'!$B$198:$AJ$207,AG$310,FALSE)/8760</f>
        <v>6.6864645901418843E-2</v>
      </c>
      <c r="AH346" s="180">
        <f>VLOOKUP($A346,'Key Inputs_BY Techs'!$B$198:$AJ$207,AH$310,FALSE)/8760</f>
        <v>4.1666666666666664E-2</v>
      </c>
      <c r="AI346" s="180">
        <f>VLOOKUP($A346,'Key Inputs_BY Techs'!$B$198:$AJ$207,AI$310,FALSE)/8760</f>
        <v>4.1666666666666664E-2</v>
      </c>
      <c r="AJ346" s="180">
        <f>VLOOKUP($A346,'Key Inputs_BY Techs'!$B$198:$AJ$207,AJ$310,FALSE)/8760</f>
        <v>5.1477189103886295E-2</v>
      </c>
      <c r="AK346" s="180">
        <f>VLOOKUP($A346,'Key Inputs_BY Techs'!$B$198:$AJ$207,AK$310,FALSE)/8760</f>
        <v>4.1666666666666664E-2</v>
      </c>
      <c r="AL346" s="180">
        <f>VLOOKUP($A346,'Key Inputs_BY Techs'!$B$198:$AJ$207,AL$310,FALSE)/8760</f>
        <v>7.0781511423467725E-2</v>
      </c>
      <c r="AM346" s="180">
        <f>VLOOKUP($A346,'Key Inputs_BY Techs'!$B$198:$AJ$207,AM$310,FALSE)/8760</f>
        <v>4.1666666666666664E-2</v>
      </c>
      <c r="AN346" s="180">
        <f>VLOOKUP($A346,'Key Inputs_BY Techs'!$B$198:$AJ$207,AN$310,FALSE)/8760</f>
        <v>4.8525528371344114E-2</v>
      </c>
      <c r="AO346" s="180">
        <f>VLOOKUP($A346,'Key Inputs_BY Techs'!$B$198:$AJ$207,AO$310,FALSE)/8760</f>
        <v>4.1991055814934002E-2</v>
      </c>
      <c r="AP346" s="180">
        <f>VLOOKUP($A346,'Key Inputs_BY Techs'!$B$198:$AJ$207,AP$310,FALSE)/8760</f>
        <v>0.10573317089500424</v>
      </c>
      <c r="AQ346" s="180">
        <f>VLOOKUP($A346,'Key Inputs_BY Techs'!$B$198:$AJ$207,AQ$310,FALSE)/8760</f>
        <v>8.0437275857606058E-2</v>
      </c>
      <c r="AR346" s="180">
        <f>VLOOKUP($A346,'Key Inputs_BY Techs'!$B$198:$AJ$207,AR$310,FALSE)/8760</f>
        <v>6.6692438947101099E-2</v>
      </c>
      <c r="AS346" s="119"/>
      <c r="AT346" s="114"/>
      <c r="AV346" s="126"/>
      <c r="BF346" s="114"/>
      <c r="BG346" s="122"/>
      <c r="BH346" s="122"/>
    </row>
    <row r="347" spans="1:60" x14ac:dyDescent="0.25">
      <c r="A347" s="245" t="str">
        <f t="shared" ref="A347:G347" si="54">A42</f>
        <v>Thermal uses</v>
      </c>
      <c r="B347" s="245" t="str">
        <f t="shared" si="54"/>
        <v>R-THH</v>
      </c>
      <c r="C347" s="245" t="str">
        <f t="shared" si="54"/>
        <v>Natural gas,Biogas</v>
      </c>
      <c r="D347" s="245" t="str">
        <f t="shared" si="54"/>
        <v>RSDGAS,RSDBGS,RSDH2B,RSDEFUM</v>
      </c>
      <c r="E347" s="249" t="str">
        <f t="shared" si="54"/>
        <v>RSDGAS</v>
      </c>
      <c r="F347" s="252" t="str">
        <f t="shared" si="54"/>
        <v>Boiler cond. (Ord.)</v>
      </c>
      <c r="G347" s="250" t="str">
        <f t="shared" si="54"/>
        <v>02</v>
      </c>
      <c r="H347" s="250"/>
      <c r="I347" s="250"/>
      <c r="K347" s="201" t="str">
        <f>IF('Commodities &amp; Processes'!L91="",'Commodities &amp; Processes'!K91,'Commodities &amp; Processes'!L91)</f>
        <v>R-THH-BLR_GAS02</v>
      </c>
      <c r="L347" s="109" t="str">
        <f>IF('Commodities &amp; Processes'!M91="","",'Commodities &amp; Processes'!M91)</f>
        <v>RSD Thermal uses technology: Natural gas,Biogas Boiler cond. (Ord.) -New</v>
      </c>
      <c r="O347" s="109" t="s">
        <v>313</v>
      </c>
      <c r="P347" s="109" t="s">
        <v>174</v>
      </c>
      <c r="Q347" s="180">
        <f>VLOOKUP($A347,'Key Inputs_BY Techs'!$B$198:$AJ$207,Q$310,FALSE)/8760</f>
        <v>4.5322895632501033E-2</v>
      </c>
      <c r="R347" s="180">
        <f>VLOOKUP($A347,'Key Inputs_BY Techs'!$B$198:$AJ$207,R$310,FALSE)/8760</f>
        <v>4.5047579105877276E-2</v>
      </c>
      <c r="S347" s="180">
        <f>VLOOKUP($A347,'Key Inputs_BY Techs'!$B$198:$AJ$207,S$310,FALSE)/8760</f>
        <v>4.1991055814934002E-2</v>
      </c>
      <c r="T347" s="180">
        <f>VLOOKUP($A347,'Key Inputs_BY Techs'!$B$198:$AJ$207,T$310,FALSE)/8760</f>
        <v>4.1685785869904429E-2</v>
      </c>
      <c r="U347" s="180">
        <f>VLOOKUP($A347,'Key Inputs_BY Techs'!$B$198:$AJ$207,U$310,FALSE)/8760</f>
        <v>5.0682342606484215E-2</v>
      </c>
      <c r="V347" s="180">
        <f>VLOOKUP($A347,'Key Inputs_BY Techs'!$B$198:$AJ$207,V$310,FALSE)/8760</f>
        <v>5.807085407630011E-2</v>
      </c>
      <c r="W347" s="180">
        <f>VLOOKUP($A347,'Key Inputs_BY Techs'!$B$198:$AJ$207,W$310,FALSE)/8760</f>
        <v>4.1687877260716787E-2</v>
      </c>
      <c r="X347" s="180">
        <f>VLOOKUP($A347,'Key Inputs_BY Techs'!$B$198:$AJ$207,X$310,FALSE)/8760</f>
        <v>4.2884552320900708E-2</v>
      </c>
      <c r="Y347" s="180">
        <f>VLOOKUP($A347,'Key Inputs_BY Techs'!$B$198:$AJ$207,Y$310,FALSE)/8760</f>
        <v>4.1666666666666664E-2</v>
      </c>
      <c r="Z347" s="180">
        <f>VLOOKUP($A347,'Key Inputs_BY Techs'!$B$198:$AJ$207,Z$310,FALSE)/8760</f>
        <v>0.12925469986413698</v>
      </c>
      <c r="AA347" s="180">
        <f>VLOOKUP($A347,'Key Inputs_BY Techs'!$B$198:$AJ$207,AA$310,FALSE)/8760</f>
        <v>5.6018402502504346E-2</v>
      </c>
      <c r="AB347" s="180">
        <f>VLOOKUP($A347,'Key Inputs_BY Techs'!$B$198:$AJ$207,AB$310,FALSE)/8760</f>
        <v>8.0456212261297039E-2</v>
      </c>
      <c r="AC347" s="180">
        <f>VLOOKUP($A347,'Key Inputs_BY Techs'!$B$198:$AJ$207,AC$310,FALSE)/8760</f>
        <v>8.196249702811996E-2</v>
      </c>
      <c r="AD347" s="180">
        <f>VLOOKUP($A347,'Key Inputs_BY Techs'!$B$198:$AJ$207,AD$310,FALSE)/8760</f>
        <v>9.0560920532517131E-2</v>
      </c>
      <c r="AE347" s="180">
        <f>VLOOKUP($A347,'Key Inputs_BY Techs'!$B$198:$AJ$207,AE$310,FALSE)/8760</f>
        <v>7.7640907014416241E-2</v>
      </c>
      <c r="AF347" s="180">
        <f>VLOOKUP($A347,'Key Inputs_BY Techs'!$B$198:$AJ$207,AF$310,FALSE)/8760</f>
        <v>6.6864645901418843E-2</v>
      </c>
      <c r="AG347" s="180">
        <f>VLOOKUP($A347,'Key Inputs_BY Techs'!$B$198:$AJ$207,AG$310,FALSE)/8760</f>
        <v>6.6864645901418843E-2</v>
      </c>
      <c r="AH347" s="180">
        <f>VLOOKUP($A347,'Key Inputs_BY Techs'!$B$198:$AJ$207,AH$310,FALSE)/8760</f>
        <v>4.1666666666666664E-2</v>
      </c>
      <c r="AI347" s="180">
        <f>VLOOKUP($A347,'Key Inputs_BY Techs'!$B$198:$AJ$207,AI$310,FALSE)/8760</f>
        <v>4.1666666666666664E-2</v>
      </c>
      <c r="AJ347" s="180">
        <f>VLOOKUP($A347,'Key Inputs_BY Techs'!$B$198:$AJ$207,AJ$310,FALSE)/8760</f>
        <v>5.1477189103886295E-2</v>
      </c>
      <c r="AK347" s="180">
        <f>VLOOKUP($A347,'Key Inputs_BY Techs'!$B$198:$AJ$207,AK$310,FALSE)/8760</f>
        <v>4.1666666666666664E-2</v>
      </c>
      <c r="AL347" s="180">
        <f>VLOOKUP($A347,'Key Inputs_BY Techs'!$B$198:$AJ$207,AL$310,FALSE)/8760</f>
        <v>7.0781511423467725E-2</v>
      </c>
      <c r="AM347" s="180">
        <f>VLOOKUP($A347,'Key Inputs_BY Techs'!$B$198:$AJ$207,AM$310,FALSE)/8760</f>
        <v>4.1666666666666664E-2</v>
      </c>
      <c r="AN347" s="180">
        <f>VLOOKUP($A347,'Key Inputs_BY Techs'!$B$198:$AJ$207,AN$310,FALSE)/8760</f>
        <v>4.8525528371344114E-2</v>
      </c>
      <c r="AO347" s="180">
        <f>VLOOKUP($A347,'Key Inputs_BY Techs'!$B$198:$AJ$207,AO$310,FALSE)/8760</f>
        <v>4.1991055814934002E-2</v>
      </c>
      <c r="AP347" s="180">
        <f>VLOOKUP($A347,'Key Inputs_BY Techs'!$B$198:$AJ$207,AP$310,FALSE)/8760</f>
        <v>0.10573317089500424</v>
      </c>
      <c r="AQ347" s="180">
        <f>VLOOKUP($A347,'Key Inputs_BY Techs'!$B$198:$AJ$207,AQ$310,FALSE)/8760</f>
        <v>8.0437275857606058E-2</v>
      </c>
      <c r="AR347" s="180">
        <f>VLOOKUP($A347,'Key Inputs_BY Techs'!$B$198:$AJ$207,AR$310,FALSE)/8760</f>
        <v>6.6692438947101099E-2</v>
      </c>
      <c r="AS347" s="119"/>
      <c r="AT347" s="114"/>
      <c r="AV347" s="126"/>
      <c r="BF347" s="114"/>
      <c r="BG347" s="122"/>
      <c r="BH347" s="122"/>
    </row>
    <row r="348" spans="1:60" x14ac:dyDescent="0.25">
      <c r="A348" s="245" t="str">
        <f t="shared" ref="A348:G348" si="55">A43</f>
        <v>Thermal uses</v>
      </c>
      <c r="B348" s="245" t="str">
        <f t="shared" si="55"/>
        <v>R-THH</v>
      </c>
      <c r="C348" s="245" t="str">
        <f t="shared" si="55"/>
        <v>Natural gas,Biogas</v>
      </c>
      <c r="D348" s="245" t="str">
        <f t="shared" si="55"/>
        <v>RSDGAS,RSDBGS,RSDH2B,RSDEFUM</v>
      </c>
      <c r="E348" s="249" t="str">
        <f t="shared" si="55"/>
        <v>RSDGAS</v>
      </c>
      <c r="F348" s="252" t="str">
        <f t="shared" si="55"/>
        <v>Boiler (Imp.)</v>
      </c>
      <c r="G348" s="250" t="str">
        <f t="shared" si="55"/>
        <v>03</v>
      </c>
      <c r="H348" s="250"/>
      <c r="I348" s="250"/>
      <c r="K348" s="201" t="str">
        <f>IF('Commodities &amp; Processes'!L92="",'Commodities &amp; Processes'!K92,'Commodities &amp; Processes'!L92)</f>
        <v>R-THH-BLR_GAS03</v>
      </c>
      <c r="L348" s="109" t="str">
        <f>IF('Commodities &amp; Processes'!M92="","",'Commodities &amp; Processes'!M92)</f>
        <v>RSD Thermal uses technology: Natural gas,Biogas Boiler (Imp.) -New</v>
      </c>
      <c r="O348" s="109" t="s">
        <v>313</v>
      </c>
      <c r="P348" s="109" t="s">
        <v>174</v>
      </c>
      <c r="Q348" s="180">
        <f>VLOOKUP($A348,'Key Inputs_BY Techs'!$B$198:$AJ$207,Q$310,FALSE)/8760</f>
        <v>4.5322895632501033E-2</v>
      </c>
      <c r="R348" s="180">
        <f>VLOOKUP($A348,'Key Inputs_BY Techs'!$B$198:$AJ$207,R$310,FALSE)/8760</f>
        <v>4.5047579105877276E-2</v>
      </c>
      <c r="S348" s="180">
        <f>VLOOKUP($A348,'Key Inputs_BY Techs'!$B$198:$AJ$207,S$310,FALSE)/8760</f>
        <v>4.1991055814934002E-2</v>
      </c>
      <c r="T348" s="180">
        <f>VLOOKUP($A348,'Key Inputs_BY Techs'!$B$198:$AJ$207,T$310,FALSE)/8760</f>
        <v>4.1685785869904429E-2</v>
      </c>
      <c r="U348" s="180">
        <f>VLOOKUP($A348,'Key Inputs_BY Techs'!$B$198:$AJ$207,U$310,FALSE)/8760</f>
        <v>5.0682342606484215E-2</v>
      </c>
      <c r="V348" s="180">
        <f>VLOOKUP($A348,'Key Inputs_BY Techs'!$B$198:$AJ$207,V$310,FALSE)/8760</f>
        <v>5.807085407630011E-2</v>
      </c>
      <c r="W348" s="180">
        <f>VLOOKUP($A348,'Key Inputs_BY Techs'!$B$198:$AJ$207,W$310,FALSE)/8760</f>
        <v>4.1687877260716787E-2</v>
      </c>
      <c r="X348" s="180">
        <f>VLOOKUP($A348,'Key Inputs_BY Techs'!$B$198:$AJ$207,X$310,FALSE)/8760</f>
        <v>4.2884552320900708E-2</v>
      </c>
      <c r="Y348" s="180">
        <f>VLOOKUP($A348,'Key Inputs_BY Techs'!$B$198:$AJ$207,Y$310,FALSE)/8760</f>
        <v>4.1666666666666664E-2</v>
      </c>
      <c r="Z348" s="180">
        <f>VLOOKUP($A348,'Key Inputs_BY Techs'!$B$198:$AJ$207,Z$310,FALSE)/8760</f>
        <v>0.12925469986413698</v>
      </c>
      <c r="AA348" s="180">
        <f>VLOOKUP($A348,'Key Inputs_BY Techs'!$B$198:$AJ$207,AA$310,FALSE)/8760</f>
        <v>5.6018402502504346E-2</v>
      </c>
      <c r="AB348" s="180">
        <f>VLOOKUP($A348,'Key Inputs_BY Techs'!$B$198:$AJ$207,AB$310,FALSE)/8760</f>
        <v>8.0456212261297039E-2</v>
      </c>
      <c r="AC348" s="180">
        <f>VLOOKUP($A348,'Key Inputs_BY Techs'!$B$198:$AJ$207,AC$310,FALSE)/8760</f>
        <v>8.196249702811996E-2</v>
      </c>
      <c r="AD348" s="180">
        <f>VLOOKUP($A348,'Key Inputs_BY Techs'!$B$198:$AJ$207,AD$310,FALSE)/8760</f>
        <v>9.0560920532517131E-2</v>
      </c>
      <c r="AE348" s="180">
        <f>VLOOKUP($A348,'Key Inputs_BY Techs'!$B$198:$AJ$207,AE$310,FALSE)/8760</f>
        <v>7.7640907014416241E-2</v>
      </c>
      <c r="AF348" s="180">
        <f>VLOOKUP($A348,'Key Inputs_BY Techs'!$B$198:$AJ$207,AF$310,FALSE)/8760</f>
        <v>6.6864645901418843E-2</v>
      </c>
      <c r="AG348" s="180">
        <f>VLOOKUP($A348,'Key Inputs_BY Techs'!$B$198:$AJ$207,AG$310,FALSE)/8760</f>
        <v>6.6864645901418843E-2</v>
      </c>
      <c r="AH348" s="180">
        <f>VLOOKUP($A348,'Key Inputs_BY Techs'!$B$198:$AJ$207,AH$310,FALSE)/8760</f>
        <v>4.1666666666666664E-2</v>
      </c>
      <c r="AI348" s="180">
        <f>VLOOKUP($A348,'Key Inputs_BY Techs'!$B$198:$AJ$207,AI$310,FALSE)/8760</f>
        <v>4.1666666666666664E-2</v>
      </c>
      <c r="AJ348" s="180">
        <f>VLOOKUP($A348,'Key Inputs_BY Techs'!$B$198:$AJ$207,AJ$310,FALSE)/8760</f>
        <v>5.1477189103886295E-2</v>
      </c>
      <c r="AK348" s="180">
        <f>VLOOKUP($A348,'Key Inputs_BY Techs'!$B$198:$AJ$207,AK$310,FALSE)/8760</f>
        <v>4.1666666666666664E-2</v>
      </c>
      <c r="AL348" s="180">
        <f>VLOOKUP($A348,'Key Inputs_BY Techs'!$B$198:$AJ$207,AL$310,FALSE)/8760</f>
        <v>7.0781511423467725E-2</v>
      </c>
      <c r="AM348" s="180">
        <f>VLOOKUP($A348,'Key Inputs_BY Techs'!$B$198:$AJ$207,AM$310,FALSE)/8760</f>
        <v>4.1666666666666664E-2</v>
      </c>
      <c r="AN348" s="180">
        <f>VLOOKUP($A348,'Key Inputs_BY Techs'!$B$198:$AJ$207,AN$310,FALSE)/8760</f>
        <v>4.8525528371344114E-2</v>
      </c>
      <c r="AO348" s="180">
        <f>VLOOKUP($A348,'Key Inputs_BY Techs'!$B$198:$AJ$207,AO$310,FALSE)/8760</f>
        <v>4.1991055814934002E-2</v>
      </c>
      <c r="AP348" s="180">
        <f>VLOOKUP($A348,'Key Inputs_BY Techs'!$B$198:$AJ$207,AP$310,FALSE)/8760</f>
        <v>0.10573317089500424</v>
      </c>
      <c r="AQ348" s="180">
        <f>VLOOKUP($A348,'Key Inputs_BY Techs'!$B$198:$AJ$207,AQ$310,FALSE)/8760</f>
        <v>8.0437275857606058E-2</v>
      </c>
      <c r="AR348" s="180">
        <f>VLOOKUP($A348,'Key Inputs_BY Techs'!$B$198:$AJ$207,AR$310,FALSE)/8760</f>
        <v>6.6692438947101099E-2</v>
      </c>
      <c r="AS348" s="119"/>
      <c r="AT348" s="114"/>
      <c r="AV348" s="126"/>
      <c r="BF348" s="114"/>
      <c r="BG348" s="122"/>
      <c r="BH348" s="122"/>
    </row>
    <row r="349" spans="1:60" x14ac:dyDescent="0.25">
      <c r="A349" s="245" t="str">
        <f t="shared" ref="A349:G349" si="56">A44</f>
        <v>Thermal uses</v>
      </c>
      <c r="B349" s="245" t="str">
        <f t="shared" si="56"/>
        <v>R-THH</v>
      </c>
      <c r="C349" s="245" t="str">
        <f t="shared" si="56"/>
        <v>Natural gas,Biogas</v>
      </c>
      <c r="D349" s="245" t="str">
        <f t="shared" si="56"/>
        <v>RSDGAS,RSDBGS,RSDH2B,RSDEFUM</v>
      </c>
      <c r="E349" s="249" t="str">
        <f t="shared" si="56"/>
        <v>RSDGAS</v>
      </c>
      <c r="F349" s="252" t="str">
        <f t="shared" si="56"/>
        <v>Boiler cond. (Imp.)</v>
      </c>
      <c r="G349" s="250" t="str">
        <f t="shared" si="56"/>
        <v>04</v>
      </c>
      <c r="H349" s="250"/>
      <c r="I349" s="250"/>
      <c r="K349" s="201" t="str">
        <f>IF('Commodities &amp; Processes'!L93="",'Commodities &amp; Processes'!K93,'Commodities &amp; Processes'!L93)</f>
        <v>R-THH-BLR_GAS04</v>
      </c>
      <c r="L349" s="109" t="str">
        <f>IF('Commodities &amp; Processes'!M93="","",'Commodities &amp; Processes'!M93)</f>
        <v>RSD Thermal uses technology: Natural gas,Biogas Boiler cond. (Imp.) -New</v>
      </c>
      <c r="O349" s="109" t="s">
        <v>313</v>
      </c>
      <c r="P349" s="109" t="s">
        <v>174</v>
      </c>
      <c r="Q349" s="180">
        <f>VLOOKUP($A349,'Key Inputs_BY Techs'!$B$198:$AJ$207,Q$310,FALSE)/8760</f>
        <v>4.5322895632501033E-2</v>
      </c>
      <c r="R349" s="180">
        <f>VLOOKUP($A349,'Key Inputs_BY Techs'!$B$198:$AJ$207,R$310,FALSE)/8760</f>
        <v>4.5047579105877276E-2</v>
      </c>
      <c r="S349" s="180">
        <f>VLOOKUP($A349,'Key Inputs_BY Techs'!$B$198:$AJ$207,S$310,FALSE)/8760</f>
        <v>4.1991055814934002E-2</v>
      </c>
      <c r="T349" s="180">
        <f>VLOOKUP($A349,'Key Inputs_BY Techs'!$B$198:$AJ$207,T$310,FALSE)/8760</f>
        <v>4.1685785869904429E-2</v>
      </c>
      <c r="U349" s="180">
        <f>VLOOKUP($A349,'Key Inputs_BY Techs'!$B$198:$AJ$207,U$310,FALSE)/8760</f>
        <v>5.0682342606484215E-2</v>
      </c>
      <c r="V349" s="180">
        <f>VLOOKUP($A349,'Key Inputs_BY Techs'!$B$198:$AJ$207,V$310,FALSE)/8760</f>
        <v>5.807085407630011E-2</v>
      </c>
      <c r="W349" s="180">
        <f>VLOOKUP($A349,'Key Inputs_BY Techs'!$B$198:$AJ$207,W$310,FALSE)/8760</f>
        <v>4.1687877260716787E-2</v>
      </c>
      <c r="X349" s="180">
        <f>VLOOKUP($A349,'Key Inputs_BY Techs'!$B$198:$AJ$207,X$310,FALSE)/8760</f>
        <v>4.2884552320900708E-2</v>
      </c>
      <c r="Y349" s="180">
        <f>VLOOKUP($A349,'Key Inputs_BY Techs'!$B$198:$AJ$207,Y$310,FALSE)/8760</f>
        <v>4.1666666666666664E-2</v>
      </c>
      <c r="Z349" s="180">
        <f>VLOOKUP($A349,'Key Inputs_BY Techs'!$B$198:$AJ$207,Z$310,FALSE)/8760</f>
        <v>0.12925469986413698</v>
      </c>
      <c r="AA349" s="180">
        <f>VLOOKUP($A349,'Key Inputs_BY Techs'!$B$198:$AJ$207,AA$310,FALSE)/8760</f>
        <v>5.6018402502504346E-2</v>
      </c>
      <c r="AB349" s="180">
        <f>VLOOKUP($A349,'Key Inputs_BY Techs'!$B$198:$AJ$207,AB$310,FALSE)/8760</f>
        <v>8.0456212261297039E-2</v>
      </c>
      <c r="AC349" s="180">
        <f>VLOOKUP($A349,'Key Inputs_BY Techs'!$B$198:$AJ$207,AC$310,FALSE)/8760</f>
        <v>8.196249702811996E-2</v>
      </c>
      <c r="AD349" s="180">
        <f>VLOOKUP($A349,'Key Inputs_BY Techs'!$B$198:$AJ$207,AD$310,FALSE)/8760</f>
        <v>9.0560920532517131E-2</v>
      </c>
      <c r="AE349" s="180">
        <f>VLOOKUP($A349,'Key Inputs_BY Techs'!$B$198:$AJ$207,AE$310,FALSE)/8760</f>
        <v>7.7640907014416241E-2</v>
      </c>
      <c r="AF349" s="180">
        <f>VLOOKUP($A349,'Key Inputs_BY Techs'!$B$198:$AJ$207,AF$310,FALSE)/8760</f>
        <v>6.6864645901418843E-2</v>
      </c>
      <c r="AG349" s="180">
        <f>VLOOKUP($A349,'Key Inputs_BY Techs'!$B$198:$AJ$207,AG$310,FALSE)/8760</f>
        <v>6.6864645901418843E-2</v>
      </c>
      <c r="AH349" s="180">
        <f>VLOOKUP($A349,'Key Inputs_BY Techs'!$B$198:$AJ$207,AH$310,FALSE)/8760</f>
        <v>4.1666666666666664E-2</v>
      </c>
      <c r="AI349" s="180">
        <f>VLOOKUP($A349,'Key Inputs_BY Techs'!$B$198:$AJ$207,AI$310,FALSE)/8760</f>
        <v>4.1666666666666664E-2</v>
      </c>
      <c r="AJ349" s="180">
        <f>VLOOKUP($A349,'Key Inputs_BY Techs'!$B$198:$AJ$207,AJ$310,FALSE)/8760</f>
        <v>5.1477189103886295E-2</v>
      </c>
      <c r="AK349" s="180">
        <f>VLOOKUP($A349,'Key Inputs_BY Techs'!$B$198:$AJ$207,AK$310,FALSE)/8760</f>
        <v>4.1666666666666664E-2</v>
      </c>
      <c r="AL349" s="180">
        <f>VLOOKUP($A349,'Key Inputs_BY Techs'!$B$198:$AJ$207,AL$310,FALSE)/8760</f>
        <v>7.0781511423467725E-2</v>
      </c>
      <c r="AM349" s="180">
        <f>VLOOKUP($A349,'Key Inputs_BY Techs'!$B$198:$AJ$207,AM$310,FALSE)/8760</f>
        <v>4.1666666666666664E-2</v>
      </c>
      <c r="AN349" s="180">
        <f>VLOOKUP($A349,'Key Inputs_BY Techs'!$B$198:$AJ$207,AN$310,FALSE)/8760</f>
        <v>4.8525528371344114E-2</v>
      </c>
      <c r="AO349" s="180">
        <f>VLOOKUP($A349,'Key Inputs_BY Techs'!$B$198:$AJ$207,AO$310,FALSE)/8760</f>
        <v>4.1991055814934002E-2</v>
      </c>
      <c r="AP349" s="180">
        <f>VLOOKUP($A349,'Key Inputs_BY Techs'!$B$198:$AJ$207,AP$310,FALSE)/8760</f>
        <v>0.10573317089500424</v>
      </c>
      <c r="AQ349" s="180">
        <f>VLOOKUP($A349,'Key Inputs_BY Techs'!$B$198:$AJ$207,AQ$310,FALSE)/8760</f>
        <v>8.0437275857606058E-2</v>
      </c>
      <c r="AR349" s="180">
        <f>VLOOKUP($A349,'Key Inputs_BY Techs'!$B$198:$AJ$207,AR$310,FALSE)/8760</f>
        <v>6.6692438947101099E-2</v>
      </c>
      <c r="AS349" s="119"/>
      <c r="AT349" s="114"/>
      <c r="AV349" s="126"/>
      <c r="BF349" s="114"/>
      <c r="BG349" s="122"/>
      <c r="BH349" s="122"/>
    </row>
    <row r="350" spans="1:60" x14ac:dyDescent="0.25">
      <c r="A350" s="245" t="str">
        <f t="shared" ref="A350:G350" si="57">A45</f>
        <v>Thermal uses</v>
      </c>
      <c r="B350" s="245" t="str">
        <f t="shared" si="57"/>
        <v>R-THH</v>
      </c>
      <c r="C350" s="245" t="str">
        <f t="shared" si="57"/>
        <v>Natural gas,Biogas</v>
      </c>
      <c r="D350" s="245" t="str">
        <f t="shared" si="57"/>
        <v>RSDGAS,RSDBGS,RSDH2B,RSDEFUM</v>
      </c>
      <c r="E350" s="249" t="str">
        <f t="shared" si="57"/>
        <v>RSDGAS</v>
      </c>
      <c r="F350" s="252" t="str">
        <f t="shared" si="57"/>
        <v>Heat Pump (Ord.)</v>
      </c>
      <c r="G350" s="250" t="str">
        <f t="shared" si="57"/>
        <v>05</v>
      </c>
      <c r="H350" s="250"/>
      <c r="I350" s="250"/>
      <c r="K350" s="201" t="str">
        <f>IF('Commodities &amp; Processes'!L94="",'Commodities &amp; Processes'!K94,'Commodities &amp; Processes'!L94)</f>
        <v>R-THH-HPA_GAS05</v>
      </c>
      <c r="L350" s="109" t="str">
        <f>IF('Commodities &amp; Processes'!M94="","",'Commodities &amp; Processes'!M94)</f>
        <v>RSD Thermal uses technology: Natural gas,Biogas Heat Pump (Ord.) -New</v>
      </c>
      <c r="O350" s="109" t="s">
        <v>313</v>
      </c>
      <c r="P350" s="109" t="s">
        <v>174</v>
      </c>
      <c r="Q350" s="180">
        <f>VLOOKUP($A350,'Key Inputs_BY Techs'!$B$198:$AJ$207,Q$310,FALSE)/8760</f>
        <v>4.5322895632501033E-2</v>
      </c>
      <c r="R350" s="180">
        <f>VLOOKUP($A350,'Key Inputs_BY Techs'!$B$198:$AJ$207,R$310,FALSE)/8760</f>
        <v>4.5047579105877276E-2</v>
      </c>
      <c r="S350" s="180">
        <f>VLOOKUP($A350,'Key Inputs_BY Techs'!$B$198:$AJ$207,S$310,FALSE)/8760</f>
        <v>4.1991055814934002E-2</v>
      </c>
      <c r="T350" s="180">
        <f>VLOOKUP($A350,'Key Inputs_BY Techs'!$B$198:$AJ$207,T$310,FALSE)/8760</f>
        <v>4.1685785869904429E-2</v>
      </c>
      <c r="U350" s="180">
        <f>VLOOKUP($A350,'Key Inputs_BY Techs'!$B$198:$AJ$207,U$310,FALSE)/8760</f>
        <v>5.0682342606484215E-2</v>
      </c>
      <c r="V350" s="180">
        <f>VLOOKUP($A350,'Key Inputs_BY Techs'!$B$198:$AJ$207,V$310,FALSE)/8760</f>
        <v>5.807085407630011E-2</v>
      </c>
      <c r="W350" s="180">
        <f>VLOOKUP($A350,'Key Inputs_BY Techs'!$B$198:$AJ$207,W$310,FALSE)/8760</f>
        <v>4.1687877260716787E-2</v>
      </c>
      <c r="X350" s="180">
        <f>VLOOKUP($A350,'Key Inputs_BY Techs'!$B$198:$AJ$207,X$310,FALSE)/8760</f>
        <v>4.2884552320900708E-2</v>
      </c>
      <c r="Y350" s="180">
        <f>VLOOKUP($A350,'Key Inputs_BY Techs'!$B$198:$AJ$207,Y$310,FALSE)/8760</f>
        <v>4.1666666666666664E-2</v>
      </c>
      <c r="Z350" s="180">
        <f>VLOOKUP($A350,'Key Inputs_BY Techs'!$B$198:$AJ$207,Z$310,FALSE)/8760</f>
        <v>0.12925469986413698</v>
      </c>
      <c r="AA350" s="180">
        <f>VLOOKUP($A350,'Key Inputs_BY Techs'!$B$198:$AJ$207,AA$310,FALSE)/8760</f>
        <v>5.6018402502504346E-2</v>
      </c>
      <c r="AB350" s="180">
        <f>VLOOKUP($A350,'Key Inputs_BY Techs'!$B$198:$AJ$207,AB$310,FALSE)/8760</f>
        <v>8.0456212261297039E-2</v>
      </c>
      <c r="AC350" s="180">
        <f>VLOOKUP($A350,'Key Inputs_BY Techs'!$B$198:$AJ$207,AC$310,FALSE)/8760</f>
        <v>8.196249702811996E-2</v>
      </c>
      <c r="AD350" s="180">
        <f>VLOOKUP($A350,'Key Inputs_BY Techs'!$B$198:$AJ$207,AD$310,FALSE)/8760</f>
        <v>9.0560920532517131E-2</v>
      </c>
      <c r="AE350" s="180">
        <f>VLOOKUP($A350,'Key Inputs_BY Techs'!$B$198:$AJ$207,AE$310,FALSE)/8760</f>
        <v>7.7640907014416241E-2</v>
      </c>
      <c r="AF350" s="180">
        <f>VLOOKUP($A350,'Key Inputs_BY Techs'!$B$198:$AJ$207,AF$310,FALSE)/8760</f>
        <v>6.6864645901418843E-2</v>
      </c>
      <c r="AG350" s="180">
        <f>VLOOKUP($A350,'Key Inputs_BY Techs'!$B$198:$AJ$207,AG$310,FALSE)/8760</f>
        <v>6.6864645901418843E-2</v>
      </c>
      <c r="AH350" s="180">
        <f>VLOOKUP($A350,'Key Inputs_BY Techs'!$B$198:$AJ$207,AH$310,FALSE)/8760</f>
        <v>4.1666666666666664E-2</v>
      </c>
      <c r="AI350" s="180">
        <f>VLOOKUP($A350,'Key Inputs_BY Techs'!$B$198:$AJ$207,AI$310,FALSE)/8760</f>
        <v>4.1666666666666664E-2</v>
      </c>
      <c r="AJ350" s="180">
        <f>VLOOKUP($A350,'Key Inputs_BY Techs'!$B$198:$AJ$207,AJ$310,FALSE)/8760</f>
        <v>5.1477189103886295E-2</v>
      </c>
      <c r="AK350" s="180">
        <f>VLOOKUP($A350,'Key Inputs_BY Techs'!$B$198:$AJ$207,AK$310,FALSE)/8760</f>
        <v>4.1666666666666664E-2</v>
      </c>
      <c r="AL350" s="180">
        <f>VLOOKUP($A350,'Key Inputs_BY Techs'!$B$198:$AJ$207,AL$310,FALSE)/8760</f>
        <v>7.0781511423467725E-2</v>
      </c>
      <c r="AM350" s="180">
        <f>VLOOKUP($A350,'Key Inputs_BY Techs'!$B$198:$AJ$207,AM$310,FALSE)/8760</f>
        <v>4.1666666666666664E-2</v>
      </c>
      <c r="AN350" s="180">
        <f>VLOOKUP($A350,'Key Inputs_BY Techs'!$B$198:$AJ$207,AN$310,FALSE)/8760</f>
        <v>4.8525528371344114E-2</v>
      </c>
      <c r="AO350" s="180">
        <f>VLOOKUP($A350,'Key Inputs_BY Techs'!$B$198:$AJ$207,AO$310,FALSE)/8760</f>
        <v>4.1991055814934002E-2</v>
      </c>
      <c r="AP350" s="180">
        <f>VLOOKUP($A350,'Key Inputs_BY Techs'!$B$198:$AJ$207,AP$310,FALSE)/8760</f>
        <v>0.10573317089500424</v>
      </c>
      <c r="AQ350" s="180">
        <f>VLOOKUP($A350,'Key Inputs_BY Techs'!$B$198:$AJ$207,AQ$310,FALSE)/8760</f>
        <v>8.0437275857606058E-2</v>
      </c>
      <c r="AR350" s="180">
        <f>VLOOKUP($A350,'Key Inputs_BY Techs'!$B$198:$AJ$207,AR$310,FALSE)/8760</f>
        <v>6.6692438947101099E-2</v>
      </c>
      <c r="AS350" s="119"/>
      <c r="AT350" s="114"/>
      <c r="AV350" s="126"/>
      <c r="BF350" s="114"/>
      <c r="BG350" s="122"/>
      <c r="BH350" s="122"/>
    </row>
    <row r="351" spans="1:60" x14ac:dyDescent="0.25">
      <c r="A351" s="245" t="str">
        <f t="shared" ref="A351:G351" si="58">A46</f>
        <v>Thermal uses</v>
      </c>
      <c r="B351" s="245" t="str">
        <f t="shared" si="58"/>
        <v>R-THH</v>
      </c>
      <c r="C351" s="245" t="str">
        <f t="shared" si="58"/>
        <v>Natural gas,Biogas</v>
      </c>
      <c r="D351" s="245" t="str">
        <f t="shared" si="58"/>
        <v>RSDGAS,RSDBGS,RSDH2B,RSDEFUM</v>
      </c>
      <c r="E351" s="249" t="str">
        <f t="shared" si="58"/>
        <v>RSDGAS</v>
      </c>
      <c r="F351" s="252" t="str">
        <f t="shared" si="58"/>
        <v>Heat Pump (Imp.)</v>
      </c>
      <c r="G351" s="250" t="str">
        <f t="shared" si="58"/>
        <v>06</v>
      </c>
      <c r="H351" s="250"/>
      <c r="I351" s="250"/>
      <c r="K351" s="201" t="str">
        <f>IF('Commodities &amp; Processes'!L95="",'Commodities &amp; Processes'!K95,'Commodities &amp; Processes'!L95)</f>
        <v>R-THH-HPA_GAS06</v>
      </c>
      <c r="L351" s="109" t="str">
        <f>IF('Commodities &amp; Processes'!M95="","",'Commodities &amp; Processes'!M95)</f>
        <v>RSD Thermal uses technology: Natural gas,Biogas Heat Pump (Imp.) -New</v>
      </c>
      <c r="O351" s="109" t="s">
        <v>313</v>
      </c>
      <c r="P351" s="109" t="s">
        <v>174</v>
      </c>
      <c r="Q351" s="180">
        <f>VLOOKUP($A351,'Key Inputs_BY Techs'!$B$198:$AJ$207,Q$310,FALSE)/8760</f>
        <v>4.5322895632501033E-2</v>
      </c>
      <c r="R351" s="180">
        <f>VLOOKUP($A351,'Key Inputs_BY Techs'!$B$198:$AJ$207,R$310,FALSE)/8760</f>
        <v>4.5047579105877276E-2</v>
      </c>
      <c r="S351" s="180">
        <f>VLOOKUP($A351,'Key Inputs_BY Techs'!$B$198:$AJ$207,S$310,FALSE)/8760</f>
        <v>4.1991055814934002E-2</v>
      </c>
      <c r="T351" s="180">
        <f>VLOOKUP($A351,'Key Inputs_BY Techs'!$B$198:$AJ$207,T$310,FALSE)/8760</f>
        <v>4.1685785869904429E-2</v>
      </c>
      <c r="U351" s="180">
        <f>VLOOKUP($A351,'Key Inputs_BY Techs'!$B$198:$AJ$207,U$310,FALSE)/8760</f>
        <v>5.0682342606484215E-2</v>
      </c>
      <c r="V351" s="180">
        <f>VLOOKUP($A351,'Key Inputs_BY Techs'!$B$198:$AJ$207,V$310,FALSE)/8760</f>
        <v>5.807085407630011E-2</v>
      </c>
      <c r="W351" s="180">
        <f>VLOOKUP($A351,'Key Inputs_BY Techs'!$B$198:$AJ$207,W$310,FALSE)/8760</f>
        <v>4.1687877260716787E-2</v>
      </c>
      <c r="X351" s="180">
        <f>VLOOKUP($A351,'Key Inputs_BY Techs'!$B$198:$AJ$207,X$310,FALSE)/8760</f>
        <v>4.2884552320900708E-2</v>
      </c>
      <c r="Y351" s="180">
        <f>VLOOKUP($A351,'Key Inputs_BY Techs'!$B$198:$AJ$207,Y$310,FALSE)/8760</f>
        <v>4.1666666666666664E-2</v>
      </c>
      <c r="Z351" s="180">
        <f>VLOOKUP($A351,'Key Inputs_BY Techs'!$B$198:$AJ$207,Z$310,FALSE)/8760</f>
        <v>0.12925469986413698</v>
      </c>
      <c r="AA351" s="180">
        <f>VLOOKUP($A351,'Key Inputs_BY Techs'!$B$198:$AJ$207,AA$310,FALSE)/8760</f>
        <v>5.6018402502504346E-2</v>
      </c>
      <c r="AB351" s="180">
        <f>VLOOKUP($A351,'Key Inputs_BY Techs'!$B$198:$AJ$207,AB$310,FALSE)/8760</f>
        <v>8.0456212261297039E-2</v>
      </c>
      <c r="AC351" s="180">
        <f>VLOOKUP($A351,'Key Inputs_BY Techs'!$B$198:$AJ$207,AC$310,FALSE)/8760</f>
        <v>8.196249702811996E-2</v>
      </c>
      <c r="AD351" s="180">
        <f>VLOOKUP($A351,'Key Inputs_BY Techs'!$B$198:$AJ$207,AD$310,FALSE)/8760</f>
        <v>9.0560920532517131E-2</v>
      </c>
      <c r="AE351" s="180">
        <f>VLOOKUP($A351,'Key Inputs_BY Techs'!$B$198:$AJ$207,AE$310,FALSE)/8760</f>
        <v>7.7640907014416241E-2</v>
      </c>
      <c r="AF351" s="180">
        <f>VLOOKUP($A351,'Key Inputs_BY Techs'!$B$198:$AJ$207,AF$310,FALSE)/8760</f>
        <v>6.6864645901418843E-2</v>
      </c>
      <c r="AG351" s="180">
        <f>VLOOKUP($A351,'Key Inputs_BY Techs'!$B$198:$AJ$207,AG$310,FALSE)/8760</f>
        <v>6.6864645901418843E-2</v>
      </c>
      <c r="AH351" s="180">
        <f>VLOOKUP($A351,'Key Inputs_BY Techs'!$B$198:$AJ$207,AH$310,FALSE)/8760</f>
        <v>4.1666666666666664E-2</v>
      </c>
      <c r="AI351" s="180">
        <f>VLOOKUP($A351,'Key Inputs_BY Techs'!$B$198:$AJ$207,AI$310,FALSE)/8760</f>
        <v>4.1666666666666664E-2</v>
      </c>
      <c r="AJ351" s="180">
        <f>VLOOKUP($A351,'Key Inputs_BY Techs'!$B$198:$AJ$207,AJ$310,FALSE)/8760</f>
        <v>5.1477189103886295E-2</v>
      </c>
      <c r="AK351" s="180">
        <f>VLOOKUP($A351,'Key Inputs_BY Techs'!$B$198:$AJ$207,AK$310,FALSE)/8760</f>
        <v>4.1666666666666664E-2</v>
      </c>
      <c r="AL351" s="180">
        <f>VLOOKUP($A351,'Key Inputs_BY Techs'!$B$198:$AJ$207,AL$310,FALSE)/8760</f>
        <v>7.0781511423467725E-2</v>
      </c>
      <c r="AM351" s="180">
        <f>VLOOKUP($A351,'Key Inputs_BY Techs'!$B$198:$AJ$207,AM$310,FALSE)/8760</f>
        <v>4.1666666666666664E-2</v>
      </c>
      <c r="AN351" s="180">
        <f>VLOOKUP($A351,'Key Inputs_BY Techs'!$B$198:$AJ$207,AN$310,FALSE)/8760</f>
        <v>4.8525528371344114E-2</v>
      </c>
      <c r="AO351" s="180">
        <f>VLOOKUP($A351,'Key Inputs_BY Techs'!$B$198:$AJ$207,AO$310,FALSE)/8760</f>
        <v>4.1991055814934002E-2</v>
      </c>
      <c r="AP351" s="180">
        <f>VLOOKUP($A351,'Key Inputs_BY Techs'!$B$198:$AJ$207,AP$310,FALSE)/8760</f>
        <v>0.10573317089500424</v>
      </c>
      <c r="AQ351" s="180">
        <f>VLOOKUP($A351,'Key Inputs_BY Techs'!$B$198:$AJ$207,AQ$310,FALSE)/8760</f>
        <v>8.0437275857606058E-2</v>
      </c>
      <c r="AR351" s="180">
        <f>VLOOKUP($A351,'Key Inputs_BY Techs'!$B$198:$AJ$207,AR$310,FALSE)/8760</f>
        <v>6.6692438947101099E-2</v>
      </c>
      <c r="AS351" s="119"/>
      <c r="AT351" s="114"/>
      <c r="AV351" s="126"/>
      <c r="BF351" s="114"/>
      <c r="BG351" s="122"/>
      <c r="BH351" s="122"/>
    </row>
    <row r="352" spans="1:60" x14ac:dyDescent="0.25">
      <c r="A352" s="245" t="str">
        <f t="shared" ref="A352:G352" si="59">A47</f>
        <v>Thermal uses</v>
      </c>
      <c r="B352" s="245" t="str">
        <f t="shared" si="59"/>
        <v>R-THH</v>
      </c>
      <c r="C352" s="245" t="str">
        <f t="shared" si="59"/>
        <v>Natural gas,Biogas</v>
      </c>
      <c r="D352" s="245" t="str">
        <f t="shared" si="59"/>
        <v>RSDGAS,RSDBGS,RSDH2B,RSDEFUM</v>
      </c>
      <c r="E352" s="249" t="str">
        <f t="shared" si="59"/>
        <v>RSDGAS</v>
      </c>
      <c r="F352" s="252" t="str">
        <f t="shared" si="59"/>
        <v>Heat Pump (Adv.)</v>
      </c>
      <c r="G352" s="250" t="str">
        <f t="shared" si="59"/>
        <v>07</v>
      </c>
      <c r="H352" s="250"/>
      <c r="I352" s="250"/>
      <c r="K352" s="201" t="str">
        <f>IF('Commodities &amp; Processes'!L96="",'Commodities &amp; Processes'!K96,'Commodities &amp; Processes'!L96)</f>
        <v>R-THH-HPA_GAS07</v>
      </c>
      <c r="L352" s="109" t="str">
        <f>IF('Commodities &amp; Processes'!M96="","",'Commodities &amp; Processes'!M96)</f>
        <v>RSD Thermal uses technology: Natural gas,Biogas Heat Pump (Adv.) -New</v>
      </c>
      <c r="O352" s="109" t="s">
        <v>313</v>
      </c>
      <c r="P352" s="109" t="s">
        <v>174</v>
      </c>
      <c r="Q352" s="180">
        <f>VLOOKUP($A352,'Key Inputs_BY Techs'!$B$198:$AJ$207,Q$310,FALSE)/8760</f>
        <v>4.5322895632501033E-2</v>
      </c>
      <c r="R352" s="180">
        <f>VLOOKUP($A352,'Key Inputs_BY Techs'!$B$198:$AJ$207,R$310,FALSE)/8760</f>
        <v>4.5047579105877276E-2</v>
      </c>
      <c r="S352" s="180">
        <f>VLOOKUP($A352,'Key Inputs_BY Techs'!$B$198:$AJ$207,S$310,FALSE)/8760</f>
        <v>4.1991055814934002E-2</v>
      </c>
      <c r="T352" s="180">
        <f>VLOOKUP($A352,'Key Inputs_BY Techs'!$B$198:$AJ$207,T$310,FALSE)/8760</f>
        <v>4.1685785869904429E-2</v>
      </c>
      <c r="U352" s="180">
        <f>VLOOKUP($A352,'Key Inputs_BY Techs'!$B$198:$AJ$207,U$310,FALSE)/8760</f>
        <v>5.0682342606484215E-2</v>
      </c>
      <c r="V352" s="180">
        <f>VLOOKUP($A352,'Key Inputs_BY Techs'!$B$198:$AJ$207,V$310,FALSE)/8760</f>
        <v>5.807085407630011E-2</v>
      </c>
      <c r="W352" s="180">
        <f>VLOOKUP($A352,'Key Inputs_BY Techs'!$B$198:$AJ$207,W$310,FALSE)/8760</f>
        <v>4.1687877260716787E-2</v>
      </c>
      <c r="X352" s="180">
        <f>VLOOKUP($A352,'Key Inputs_BY Techs'!$B$198:$AJ$207,X$310,FALSE)/8760</f>
        <v>4.2884552320900708E-2</v>
      </c>
      <c r="Y352" s="180">
        <f>VLOOKUP($A352,'Key Inputs_BY Techs'!$B$198:$AJ$207,Y$310,FALSE)/8760</f>
        <v>4.1666666666666664E-2</v>
      </c>
      <c r="Z352" s="180">
        <f>VLOOKUP($A352,'Key Inputs_BY Techs'!$B$198:$AJ$207,Z$310,FALSE)/8760</f>
        <v>0.12925469986413698</v>
      </c>
      <c r="AA352" s="180">
        <f>VLOOKUP($A352,'Key Inputs_BY Techs'!$B$198:$AJ$207,AA$310,FALSE)/8760</f>
        <v>5.6018402502504346E-2</v>
      </c>
      <c r="AB352" s="180">
        <f>VLOOKUP($A352,'Key Inputs_BY Techs'!$B$198:$AJ$207,AB$310,FALSE)/8760</f>
        <v>8.0456212261297039E-2</v>
      </c>
      <c r="AC352" s="180">
        <f>VLOOKUP($A352,'Key Inputs_BY Techs'!$B$198:$AJ$207,AC$310,FALSE)/8760</f>
        <v>8.196249702811996E-2</v>
      </c>
      <c r="AD352" s="180">
        <f>VLOOKUP($A352,'Key Inputs_BY Techs'!$B$198:$AJ$207,AD$310,FALSE)/8760</f>
        <v>9.0560920532517131E-2</v>
      </c>
      <c r="AE352" s="180">
        <f>VLOOKUP($A352,'Key Inputs_BY Techs'!$B$198:$AJ$207,AE$310,FALSE)/8760</f>
        <v>7.7640907014416241E-2</v>
      </c>
      <c r="AF352" s="180">
        <f>VLOOKUP($A352,'Key Inputs_BY Techs'!$B$198:$AJ$207,AF$310,FALSE)/8760</f>
        <v>6.6864645901418843E-2</v>
      </c>
      <c r="AG352" s="180">
        <f>VLOOKUP($A352,'Key Inputs_BY Techs'!$B$198:$AJ$207,AG$310,FALSE)/8760</f>
        <v>6.6864645901418843E-2</v>
      </c>
      <c r="AH352" s="180">
        <f>VLOOKUP($A352,'Key Inputs_BY Techs'!$B$198:$AJ$207,AH$310,FALSE)/8760</f>
        <v>4.1666666666666664E-2</v>
      </c>
      <c r="AI352" s="180">
        <f>VLOOKUP($A352,'Key Inputs_BY Techs'!$B$198:$AJ$207,AI$310,FALSE)/8760</f>
        <v>4.1666666666666664E-2</v>
      </c>
      <c r="AJ352" s="180">
        <f>VLOOKUP($A352,'Key Inputs_BY Techs'!$B$198:$AJ$207,AJ$310,FALSE)/8760</f>
        <v>5.1477189103886295E-2</v>
      </c>
      <c r="AK352" s="180">
        <f>VLOOKUP($A352,'Key Inputs_BY Techs'!$B$198:$AJ$207,AK$310,FALSE)/8760</f>
        <v>4.1666666666666664E-2</v>
      </c>
      <c r="AL352" s="180">
        <f>VLOOKUP($A352,'Key Inputs_BY Techs'!$B$198:$AJ$207,AL$310,FALSE)/8760</f>
        <v>7.0781511423467725E-2</v>
      </c>
      <c r="AM352" s="180">
        <f>VLOOKUP($A352,'Key Inputs_BY Techs'!$B$198:$AJ$207,AM$310,FALSE)/8760</f>
        <v>4.1666666666666664E-2</v>
      </c>
      <c r="AN352" s="180">
        <f>VLOOKUP($A352,'Key Inputs_BY Techs'!$B$198:$AJ$207,AN$310,FALSE)/8760</f>
        <v>4.8525528371344114E-2</v>
      </c>
      <c r="AO352" s="180">
        <f>VLOOKUP($A352,'Key Inputs_BY Techs'!$B$198:$AJ$207,AO$310,FALSE)/8760</f>
        <v>4.1991055814934002E-2</v>
      </c>
      <c r="AP352" s="180">
        <f>VLOOKUP($A352,'Key Inputs_BY Techs'!$B$198:$AJ$207,AP$310,FALSE)/8760</f>
        <v>0.10573317089500424</v>
      </c>
      <c r="AQ352" s="180">
        <f>VLOOKUP($A352,'Key Inputs_BY Techs'!$B$198:$AJ$207,AQ$310,FALSE)/8760</f>
        <v>8.0437275857606058E-2</v>
      </c>
      <c r="AR352" s="180">
        <f>VLOOKUP($A352,'Key Inputs_BY Techs'!$B$198:$AJ$207,AR$310,FALSE)/8760</f>
        <v>6.6692438947101099E-2</v>
      </c>
      <c r="AS352" s="119"/>
      <c r="AT352" s="114"/>
      <c r="AV352" s="126"/>
      <c r="BF352" s="114"/>
      <c r="BG352" s="122"/>
      <c r="BH352" s="122"/>
    </row>
    <row r="353" spans="1:60" x14ac:dyDescent="0.25">
      <c r="A353" s="245" t="str">
        <f t="shared" ref="A353:G353" si="60">A48</f>
        <v>Thermal uses</v>
      </c>
      <c r="B353" s="245" t="str">
        <f t="shared" si="60"/>
        <v>R-THH</v>
      </c>
      <c r="C353" s="245" t="str">
        <f t="shared" si="60"/>
        <v>Electricity</v>
      </c>
      <c r="D353" s="245" t="str">
        <f t="shared" si="60"/>
        <v>RSDELC</v>
      </c>
      <c r="E353" s="249" t="str">
        <f t="shared" si="60"/>
        <v>RSDELC</v>
      </c>
      <c r="F353" s="252" t="str">
        <f t="shared" si="60"/>
        <v>Ground Heat Pump (Ord.)</v>
      </c>
      <c r="G353" s="250" t="str">
        <f t="shared" si="60"/>
        <v>01</v>
      </c>
      <c r="H353" s="250"/>
      <c r="I353" s="250"/>
      <c r="K353" s="201" t="str">
        <f>IF('Commodities &amp; Processes'!L97="",'Commodities &amp; Processes'!K97,'Commodities &amp; Processes'!L97)</f>
        <v>R-THH-HPG_ELC01</v>
      </c>
      <c r="L353" s="109" t="str">
        <f>IF('Commodities &amp; Processes'!M97="","",'Commodities &amp; Processes'!M97)</f>
        <v>RSD Thermal uses technology: Electricity Ground Heat Pump (Ord.) -New</v>
      </c>
      <c r="O353" s="109" t="s">
        <v>313</v>
      </c>
      <c r="P353" s="109" t="s">
        <v>174</v>
      </c>
      <c r="Q353" s="180">
        <f>VLOOKUP($A353,'Key Inputs_BY Techs'!$B$198:$AJ$207,Q$310,FALSE)/8760</f>
        <v>4.5322895632501033E-2</v>
      </c>
      <c r="R353" s="180">
        <f>VLOOKUP($A353,'Key Inputs_BY Techs'!$B$198:$AJ$207,R$310,FALSE)/8760</f>
        <v>4.5047579105877276E-2</v>
      </c>
      <c r="S353" s="180">
        <f>VLOOKUP($A353,'Key Inputs_BY Techs'!$B$198:$AJ$207,S$310,FALSE)/8760</f>
        <v>4.1991055814934002E-2</v>
      </c>
      <c r="T353" s="180">
        <f>VLOOKUP($A353,'Key Inputs_BY Techs'!$B$198:$AJ$207,T$310,FALSE)/8760</f>
        <v>4.1685785869904429E-2</v>
      </c>
      <c r="U353" s="180">
        <f>VLOOKUP($A353,'Key Inputs_BY Techs'!$B$198:$AJ$207,U$310,FALSE)/8760</f>
        <v>5.0682342606484215E-2</v>
      </c>
      <c r="V353" s="180">
        <f>VLOOKUP($A353,'Key Inputs_BY Techs'!$B$198:$AJ$207,V$310,FALSE)/8760</f>
        <v>5.807085407630011E-2</v>
      </c>
      <c r="W353" s="180">
        <f>VLOOKUP($A353,'Key Inputs_BY Techs'!$B$198:$AJ$207,W$310,FALSE)/8760</f>
        <v>4.1687877260716787E-2</v>
      </c>
      <c r="X353" s="180">
        <f>VLOOKUP($A353,'Key Inputs_BY Techs'!$B$198:$AJ$207,X$310,FALSE)/8760</f>
        <v>4.2884552320900708E-2</v>
      </c>
      <c r="Y353" s="180">
        <f>VLOOKUP($A353,'Key Inputs_BY Techs'!$B$198:$AJ$207,Y$310,FALSE)/8760</f>
        <v>4.1666666666666664E-2</v>
      </c>
      <c r="Z353" s="180">
        <f>VLOOKUP($A353,'Key Inputs_BY Techs'!$B$198:$AJ$207,Z$310,FALSE)/8760</f>
        <v>0.12925469986413698</v>
      </c>
      <c r="AA353" s="180">
        <f>VLOOKUP($A353,'Key Inputs_BY Techs'!$B$198:$AJ$207,AA$310,FALSE)/8760</f>
        <v>5.6018402502504346E-2</v>
      </c>
      <c r="AB353" s="180">
        <f>VLOOKUP($A353,'Key Inputs_BY Techs'!$B$198:$AJ$207,AB$310,FALSE)/8760</f>
        <v>8.0456212261297039E-2</v>
      </c>
      <c r="AC353" s="180">
        <f>VLOOKUP($A353,'Key Inputs_BY Techs'!$B$198:$AJ$207,AC$310,FALSE)/8760</f>
        <v>8.196249702811996E-2</v>
      </c>
      <c r="AD353" s="180">
        <f>VLOOKUP($A353,'Key Inputs_BY Techs'!$B$198:$AJ$207,AD$310,FALSE)/8760</f>
        <v>9.0560920532517131E-2</v>
      </c>
      <c r="AE353" s="180">
        <f>VLOOKUP($A353,'Key Inputs_BY Techs'!$B$198:$AJ$207,AE$310,FALSE)/8760</f>
        <v>7.7640907014416241E-2</v>
      </c>
      <c r="AF353" s="180">
        <f>VLOOKUP($A353,'Key Inputs_BY Techs'!$B$198:$AJ$207,AF$310,FALSE)/8760</f>
        <v>6.6864645901418843E-2</v>
      </c>
      <c r="AG353" s="180">
        <f>VLOOKUP($A353,'Key Inputs_BY Techs'!$B$198:$AJ$207,AG$310,FALSE)/8760</f>
        <v>6.6864645901418843E-2</v>
      </c>
      <c r="AH353" s="180">
        <f>VLOOKUP($A353,'Key Inputs_BY Techs'!$B$198:$AJ$207,AH$310,FALSE)/8760</f>
        <v>4.1666666666666664E-2</v>
      </c>
      <c r="AI353" s="180">
        <f>VLOOKUP($A353,'Key Inputs_BY Techs'!$B$198:$AJ$207,AI$310,FALSE)/8760</f>
        <v>4.1666666666666664E-2</v>
      </c>
      <c r="AJ353" s="180">
        <f>VLOOKUP($A353,'Key Inputs_BY Techs'!$B$198:$AJ$207,AJ$310,FALSE)/8760</f>
        <v>5.1477189103886295E-2</v>
      </c>
      <c r="AK353" s="180">
        <f>VLOOKUP($A353,'Key Inputs_BY Techs'!$B$198:$AJ$207,AK$310,FALSE)/8760</f>
        <v>4.1666666666666664E-2</v>
      </c>
      <c r="AL353" s="180">
        <f>VLOOKUP($A353,'Key Inputs_BY Techs'!$B$198:$AJ$207,AL$310,FALSE)/8760</f>
        <v>7.0781511423467725E-2</v>
      </c>
      <c r="AM353" s="180">
        <f>VLOOKUP($A353,'Key Inputs_BY Techs'!$B$198:$AJ$207,AM$310,FALSE)/8760</f>
        <v>4.1666666666666664E-2</v>
      </c>
      <c r="AN353" s="180">
        <f>VLOOKUP($A353,'Key Inputs_BY Techs'!$B$198:$AJ$207,AN$310,FALSE)/8760</f>
        <v>4.8525528371344114E-2</v>
      </c>
      <c r="AO353" s="180">
        <f>VLOOKUP($A353,'Key Inputs_BY Techs'!$B$198:$AJ$207,AO$310,FALSE)/8760</f>
        <v>4.1991055814934002E-2</v>
      </c>
      <c r="AP353" s="180">
        <f>VLOOKUP($A353,'Key Inputs_BY Techs'!$B$198:$AJ$207,AP$310,FALSE)/8760</f>
        <v>0.10573317089500424</v>
      </c>
      <c r="AQ353" s="180">
        <f>VLOOKUP($A353,'Key Inputs_BY Techs'!$B$198:$AJ$207,AQ$310,FALSE)/8760</f>
        <v>8.0437275857606058E-2</v>
      </c>
      <c r="AR353" s="180">
        <f>VLOOKUP($A353,'Key Inputs_BY Techs'!$B$198:$AJ$207,AR$310,FALSE)/8760</f>
        <v>6.6692438947101099E-2</v>
      </c>
      <c r="AS353" s="119"/>
      <c r="AT353" s="114"/>
      <c r="AV353" s="126"/>
      <c r="BF353" s="114"/>
      <c r="BG353" s="122"/>
      <c r="BH353" s="122"/>
    </row>
    <row r="354" spans="1:60" x14ac:dyDescent="0.25">
      <c r="A354" s="245" t="str">
        <f t="shared" ref="A354:G354" si="61">A49</f>
        <v>Thermal uses</v>
      </c>
      <c r="B354" s="245" t="str">
        <f t="shared" si="61"/>
        <v>R-THH</v>
      </c>
      <c r="C354" s="245" t="str">
        <f t="shared" si="61"/>
        <v>Electricity</v>
      </c>
      <c r="D354" s="245" t="str">
        <f t="shared" si="61"/>
        <v>RSDELC</v>
      </c>
      <c r="E354" s="249" t="str">
        <f t="shared" si="61"/>
        <v>RSDELC</v>
      </c>
      <c r="F354" s="252" t="str">
        <f t="shared" si="61"/>
        <v>Ground Heat Pump (Imp.)</v>
      </c>
      <c r="G354" s="250" t="str">
        <f t="shared" si="61"/>
        <v>02</v>
      </c>
      <c r="H354" s="250"/>
      <c r="I354" s="250"/>
      <c r="K354" s="201" t="str">
        <f>IF('Commodities &amp; Processes'!L98="",'Commodities &amp; Processes'!K98,'Commodities &amp; Processes'!L98)</f>
        <v>R-THH-HPG_ELC02</v>
      </c>
      <c r="L354" s="109" t="str">
        <f>IF('Commodities &amp; Processes'!M98="","",'Commodities &amp; Processes'!M98)</f>
        <v>RSD Thermal uses technology: Electricity Ground Heat Pump (Imp.) -New</v>
      </c>
      <c r="O354" s="109" t="s">
        <v>313</v>
      </c>
      <c r="P354" s="109" t="s">
        <v>174</v>
      </c>
      <c r="Q354" s="180">
        <f>VLOOKUP($A354,'Key Inputs_BY Techs'!$B$198:$AJ$207,Q$310,FALSE)/8760</f>
        <v>4.5322895632501033E-2</v>
      </c>
      <c r="R354" s="180">
        <f>VLOOKUP($A354,'Key Inputs_BY Techs'!$B$198:$AJ$207,R$310,FALSE)/8760</f>
        <v>4.5047579105877276E-2</v>
      </c>
      <c r="S354" s="180">
        <f>VLOOKUP($A354,'Key Inputs_BY Techs'!$B$198:$AJ$207,S$310,FALSE)/8760</f>
        <v>4.1991055814934002E-2</v>
      </c>
      <c r="T354" s="180">
        <f>VLOOKUP($A354,'Key Inputs_BY Techs'!$B$198:$AJ$207,T$310,FALSE)/8760</f>
        <v>4.1685785869904429E-2</v>
      </c>
      <c r="U354" s="180">
        <f>VLOOKUP($A354,'Key Inputs_BY Techs'!$B$198:$AJ$207,U$310,FALSE)/8760</f>
        <v>5.0682342606484215E-2</v>
      </c>
      <c r="V354" s="180">
        <f>VLOOKUP($A354,'Key Inputs_BY Techs'!$B$198:$AJ$207,V$310,FALSE)/8760</f>
        <v>5.807085407630011E-2</v>
      </c>
      <c r="W354" s="180">
        <f>VLOOKUP($A354,'Key Inputs_BY Techs'!$B$198:$AJ$207,W$310,FALSE)/8760</f>
        <v>4.1687877260716787E-2</v>
      </c>
      <c r="X354" s="180">
        <f>VLOOKUP($A354,'Key Inputs_BY Techs'!$B$198:$AJ$207,X$310,FALSE)/8760</f>
        <v>4.2884552320900708E-2</v>
      </c>
      <c r="Y354" s="180">
        <f>VLOOKUP($A354,'Key Inputs_BY Techs'!$B$198:$AJ$207,Y$310,FALSE)/8760</f>
        <v>4.1666666666666664E-2</v>
      </c>
      <c r="Z354" s="180">
        <f>VLOOKUP($A354,'Key Inputs_BY Techs'!$B$198:$AJ$207,Z$310,FALSE)/8760</f>
        <v>0.12925469986413698</v>
      </c>
      <c r="AA354" s="180">
        <f>VLOOKUP($A354,'Key Inputs_BY Techs'!$B$198:$AJ$207,AA$310,FALSE)/8760</f>
        <v>5.6018402502504346E-2</v>
      </c>
      <c r="AB354" s="180">
        <f>VLOOKUP($A354,'Key Inputs_BY Techs'!$B$198:$AJ$207,AB$310,FALSE)/8760</f>
        <v>8.0456212261297039E-2</v>
      </c>
      <c r="AC354" s="180">
        <f>VLOOKUP($A354,'Key Inputs_BY Techs'!$B$198:$AJ$207,AC$310,FALSE)/8760</f>
        <v>8.196249702811996E-2</v>
      </c>
      <c r="AD354" s="180">
        <f>VLOOKUP($A354,'Key Inputs_BY Techs'!$B$198:$AJ$207,AD$310,FALSE)/8760</f>
        <v>9.0560920532517131E-2</v>
      </c>
      <c r="AE354" s="180">
        <f>VLOOKUP($A354,'Key Inputs_BY Techs'!$B$198:$AJ$207,AE$310,FALSE)/8760</f>
        <v>7.7640907014416241E-2</v>
      </c>
      <c r="AF354" s="180">
        <f>VLOOKUP($A354,'Key Inputs_BY Techs'!$B$198:$AJ$207,AF$310,FALSE)/8760</f>
        <v>6.6864645901418843E-2</v>
      </c>
      <c r="AG354" s="180">
        <f>VLOOKUP($A354,'Key Inputs_BY Techs'!$B$198:$AJ$207,AG$310,FALSE)/8760</f>
        <v>6.6864645901418843E-2</v>
      </c>
      <c r="AH354" s="180">
        <f>VLOOKUP($A354,'Key Inputs_BY Techs'!$B$198:$AJ$207,AH$310,FALSE)/8760</f>
        <v>4.1666666666666664E-2</v>
      </c>
      <c r="AI354" s="180">
        <f>VLOOKUP($A354,'Key Inputs_BY Techs'!$B$198:$AJ$207,AI$310,FALSE)/8760</f>
        <v>4.1666666666666664E-2</v>
      </c>
      <c r="AJ354" s="180">
        <f>VLOOKUP($A354,'Key Inputs_BY Techs'!$B$198:$AJ$207,AJ$310,FALSE)/8760</f>
        <v>5.1477189103886295E-2</v>
      </c>
      <c r="AK354" s="180">
        <f>VLOOKUP($A354,'Key Inputs_BY Techs'!$B$198:$AJ$207,AK$310,FALSE)/8760</f>
        <v>4.1666666666666664E-2</v>
      </c>
      <c r="AL354" s="180">
        <f>VLOOKUP($A354,'Key Inputs_BY Techs'!$B$198:$AJ$207,AL$310,FALSE)/8760</f>
        <v>7.0781511423467725E-2</v>
      </c>
      <c r="AM354" s="180">
        <f>VLOOKUP($A354,'Key Inputs_BY Techs'!$B$198:$AJ$207,AM$310,FALSE)/8760</f>
        <v>4.1666666666666664E-2</v>
      </c>
      <c r="AN354" s="180">
        <f>VLOOKUP($A354,'Key Inputs_BY Techs'!$B$198:$AJ$207,AN$310,FALSE)/8760</f>
        <v>4.8525528371344114E-2</v>
      </c>
      <c r="AO354" s="180">
        <f>VLOOKUP($A354,'Key Inputs_BY Techs'!$B$198:$AJ$207,AO$310,FALSE)/8760</f>
        <v>4.1991055814934002E-2</v>
      </c>
      <c r="AP354" s="180">
        <f>VLOOKUP($A354,'Key Inputs_BY Techs'!$B$198:$AJ$207,AP$310,FALSE)/8760</f>
        <v>0.10573317089500424</v>
      </c>
      <c r="AQ354" s="180">
        <f>VLOOKUP($A354,'Key Inputs_BY Techs'!$B$198:$AJ$207,AQ$310,FALSE)/8760</f>
        <v>8.0437275857606058E-2</v>
      </c>
      <c r="AR354" s="180">
        <f>VLOOKUP($A354,'Key Inputs_BY Techs'!$B$198:$AJ$207,AR$310,FALSE)/8760</f>
        <v>6.6692438947101099E-2</v>
      </c>
      <c r="AS354" s="119"/>
      <c r="AT354" s="114"/>
      <c r="AV354" s="126"/>
      <c r="BF354" s="114"/>
      <c r="BG354" s="122"/>
      <c r="BH354" s="122"/>
    </row>
    <row r="355" spans="1:60" x14ac:dyDescent="0.25">
      <c r="A355" s="245" t="str">
        <f t="shared" ref="A355:G355" si="62">A50</f>
        <v>Thermal uses</v>
      </c>
      <c r="B355" s="245" t="str">
        <f t="shared" si="62"/>
        <v>R-THH</v>
      </c>
      <c r="C355" s="245" t="str">
        <f t="shared" si="62"/>
        <v>Electricity</v>
      </c>
      <c r="D355" s="245" t="str">
        <f t="shared" si="62"/>
        <v>RSDELC</v>
      </c>
      <c r="E355" s="249" t="str">
        <f t="shared" si="62"/>
        <v>RSDELC</v>
      </c>
      <c r="F355" s="252" t="str">
        <f t="shared" si="62"/>
        <v>Ground Heat Pump (Adv.)</v>
      </c>
      <c r="G355" s="250" t="str">
        <f t="shared" si="62"/>
        <v>03</v>
      </c>
      <c r="H355" s="250"/>
      <c r="I355" s="250"/>
      <c r="K355" s="201" t="str">
        <f>IF('Commodities &amp; Processes'!L99="",'Commodities &amp; Processes'!K99,'Commodities &amp; Processes'!L99)</f>
        <v>R-THH-HPG_ELC03</v>
      </c>
      <c r="L355" s="109" t="str">
        <f>IF('Commodities &amp; Processes'!M99="","",'Commodities &amp; Processes'!M99)</f>
        <v>RSD Thermal uses technology: Electricity Ground Heat Pump (Adv.) -New</v>
      </c>
      <c r="O355" s="109" t="s">
        <v>313</v>
      </c>
      <c r="P355" s="109" t="s">
        <v>174</v>
      </c>
      <c r="Q355" s="180">
        <f>VLOOKUP($A355,'Key Inputs_BY Techs'!$B$198:$AJ$207,Q$310,FALSE)/8760</f>
        <v>4.5322895632501033E-2</v>
      </c>
      <c r="R355" s="180">
        <f>VLOOKUP($A355,'Key Inputs_BY Techs'!$B$198:$AJ$207,R$310,FALSE)/8760</f>
        <v>4.5047579105877276E-2</v>
      </c>
      <c r="S355" s="180">
        <f>VLOOKUP($A355,'Key Inputs_BY Techs'!$B$198:$AJ$207,S$310,FALSE)/8760</f>
        <v>4.1991055814934002E-2</v>
      </c>
      <c r="T355" s="180">
        <f>VLOOKUP($A355,'Key Inputs_BY Techs'!$B$198:$AJ$207,T$310,FALSE)/8760</f>
        <v>4.1685785869904429E-2</v>
      </c>
      <c r="U355" s="180">
        <f>VLOOKUP($A355,'Key Inputs_BY Techs'!$B$198:$AJ$207,U$310,FALSE)/8760</f>
        <v>5.0682342606484215E-2</v>
      </c>
      <c r="V355" s="180">
        <f>VLOOKUP($A355,'Key Inputs_BY Techs'!$B$198:$AJ$207,V$310,FALSE)/8760</f>
        <v>5.807085407630011E-2</v>
      </c>
      <c r="W355" s="180">
        <f>VLOOKUP($A355,'Key Inputs_BY Techs'!$B$198:$AJ$207,W$310,FALSE)/8760</f>
        <v>4.1687877260716787E-2</v>
      </c>
      <c r="X355" s="180">
        <f>VLOOKUP($A355,'Key Inputs_BY Techs'!$B$198:$AJ$207,X$310,FALSE)/8760</f>
        <v>4.2884552320900708E-2</v>
      </c>
      <c r="Y355" s="180">
        <f>VLOOKUP($A355,'Key Inputs_BY Techs'!$B$198:$AJ$207,Y$310,FALSE)/8760</f>
        <v>4.1666666666666664E-2</v>
      </c>
      <c r="Z355" s="180">
        <f>VLOOKUP($A355,'Key Inputs_BY Techs'!$B$198:$AJ$207,Z$310,FALSE)/8760</f>
        <v>0.12925469986413698</v>
      </c>
      <c r="AA355" s="180">
        <f>VLOOKUP($A355,'Key Inputs_BY Techs'!$B$198:$AJ$207,AA$310,FALSE)/8760</f>
        <v>5.6018402502504346E-2</v>
      </c>
      <c r="AB355" s="180">
        <f>VLOOKUP($A355,'Key Inputs_BY Techs'!$B$198:$AJ$207,AB$310,FALSE)/8760</f>
        <v>8.0456212261297039E-2</v>
      </c>
      <c r="AC355" s="180">
        <f>VLOOKUP($A355,'Key Inputs_BY Techs'!$B$198:$AJ$207,AC$310,FALSE)/8760</f>
        <v>8.196249702811996E-2</v>
      </c>
      <c r="AD355" s="180">
        <f>VLOOKUP($A355,'Key Inputs_BY Techs'!$B$198:$AJ$207,AD$310,FALSE)/8760</f>
        <v>9.0560920532517131E-2</v>
      </c>
      <c r="AE355" s="180">
        <f>VLOOKUP($A355,'Key Inputs_BY Techs'!$B$198:$AJ$207,AE$310,FALSE)/8760</f>
        <v>7.7640907014416241E-2</v>
      </c>
      <c r="AF355" s="180">
        <f>VLOOKUP($A355,'Key Inputs_BY Techs'!$B$198:$AJ$207,AF$310,FALSE)/8760</f>
        <v>6.6864645901418843E-2</v>
      </c>
      <c r="AG355" s="180">
        <f>VLOOKUP($A355,'Key Inputs_BY Techs'!$B$198:$AJ$207,AG$310,FALSE)/8760</f>
        <v>6.6864645901418843E-2</v>
      </c>
      <c r="AH355" s="180">
        <f>VLOOKUP($A355,'Key Inputs_BY Techs'!$B$198:$AJ$207,AH$310,FALSE)/8760</f>
        <v>4.1666666666666664E-2</v>
      </c>
      <c r="AI355" s="180">
        <f>VLOOKUP($A355,'Key Inputs_BY Techs'!$B$198:$AJ$207,AI$310,FALSE)/8760</f>
        <v>4.1666666666666664E-2</v>
      </c>
      <c r="AJ355" s="180">
        <f>VLOOKUP($A355,'Key Inputs_BY Techs'!$B$198:$AJ$207,AJ$310,FALSE)/8760</f>
        <v>5.1477189103886295E-2</v>
      </c>
      <c r="AK355" s="180">
        <f>VLOOKUP($A355,'Key Inputs_BY Techs'!$B$198:$AJ$207,AK$310,FALSE)/8760</f>
        <v>4.1666666666666664E-2</v>
      </c>
      <c r="AL355" s="180">
        <f>VLOOKUP($A355,'Key Inputs_BY Techs'!$B$198:$AJ$207,AL$310,FALSE)/8760</f>
        <v>7.0781511423467725E-2</v>
      </c>
      <c r="AM355" s="180">
        <f>VLOOKUP($A355,'Key Inputs_BY Techs'!$B$198:$AJ$207,AM$310,FALSE)/8760</f>
        <v>4.1666666666666664E-2</v>
      </c>
      <c r="AN355" s="180">
        <f>VLOOKUP($A355,'Key Inputs_BY Techs'!$B$198:$AJ$207,AN$310,FALSE)/8760</f>
        <v>4.8525528371344114E-2</v>
      </c>
      <c r="AO355" s="180">
        <f>VLOOKUP($A355,'Key Inputs_BY Techs'!$B$198:$AJ$207,AO$310,FALSE)/8760</f>
        <v>4.1991055814934002E-2</v>
      </c>
      <c r="AP355" s="180">
        <f>VLOOKUP($A355,'Key Inputs_BY Techs'!$B$198:$AJ$207,AP$310,FALSE)/8760</f>
        <v>0.10573317089500424</v>
      </c>
      <c r="AQ355" s="180">
        <f>VLOOKUP($A355,'Key Inputs_BY Techs'!$B$198:$AJ$207,AQ$310,FALSE)/8760</f>
        <v>8.0437275857606058E-2</v>
      </c>
      <c r="AR355" s="180">
        <f>VLOOKUP($A355,'Key Inputs_BY Techs'!$B$198:$AJ$207,AR$310,FALSE)/8760</f>
        <v>6.6692438947101099E-2</v>
      </c>
      <c r="AS355" s="119"/>
      <c r="AT355" s="114"/>
      <c r="AV355" s="126"/>
      <c r="BF355" s="114"/>
      <c r="BG355" s="122"/>
      <c r="BH355" s="122"/>
    </row>
    <row r="356" spans="1:60" x14ac:dyDescent="0.25">
      <c r="A356" s="245" t="str">
        <f t="shared" ref="A356:G356" si="63">A51</f>
        <v>Thermal uses</v>
      </c>
      <c r="B356" s="245" t="str">
        <f t="shared" si="63"/>
        <v>R-THH</v>
      </c>
      <c r="C356" s="245" t="str">
        <f t="shared" si="63"/>
        <v>Heat</v>
      </c>
      <c r="D356" s="245" t="str">
        <f t="shared" si="63"/>
        <v>RSDHET</v>
      </c>
      <c r="E356" s="249" t="str">
        <f t="shared" si="63"/>
        <v>RSDHET</v>
      </c>
      <c r="F356" s="252" t="str">
        <f t="shared" si="63"/>
        <v>District Heat (Ord.)</v>
      </c>
      <c r="G356" s="250" t="str">
        <f t="shared" si="63"/>
        <v>01</v>
      </c>
      <c r="H356" s="250"/>
      <c r="I356" s="250"/>
      <c r="K356" s="201" t="str">
        <f>IF('Commodities &amp; Processes'!L100="",'Commodities &amp; Processes'!K100,'Commodities &amp; Processes'!L100)</f>
        <v>R-THH-HEX_HET01</v>
      </c>
      <c r="L356" s="109" t="str">
        <f>IF('Commodities &amp; Processes'!M100="","",'Commodities &amp; Processes'!M100)</f>
        <v>RSD Thermal uses technology: Heat District Heat (Ord.) -New</v>
      </c>
      <c r="O356" s="109" t="s">
        <v>313</v>
      </c>
      <c r="P356" s="109" t="s">
        <v>174</v>
      </c>
      <c r="Q356" s="180">
        <f>VLOOKUP($A356,'Key Inputs_BY Techs'!$B$198:$AJ$207,Q$310,FALSE)/8760</f>
        <v>4.5322895632501033E-2</v>
      </c>
      <c r="R356" s="180">
        <f>VLOOKUP($A356,'Key Inputs_BY Techs'!$B$198:$AJ$207,R$310,FALSE)/8760</f>
        <v>4.5047579105877276E-2</v>
      </c>
      <c r="S356" s="180">
        <f>VLOOKUP($A356,'Key Inputs_BY Techs'!$B$198:$AJ$207,S$310,FALSE)/8760</f>
        <v>4.1991055814934002E-2</v>
      </c>
      <c r="T356" s="180">
        <f>VLOOKUP($A356,'Key Inputs_BY Techs'!$B$198:$AJ$207,T$310,FALSE)/8760</f>
        <v>4.1685785869904429E-2</v>
      </c>
      <c r="U356" s="180">
        <f>VLOOKUP($A356,'Key Inputs_BY Techs'!$B$198:$AJ$207,U$310,FALSE)/8760</f>
        <v>5.0682342606484215E-2</v>
      </c>
      <c r="V356" s="180">
        <f>VLOOKUP($A356,'Key Inputs_BY Techs'!$B$198:$AJ$207,V$310,FALSE)/8760</f>
        <v>5.807085407630011E-2</v>
      </c>
      <c r="W356" s="180">
        <f>VLOOKUP($A356,'Key Inputs_BY Techs'!$B$198:$AJ$207,W$310,FALSE)/8760</f>
        <v>4.1687877260716787E-2</v>
      </c>
      <c r="X356" s="180">
        <f>VLOOKUP($A356,'Key Inputs_BY Techs'!$B$198:$AJ$207,X$310,FALSE)/8760</f>
        <v>4.2884552320900708E-2</v>
      </c>
      <c r="Y356" s="180">
        <f>VLOOKUP($A356,'Key Inputs_BY Techs'!$B$198:$AJ$207,Y$310,FALSE)/8760</f>
        <v>4.1666666666666664E-2</v>
      </c>
      <c r="Z356" s="180">
        <f>VLOOKUP($A356,'Key Inputs_BY Techs'!$B$198:$AJ$207,Z$310,FALSE)/8760</f>
        <v>0.12925469986413698</v>
      </c>
      <c r="AA356" s="180">
        <f>VLOOKUP($A356,'Key Inputs_BY Techs'!$B$198:$AJ$207,AA$310,FALSE)/8760</f>
        <v>5.6018402502504346E-2</v>
      </c>
      <c r="AB356" s="180">
        <f>VLOOKUP($A356,'Key Inputs_BY Techs'!$B$198:$AJ$207,AB$310,FALSE)/8760</f>
        <v>8.0456212261297039E-2</v>
      </c>
      <c r="AC356" s="180">
        <f>VLOOKUP($A356,'Key Inputs_BY Techs'!$B$198:$AJ$207,AC$310,FALSE)/8760</f>
        <v>8.196249702811996E-2</v>
      </c>
      <c r="AD356" s="180">
        <f>VLOOKUP($A356,'Key Inputs_BY Techs'!$B$198:$AJ$207,AD$310,FALSE)/8760</f>
        <v>9.0560920532517131E-2</v>
      </c>
      <c r="AE356" s="180">
        <f>VLOOKUP($A356,'Key Inputs_BY Techs'!$B$198:$AJ$207,AE$310,FALSE)/8760</f>
        <v>7.7640907014416241E-2</v>
      </c>
      <c r="AF356" s="180">
        <f>VLOOKUP($A356,'Key Inputs_BY Techs'!$B$198:$AJ$207,AF$310,FALSE)/8760</f>
        <v>6.6864645901418843E-2</v>
      </c>
      <c r="AG356" s="180">
        <f>VLOOKUP($A356,'Key Inputs_BY Techs'!$B$198:$AJ$207,AG$310,FALSE)/8760</f>
        <v>6.6864645901418843E-2</v>
      </c>
      <c r="AH356" s="180">
        <f>VLOOKUP($A356,'Key Inputs_BY Techs'!$B$198:$AJ$207,AH$310,FALSE)/8760</f>
        <v>4.1666666666666664E-2</v>
      </c>
      <c r="AI356" s="180">
        <f>VLOOKUP($A356,'Key Inputs_BY Techs'!$B$198:$AJ$207,AI$310,FALSE)/8760</f>
        <v>4.1666666666666664E-2</v>
      </c>
      <c r="AJ356" s="180">
        <f>VLOOKUP($A356,'Key Inputs_BY Techs'!$B$198:$AJ$207,AJ$310,FALSE)/8760</f>
        <v>5.1477189103886295E-2</v>
      </c>
      <c r="AK356" s="180">
        <f>VLOOKUP($A356,'Key Inputs_BY Techs'!$B$198:$AJ$207,AK$310,FALSE)/8760</f>
        <v>4.1666666666666664E-2</v>
      </c>
      <c r="AL356" s="180">
        <f>VLOOKUP($A356,'Key Inputs_BY Techs'!$B$198:$AJ$207,AL$310,FALSE)/8760</f>
        <v>7.0781511423467725E-2</v>
      </c>
      <c r="AM356" s="180">
        <f>VLOOKUP($A356,'Key Inputs_BY Techs'!$B$198:$AJ$207,AM$310,FALSE)/8760</f>
        <v>4.1666666666666664E-2</v>
      </c>
      <c r="AN356" s="180">
        <f>VLOOKUP($A356,'Key Inputs_BY Techs'!$B$198:$AJ$207,AN$310,FALSE)/8760</f>
        <v>4.8525528371344114E-2</v>
      </c>
      <c r="AO356" s="180">
        <f>VLOOKUP($A356,'Key Inputs_BY Techs'!$B$198:$AJ$207,AO$310,FALSE)/8760</f>
        <v>4.1991055814934002E-2</v>
      </c>
      <c r="AP356" s="180">
        <f>VLOOKUP($A356,'Key Inputs_BY Techs'!$B$198:$AJ$207,AP$310,FALSE)/8760</f>
        <v>0.10573317089500424</v>
      </c>
      <c r="AQ356" s="180">
        <f>VLOOKUP($A356,'Key Inputs_BY Techs'!$B$198:$AJ$207,AQ$310,FALSE)/8760</f>
        <v>8.0437275857606058E-2</v>
      </c>
      <c r="AR356" s="180">
        <f>VLOOKUP($A356,'Key Inputs_BY Techs'!$B$198:$AJ$207,AR$310,FALSE)/8760</f>
        <v>6.6692438947101099E-2</v>
      </c>
      <c r="AS356" s="119"/>
      <c r="AT356" s="114"/>
      <c r="AV356" s="126"/>
      <c r="BF356" s="114"/>
      <c r="BG356" s="122"/>
      <c r="BH356" s="122"/>
    </row>
    <row r="357" spans="1:60" x14ac:dyDescent="0.25">
      <c r="A357" s="245" t="str">
        <f t="shared" ref="A357:G357" si="64">A52</f>
        <v>Thermal uses</v>
      </c>
      <c r="B357" s="245" t="str">
        <f t="shared" si="64"/>
        <v>R-THH</v>
      </c>
      <c r="C357" s="245" t="str">
        <f t="shared" si="64"/>
        <v>Heat</v>
      </c>
      <c r="D357" s="245" t="str">
        <f t="shared" si="64"/>
        <v>RSDHET</v>
      </c>
      <c r="E357" s="249" t="str">
        <f t="shared" si="64"/>
        <v>RSDHET</v>
      </c>
      <c r="F357" s="252" t="str">
        <f t="shared" si="64"/>
        <v>District Heat (Imp.)</v>
      </c>
      <c r="G357" s="250" t="str">
        <f t="shared" si="64"/>
        <v>02</v>
      </c>
      <c r="H357" s="250"/>
      <c r="I357" s="250"/>
      <c r="K357" s="201" t="str">
        <f>IF('Commodities &amp; Processes'!L101="",'Commodities &amp; Processes'!K101,'Commodities &amp; Processes'!L101)</f>
        <v>R-THH-HEX_HET02</v>
      </c>
      <c r="L357" s="109" t="str">
        <f>IF('Commodities &amp; Processes'!M101="","",'Commodities &amp; Processes'!M101)</f>
        <v>RSD Thermal uses technology: Heat District Heat (Imp.) -New</v>
      </c>
      <c r="O357" s="109" t="s">
        <v>313</v>
      </c>
      <c r="P357" s="109" t="s">
        <v>174</v>
      </c>
      <c r="Q357" s="180">
        <f>VLOOKUP($A357,'Key Inputs_BY Techs'!$B$198:$AJ$207,Q$310,FALSE)/8760</f>
        <v>4.5322895632501033E-2</v>
      </c>
      <c r="R357" s="180">
        <f>VLOOKUP($A357,'Key Inputs_BY Techs'!$B$198:$AJ$207,R$310,FALSE)/8760</f>
        <v>4.5047579105877276E-2</v>
      </c>
      <c r="S357" s="180">
        <f>VLOOKUP($A357,'Key Inputs_BY Techs'!$B$198:$AJ$207,S$310,FALSE)/8760</f>
        <v>4.1991055814934002E-2</v>
      </c>
      <c r="T357" s="180">
        <f>VLOOKUP($A357,'Key Inputs_BY Techs'!$B$198:$AJ$207,T$310,FALSE)/8760</f>
        <v>4.1685785869904429E-2</v>
      </c>
      <c r="U357" s="180">
        <f>VLOOKUP($A357,'Key Inputs_BY Techs'!$B$198:$AJ$207,U$310,FALSE)/8760</f>
        <v>5.0682342606484215E-2</v>
      </c>
      <c r="V357" s="180">
        <f>VLOOKUP($A357,'Key Inputs_BY Techs'!$B$198:$AJ$207,V$310,FALSE)/8760</f>
        <v>5.807085407630011E-2</v>
      </c>
      <c r="W357" s="180">
        <f>VLOOKUP($A357,'Key Inputs_BY Techs'!$B$198:$AJ$207,W$310,FALSE)/8760</f>
        <v>4.1687877260716787E-2</v>
      </c>
      <c r="X357" s="180">
        <f>VLOOKUP($A357,'Key Inputs_BY Techs'!$B$198:$AJ$207,X$310,FALSE)/8760</f>
        <v>4.2884552320900708E-2</v>
      </c>
      <c r="Y357" s="180">
        <f>VLOOKUP($A357,'Key Inputs_BY Techs'!$B$198:$AJ$207,Y$310,FALSE)/8760</f>
        <v>4.1666666666666664E-2</v>
      </c>
      <c r="Z357" s="180">
        <f>VLOOKUP($A357,'Key Inputs_BY Techs'!$B$198:$AJ$207,Z$310,FALSE)/8760</f>
        <v>0.12925469986413698</v>
      </c>
      <c r="AA357" s="180">
        <f>VLOOKUP($A357,'Key Inputs_BY Techs'!$B$198:$AJ$207,AA$310,FALSE)/8760</f>
        <v>5.6018402502504346E-2</v>
      </c>
      <c r="AB357" s="180">
        <f>VLOOKUP($A357,'Key Inputs_BY Techs'!$B$198:$AJ$207,AB$310,FALSE)/8760</f>
        <v>8.0456212261297039E-2</v>
      </c>
      <c r="AC357" s="180">
        <f>VLOOKUP($A357,'Key Inputs_BY Techs'!$B$198:$AJ$207,AC$310,FALSE)/8760</f>
        <v>8.196249702811996E-2</v>
      </c>
      <c r="AD357" s="180">
        <f>VLOOKUP($A357,'Key Inputs_BY Techs'!$B$198:$AJ$207,AD$310,FALSE)/8760</f>
        <v>9.0560920532517131E-2</v>
      </c>
      <c r="AE357" s="180">
        <f>VLOOKUP($A357,'Key Inputs_BY Techs'!$B$198:$AJ$207,AE$310,FALSE)/8760</f>
        <v>7.7640907014416241E-2</v>
      </c>
      <c r="AF357" s="180">
        <f>VLOOKUP($A357,'Key Inputs_BY Techs'!$B$198:$AJ$207,AF$310,FALSE)/8760</f>
        <v>6.6864645901418843E-2</v>
      </c>
      <c r="AG357" s="180">
        <f>VLOOKUP($A357,'Key Inputs_BY Techs'!$B$198:$AJ$207,AG$310,FALSE)/8760</f>
        <v>6.6864645901418843E-2</v>
      </c>
      <c r="AH357" s="180">
        <f>VLOOKUP($A357,'Key Inputs_BY Techs'!$B$198:$AJ$207,AH$310,FALSE)/8760</f>
        <v>4.1666666666666664E-2</v>
      </c>
      <c r="AI357" s="180">
        <f>VLOOKUP($A357,'Key Inputs_BY Techs'!$B$198:$AJ$207,AI$310,FALSE)/8760</f>
        <v>4.1666666666666664E-2</v>
      </c>
      <c r="AJ357" s="180">
        <f>VLOOKUP($A357,'Key Inputs_BY Techs'!$B$198:$AJ$207,AJ$310,FALSE)/8760</f>
        <v>5.1477189103886295E-2</v>
      </c>
      <c r="AK357" s="180">
        <f>VLOOKUP($A357,'Key Inputs_BY Techs'!$B$198:$AJ$207,AK$310,FALSE)/8760</f>
        <v>4.1666666666666664E-2</v>
      </c>
      <c r="AL357" s="180">
        <f>VLOOKUP($A357,'Key Inputs_BY Techs'!$B$198:$AJ$207,AL$310,FALSE)/8760</f>
        <v>7.0781511423467725E-2</v>
      </c>
      <c r="AM357" s="180">
        <f>VLOOKUP($A357,'Key Inputs_BY Techs'!$B$198:$AJ$207,AM$310,FALSE)/8760</f>
        <v>4.1666666666666664E-2</v>
      </c>
      <c r="AN357" s="180">
        <f>VLOOKUP($A357,'Key Inputs_BY Techs'!$B$198:$AJ$207,AN$310,FALSE)/8760</f>
        <v>4.8525528371344114E-2</v>
      </c>
      <c r="AO357" s="180">
        <f>VLOOKUP($A357,'Key Inputs_BY Techs'!$B$198:$AJ$207,AO$310,FALSE)/8760</f>
        <v>4.1991055814934002E-2</v>
      </c>
      <c r="AP357" s="180">
        <f>VLOOKUP($A357,'Key Inputs_BY Techs'!$B$198:$AJ$207,AP$310,FALSE)/8760</f>
        <v>0.10573317089500424</v>
      </c>
      <c r="AQ357" s="180">
        <f>VLOOKUP($A357,'Key Inputs_BY Techs'!$B$198:$AJ$207,AQ$310,FALSE)/8760</f>
        <v>8.0437275857606058E-2</v>
      </c>
      <c r="AR357" s="180">
        <f>VLOOKUP($A357,'Key Inputs_BY Techs'!$B$198:$AJ$207,AR$310,FALSE)/8760</f>
        <v>6.6692438947101099E-2</v>
      </c>
      <c r="AS357" s="119"/>
      <c r="AT357" s="114"/>
      <c r="AV357" s="126"/>
      <c r="BF357" s="114"/>
      <c r="BG357" s="122"/>
      <c r="BH357" s="122"/>
    </row>
    <row r="358" spans="1:60" x14ac:dyDescent="0.25">
      <c r="A358" s="245" t="str">
        <f t="shared" ref="A358:G358" si="65">A53</f>
        <v>Thermal uses</v>
      </c>
      <c r="B358" s="245" t="str">
        <f t="shared" si="65"/>
        <v>R-THH</v>
      </c>
      <c r="C358" s="245" t="str">
        <f t="shared" si="65"/>
        <v>Oil, Liquid biofuels</v>
      </c>
      <c r="D358" s="245" t="str">
        <f t="shared" si="65"/>
        <v>RSDOIL, RSDBLQ</v>
      </c>
      <c r="E358" s="249" t="str">
        <f t="shared" si="65"/>
        <v>RSDOIL</v>
      </c>
      <c r="F358" s="252" t="str">
        <f t="shared" si="65"/>
        <v>Boiler (Ord.)</v>
      </c>
      <c r="G358" s="250" t="str">
        <f t="shared" si="65"/>
        <v>01</v>
      </c>
      <c r="H358" s="250"/>
      <c r="I358" s="250"/>
      <c r="K358" s="201" t="str">
        <f>IF('Commodities &amp; Processes'!L102="",'Commodities &amp; Processes'!K102,'Commodities &amp; Processes'!L102)</f>
        <v>R-THH-BLR_OIL01</v>
      </c>
      <c r="L358" s="109" t="str">
        <f>IF('Commodities &amp; Processes'!M102="","",'Commodities &amp; Processes'!M102)</f>
        <v>RSD Thermal uses technology: Oil, Liquid biofuels Boiler (Ord.) -New</v>
      </c>
      <c r="O358" s="109" t="s">
        <v>313</v>
      </c>
      <c r="P358" s="109" t="s">
        <v>174</v>
      </c>
      <c r="Q358" s="180">
        <f>VLOOKUP($A358,'Key Inputs_BY Techs'!$B$198:$AJ$207,Q$310,FALSE)/8760</f>
        <v>4.5322895632501033E-2</v>
      </c>
      <c r="R358" s="180">
        <f>VLOOKUP($A358,'Key Inputs_BY Techs'!$B$198:$AJ$207,R$310,FALSE)/8760</f>
        <v>4.5047579105877276E-2</v>
      </c>
      <c r="S358" s="180">
        <f>VLOOKUP($A358,'Key Inputs_BY Techs'!$B$198:$AJ$207,S$310,FALSE)/8760</f>
        <v>4.1991055814934002E-2</v>
      </c>
      <c r="T358" s="180">
        <f>VLOOKUP($A358,'Key Inputs_BY Techs'!$B$198:$AJ$207,T$310,FALSE)/8760</f>
        <v>4.1685785869904429E-2</v>
      </c>
      <c r="U358" s="180">
        <f>VLOOKUP($A358,'Key Inputs_BY Techs'!$B$198:$AJ$207,U$310,FALSE)/8760</f>
        <v>5.0682342606484215E-2</v>
      </c>
      <c r="V358" s="180">
        <f>VLOOKUP($A358,'Key Inputs_BY Techs'!$B$198:$AJ$207,V$310,FALSE)/8760</f>
        <v>5.807085407630011E-2</v>
      </c>
      <c r="W358" s="180">
        <f>VLOOKUP($A358,'Key Inputs_BY Techs'!$B$198:$AJ$207,W$310,FALSE)/8760</f>
        <v>4.1687877260716787E-2</v>
      </c>
      <c r="X358" s="180">
        <f>VLOOKUP($A358,'Key Inputs_BY Techs'!$B$198:$AJ$207,X$310,FALSE)/8760</f>
        <v>4.2884552320900708E-2</v>
      </c>
      <c r="Y358" s="180">
        <f>VLOOKUP($A358,'Key Inputs_BY Techs'!$B$198:$AJ$207,Y$310,FALSE)/8760</f>
        <v>4.1666666666666664E-2</v>
      </c>
      <c r="Z358" s="180">
        <f>VLOOKUP($A358,'Key Inputs_BY Techs'!$B$198:$AJ$207,Z$310,FALSE)/8760</f>
        <v>0.12925469986413698</v>
      </c>
      <c r="AA358" s="180">
        <f>VLOOKUP($A358,'Key Inputs_BY Techs'!$B$198:$AJ$207,AA$310,FALSE)/8760</f>
        <v>5.6018402502504346E-2</v>
      </c>
      <c r="AB358" s="180">
        <f>VLOOKUP($A358,'Key Inputs_BY Techs'!$B$198:$AJ$207,AB$310,FALSE)/8760</f>
        <v>8.0456212261297039E-2</v>
      </c>
      <c r="AC358" s="180">
        <f>VLOOKUP($A358,'Key Inputs_BY Techs'!$B$198:$AJ$207,AC$310,FALSE)/8760</f>
        <v>8.196249702811996E-2</v>
      </c>
      <c r="AD358" s="180">
        <f>VLOOKUP($A358,'Key Inputs_BY Techs'!$B$198:$AJ$207,AD$310,FALSE)/8760</f>
        <v>9.0560920532517131E-2</v>
      </c>
      <c r="AE358" s="180">
        <f>VLOOKUP($A358,'Key Inputs_BY Techs'!$B$198:$AJ$207,AE$310,FALSE)/8760</f>
        <v>7.7640907014416241E-2</v>
      </c>
      <c r="AF358" s="180">
        <f>VLOOKUP($A358,'Key Inputs_BY Techs'!$B$198:$AJ$207,AF$310,FALSE)/8760</f>
        <v>6.6864645901418843E-2</v>
      </c>
      <c r="AG358" s="180">
        <f>VLOOKUP($A358,'Key Inputs_BY Techs'!$B$198:$AJ$207,AG$310,FALSE)/8760</f>
        <v>6.6864645901418843E-2</v>
      </c>
      <c r="AH358" s="180">
        <f>VLOOKUP($A358,'Key Inputs_BY Techs'!$B$198:$AJ$207,AH$310,FALSE)/8760</f>
        <v>4.1666666666666664E-2</v>
      </c>
      <c r="AI358" s="180">
        <f>VLOOKUP($A358,'Key Inputs_BY Techs'!$B$198:$AJ$207,AI$310,FALSE)/8760</f>
        <v>4.1666666666666664E-2</v>
      </c>
      <c r="AJ358" s="180">
        <f>VLOOKUP($A358,'Key Inputs_BY Techs'!$B$198:$AJ$207,AJ$310,FALSE)/8760</f>
        <v>5.1477189103886295E-2</v>
      </c>
      <c r="AK358" s="180">
        <f>VLOOKUP($A358,'Key Inputs_BY Techs'!$B$198:$AJ$207,AK$310,FALSE)/8760</f>
        <v>4.1666666666666664E-2</v>
      </c>
      <c r="AL358" s="180">
        <f>VLOOKUP($A358,'Key Inputs_BY Techs'!$B$198:$AJ$207,AL$310,FALSE)/8760</f>
        <v>7.0781511423467725E-2</v>
      </c>
      <c r="AM358" s="180">
        <f>VLOOKUP($A358,'Key Inputs_BY Techs'!$B$198:$AJ$207,AM$310,FALSE)/8760</f>
        <v>4.1666666666666664E-2</v>
      </c>
      <c r="AN358" s="180">
        <f>VLOOKUP($A358,'Key Inputs_BY Techs'!$B$198:$AJ$207,AN$310,FALSE)/8760</f>
        <v>4.8525528371344114E-2</v>
      </c>
      <c r="AO358" s="180">
        <f>VLOOKUP($A358,'Key Inputs_BY Techs'!$B$198:$AJ$207,AO$310,FALSE)/8760</f>
        <v>4.1991055814934002E-2</v>
      </c>
      <c r="AP358" s="180">
        <f>VLOOKUP($A358,'Key Inputs_BY Techs'!$B$198:$AJ$207,AP$310,FALSE)/8760</f>
        <v>0.10573317089500424</v>
      </c>
      <c r="AQ358" s="180">
        <f>VLOOKUP($A358,'Key Inputs_BY Techs'!$B$198:$AJ$207,AQ$310,FALSE)/8760</f>
        <v>8.0437275857606058E-2</v>
      </c>
      <c r="AR358" s="180">
        <f>VLOOKUP($A358,'Key Inputs_BY Techs'!$B$198:$AJ$207,AR$310,FALSE)/8760</f>
        <v>6.6692438947101099E-2</v>
      </c>
      <c r="AS358" s="119"/>
      <c r="AT358" s="114"/>
      <c r="AV358" s="126"/>
      <c r="BF358" s="114"/>
      <c r="BG358" s="122"/>
      <c r="BH358" s="122"/>
    </row>
    <row r="359" spans="1:60" x14ac:dyDescent="0.25">
      <c r="A359" s="245" t="str">
        <f t="shared" ref="A359:G359" si="66">A54</f>
        <v>Thermal uses</v>
      </c>
      <c r="B359" s="245" t="str">
        <f t="shared" si="66"/>
        <v>R-THH</v>
      </c>
      <c r="C359" s="245" t="str">
        <f t="shared" si="66"/>
        <v>Oil, Liquid biofuels</v>
      </c>
      <c r="D359" s="245" t="str">
        <f t="shared" si="66"/>
        <v>RSDOIL, RSDBLQ</v>
      </c>
      <c r="E359" s="249" t="str">
        <f t="shared" si="66"/>
        <v>RSDOIL</v>
      </c>
      <c r="F359" s="252" t="str">
        <f t="shared" si="66"/>
        <v>Boiler cond. (Ord.)</v>
      </c>
      <c r="G359" s="250" t="str">
        <f t="shared" si="66"/>
        <v>02</v>
      </c>
      <c r="H359" s="250"/>
      <c r="I359" s="250"/>
      <c r="K359" s="201" t="str">
        <f>IF('Commodities &amp; Processes'!L103="",'Commodities &amp; Processes'!K103,'Commodities &amp; Processes'!L103)</f>
        <v>R-THH-BLR_OIL02</v>
      </c>
      <c r="L359" s="109" t="str">
        <f>IF('Commodities &amp; Processes'!M103="","",'Commodities &amp; Processes'!M103)</f>
        <v>RSD Thermal uses technology: Oil, Liquid biofuels Boiler cond. (Ord.) -New</v>
      </c>
      <c r="O359" s="109" t="s">
        <v>313</v>
      </c>
      <c r="P359" s="109" t="s">
        <v>174</v>
      </c>
      <c r="Q359" s="180">
        <f>VLOOKUP($A359,'Key Inputs_BY Techs'!$B$198:$AJ$207,Q$310,FALSE)/8760</f>
        <v>4.5322895632501033E-2</v>
      </c>
      <c r="R359" s="180">
        <f>VLOOKUP($A359,'Key Inputs_BY Techs'!$B$198:$AJ$207,R$310,FALSE)/8760</f>
        <v>4.5047579105877276E-2</v>
      </c>
      <c r="S359" s="180">
        <f>VLOOKUP($A359,'Key Inputs_BY Techs'!$B$198:$AJ$207,S$310,FALSE)/8760</f>
        <v>4.1991055814934002E-2</v>
      </c>
      <c r="T359" s="180">
        <f>VLOOKUP($A359,'Key Inputs_BY Techs'!$B$198:$AJ$207,T$310,FALSE)/8760</f>
        <v>4.1685785869904429E-2</v>
      </c>
      <c r="U359" s="180">
        <f>VLOOKUP($A359,'Key Inputs_BY Techs'!$B$198:$AJ$207,U$310,FALSE)/8760</f>
        <v>5.0682342606484215E-2</v>
      </c>
      <c r="V359" s="180">
        <f>VLOOKUP($A359,'Key Inputs_BY Techs'!$B$198:$AJ$207,V$310,FALSE)/8760</f>
        <v>5.807085407630011E-2</v>
      </c>
      <c r="W359" s="180">
        <f>VLOOKUP($A359,'Key Inputs_BY Techs'!$B$198:$AJ$207,W$310,FALSE)/8760</f>
        <v>4.1687877260716787E-2</v>
      </c>
      <c r="X359" s="180">
        <f>VLOOKUP($A359,'Key Inputs_BY Techs'!$B$198:$AJ$207,X$310,FALSE)/8760</f>
        <v>4.2884552320900708E-2</v>
      </c>
      <c r="Y359" s="180">
        <f>VLOOKUP($A359,'Key Inputs_BY Techs'!$B$198:$AJ$207,Y$310,FALSE)/8760</f>
        <v>4.1666666666666664E-2</v>
      </c>
      <c r="Z359" s="180">
        <f>VLOOKUP($A359,'Key Inputs_BY Techs'!$B$198:$AJ$207,Z$310,FALSE)/8760</f>
        <v>0.12925469986413698</v>
      </c>
      <c r="AA359" s="180">
        <f>VLOOKUP($A359,'Key Inputs_BY Techs'!$B$198:$AJ$207,AA$310,FALSE)/8760</f>
        <v>5.6018402502504346E-2</v>
      </c>
      <c r="AB359" s="180">
        <f>VLOOKUP($A359,'Key Inputs_BY Techs'!$B$198:$AJ$207,AB$310,FALSE)/8760</f>
        <v>8.0456212261297039E-2</v>
      </c>
      <c r="AC359" s="180">
        <f>VLOOKUP($A359,'Key Inputs_BY Techs'!$B$198:$AJ$207,AC$310,FALSE)/8760</f>
        <v>8.196249702811996E-2</v>
      </c>
      <c r="AD359" s="180">
        <f>VLOOKUP($A359,'Key Inputs_BY Techs'!$B$198:$AJ$207,AD$310,FALSE)/8760</f>
        <v>9.0560920532517131E-2</v>
      </c>
      <c r="AE359" s="180">
        <f>VLOOKUP($A359,'Key Inputs_BY Techs'!$B$198:$AJ$207,AE$310,FALSE)/8760</f>
        <v>7.7640907014416241E-2</v>
      </c>
      <c r="AF359" s="180">
        <f>VLOOKUP($A359,'Key Inputs_BY Techs'!$B$198:$AJ$207,AF$310,FALSE)/8760</f>
        <v>6.6864645901418843E-2</v>
      </c>
      <c r="AG359" s="180">
        <f>VLOOKUP($A359,'Key Inputs_BY Techs'!$B$198:$AJ$207,AG$310,FALSE)/8760</f>
        <v>6.6864645901418843E-2</v>
      </c>
      <c r="AH359" s="180">
        <f>VLOOKUP($A359,'Key Inputs_BY Techs'!$B$198:$AJ$207,AH$310,FALSE)/8760</f>
        <v>4.1666666666666664E-2</v>
      </c>
      <c r="AI359" s="180">
        <f>VLOOKUP($A359,'Key Inputs_BY Techs'!$B$198:$AJ$207,AI$310,FALSE)/8760</f>
        <v>4.1666666666666664E-2</v>
      </c>
      <c r="AJ359" s="180">
        <f>VLOOKUP($A359,'Key Inputs_BY Techs'!$B$198:$AJ$207,AJ$310,FALSE)/8760</f>
        <v>5.1477189103886295E-2</v>
      </c>
      <c r="AK359" s="180">
        <f>VLOOKUP($A359,'Key Inputs_BY Techs'!$B$198:$AJ$207,AK$310,FALSE)/8760</f>
        <v>4.1666666666666664E-2</v>
      </c>
      <c r="AL359" s="180">
        <f>VLOOKUP($A359,'Key Inputs_BY Techs'!$B$198:$AJ$207,AL$310,FALSE)/8760</f>
        <v>7.0781511423467725E-2</v>
      </c>
      <c r="AM359" s="180">
        <f>VLOOKUP($A359,'Key Inputs_BY Techs'!$B$198:$AJ$207,AM$310,FALSE)/8760</f>
        <v>4.1666666666666664E-2</v>
      </c>
      <c r="AN359" s="180">
        <f>VLOOKUP($A359,'Key Inputs_BY Techs'!$B$198:$AJ$207,AN$310,FALSE)/8760</f>
        <v>4.8525528371344114E-2</v>
      </c>
      <c r="AO359" s="180">
        <f>VLOOKUP($A359,'Key Inputs_BY Techs'!$B$198:$AJ$207,AO$310,FALSE)/8760</f>
        <v>4.1991055814934002E-2</v>
      </c>
      <c r="AP359" s="180">
        <f>VLOOKUP($A359,'Key Inputs_BY Techs'!$B$198:$AJ$207,AP$310,FALSE)/8760</f>
        <v>0.10573317089500424</v>
      </c>
      <c r="AQ359" s="180">
        <f>VLOOKUP($A359,'Key Inputs_BY Techs'!$B$198:$AJ$207,AQ$310,FALSE)/8760</f>
        <v>8.0437275857606058E-2</v>
      </c>
      <c r="AR359" s="180">
        <f>VLOOKUP($A359,'Key Inputs_BY Techs'!$B$198:$AJ$207,AR$310,FALSE)/8760</f>
        <v>6.6692438947101099E-2</v>
      </c>
      <c r="AS359" s="119"/>
      <c r="AT359" s="114"/>
      <c r="AV359" s="126"/>
      <c r="BF359" s="114"/>
      <c r="BG359" s="122"/>
      <c r="BH359" s="122"/>
    </row>
    <row r="360" spans="1:60" x14ac:dyDescent="0.25">
      <c r="A360" s="245" t="str">
        <f t="shared" ref="A360:G361" si="67">A55</f>
        <v>Thermal uses</v>
      </c>
      <c r="B360" s="245" t="str">
        <f t="shared" si="67"/>
        <v>R-THH</v>
      </c>
      <c r="C360" s="245" t="str">
        <f t="shared" si="67"/>
        <v>Oil, Liquid biofuels</v>
      </c>
      <c r="D360" s="245" t="str">
        <f t="shared" si="67"/>
        <v>RSDOIL, RSDBLQ</v>
      </c>
      <c r="E360" s="249" t="str">
        <f t="shared" si="67"/>
        <v>RSDOIL</v>
      </c>
      <c r="F360" s="252" t="str">
        <f t="shared" si="67"/>
        <v>Boiler cond. (Imp.)</v>
      </c>
      <c r="G360" s="250" t="str">
        <f t="shared" si="67"/>
        <v>03</v>
      </c>
      <c r="H360" s="250"/>
      <c r="I360" s="250"/>
      <c r="K360" s="201" t="str">
        <f>IF('Commodities &amp; Processes'!L104="",'Commodities &amp; Processes'!K104,'Commodities &amp; Processes'!L104)</f>
        <v>R-THH-BLR_OIL03</v>
      </c>
      <c r="L360" s="109" t="str">
        <f>IF('Commodities &amp; Processes'!M104="","",'Commodities &amp; Processes'!M104)</f>
        <v>RSD Thermal uses technology: Oil, Liquid biofuels Boiler cond. (Imp.) -New</v>
      </c>
      <c r="O360" s="109" t="s">
        <v>313</v>
      </c>
      <c r="P360" s="109" t="s">
        <v>174</v>
      </c>
      <c r="Q360" s="180">
        <f>VLOOKUP($A360,'Key Inputs_BY Techs'!$B$198:$AJ$207,Q$310,FALSE)/8760</f>
        <v>4.5322895632501033E-2</v>
      </c>
      <c r="R360" s="180">
        <f>VLOOKUP($A360,'Key Inputs_BY Techs'!$B$198:$AJ$207,R$310,FALSE)/8760</f>
        <v>4.5047579105877276E-2</v>
      </c>
      <c r="S360" s="180">
        <f>VLOOKUP($A360,'Key Inputs_BY Techs'!$B$198:$AJ$207,S$310,FALSE)/8760</f>
        <v>4.1991055814934002E-2</v>
      </c>
      <c r="T360" s="180">
        <f>VLOOKUP($A360,'Key Inputs_BY Techs'!$B$198:$AJ$207,T$310,FALSE)/8760</f>
        <v>4.1685785869904429E-2</v>
      </c>
      <c r="U360" s="180">
        <f>VLOOKUP($A360,'Key Inputs_BY Techs'!$B$198:$AJ$207,U$310,FALSE)/8760</f>
        <v>5.0682342606484215E-2</v>
      </c>
      <c r="V360" s="180">
        <f>VLOOKUP($A360,'Key Inputs_BY Techs'!$B$198:$AJ$207,V$310,FALSE)/8760</f>
        <v>5.807085407630011E-2</v>
      </c>
      <c r="W360" s="180">
        <f>VLOOKUP($A360,'Key Inputs_BY Techs'!$B$198:$AJ$207,W$310,FALSE)/8760</f>
        <v>4.1687877260716787E-2</v>
      </c>
      <c r="X360" s="180">
        <f>VLOOKUP($A360,'Key Inputs_BY Techs'!$B$198:$AJ$207,X$310,FALSE)/8760</f>
        <v>4.2884552320900708E-2</v>
      </c>
      <c r="Y360" s="180">
        <f>VLOOKUP($A360,'Key Inputs_BY Techs'!$B$198:$AJ$207,Y$310,FALSE)/8760</f>
        <v>4.1666666666666664E-2</v>
      </c>
      <c r="Z360" s="180">
        <f>VLOOKUP($A360,'Key Inputs_BY Techs'!$B$198:$AJ$207,Z$310,FALSE)/8760</f>
        <v>0.12925469986413698</v>
      </c>
      <c r="AA360" s="180">
        <f>VLOOKUP($A360,'Key Inputs_BY Techs'!$B$198:$AJ$207,AA$310,FALSE)/8760</f>
        <v>5.6018402502504346E-2</v>
      </c>
      <c r="AB360" s="180">
        <f>VLOOKUP($A360,'Key Inputs_BY Techs'!$B$198:$AJ$207,AB$310,FALSE)/8760</f>
        <v>8.0456212261297039E-2</v>
      </c>
      <c r="AC360" s="180">
        <f>VLOOKUP($A360,'Key Inputs_BY Techs'!$B$198:$AJ$207,AC$310,FALSE)/8760</f>
        <v>8.196249702811996E-2</v>
      </c>
      <c r="AD360" s="180">
        <f>VLOOKUP($A360,'Key Inputs_BY Techs'!$B$198:$AJ$207,AD$310,FALSE)/8760</f>
        <v>9.0560920532517131E-2</v>
      </c>
      <c r="AE360" s="180">
        <f>VLOOKUP($A360,'Key Inputs_BY Techs'!$B$198:$AJ$207,AE$310,FALSE)/8760</f>
        <v>7.7640907014416241E-2</v>
      </c>
      <c r="AF360" s="180">
        <f>VLOOKUP($A360,'Key Inputs_BY Techs'!$B$198:$AJ$207,AF$310,FALSE)/8760</f>
        <v>6.6864645901418843E-2</v>
      </c>
      <c r="AG360" s="180">
        <f>VLOOKUP($A360,'Key Inputs_BY Techs'!$B$198:$AJ$207,AG$310,FALSE)/8760</f>
        <v>6.6864645901418843E-2</v>
      </c>
      <c r="AH360" s="180">
        <f>VLOOKUP($A360,'Key Inputs_BY Techs'!$B$198:$AJ$207,AH$310,FALSE)/8760</f>
        <v>4.1666666666666664E-2</v>
      </c>
      <c r="AI360" s="180">
        <f>VLOOKUP($A360,'Key Inputs_BY Techs'!$B$198:$AJ$207,AI$310,FALSE)/8760</f>
        <v>4.1666666666666664E-2</v>
      </c>
      <c r="AJ360" s="180">
        <f>VLOOKUP($A360,'Key Inputs_BY Techs'!$B$198:$AJ$207,AJ$310,FALSE)/8760</f>
        <v>5.1477189103886295E-2</v>
      </c>
      <c r="AK360" s="180">
        <f>VLOOKUP($A360,'Key Inputs_BY Techs'!$B$198:$AJ$207,AK$310,FALSE)/8760</f>
        <v>4.1666666666666664E-2</v>
      </c>
      <c r="AL360" s="180">
        <f>VLOOKUP($A360,'Key Inputs_BY Techs'!$B$198:$AJ$207,AL$310,FALSE)/8760</f>
        <v>7.0781511423467725E-2</v>
      </c>
      <c r="AM360" s="180">
        <f>VLOOKUP($A360,'Key Inputs_BY Techs'!$B$198:$AJ$207,AM$310,FALSE)/8760</f>
        <v>4.1666666666666664E-2</v>
      </c>
      <c r="AN360" s="180">
        <f>VLOOKUP($A360,'Key Inputs_BY Techs'!$B$198:$AJ$207,AN$310,FALSE)/8760</f>
        <v>4.8525528371344114E-2</v>
      </c>
      <c r="AO360" s="180">
        <f>VLOOKUP($A360,'Key Inputs_BY Techs'!$B$198:$AJ$207,AO$310,FALSE)/8760</f>
        <v>4.1991055814934002E-2</v>
      </c>
      <c r="AP360" s="180">
        <f>VLOOKUP($A360,'Key Inputs_BY Techs'!$B$198:$AJ$207,AP$310,FALSE)/8760</f>
        <v>0.10573317089500424</v>
      </c>
      <c r="AQ360" s="180">
        <f>VLOOKUP($A360,'Key Inputs_BY Techs'!$B$198:$AJ$207,AQ$310,FALSE)/8760</f>
        <v>8.0437275857606058E-2</v>
      </c>
      <c r="AR360" s="180">
        <f>VLOOKUP($A360,'Key Inputs_BY Techs'!$B$198:$AJ$207,AR$310,FALSE)/8760</f>
        <v>6.6692438947101099E-2</v>
      </c>
      <c r="AS360" s="119"/>
      <c r="AT360" s="114"/>
      <c r="AV360" s="126"/>
      <c r="BF360" s="114"/>
      <c r="BG360" s="122"/>
      <c r="BH360" s="122"/>
    </row>
    <row r="361" spans="1:60" x14ac:dyDescent="0.25">
      <c r="A361" s="245" t="str">
        <f t="shared" si="67"/>
        <v>Thermal uses</v>
      </c>
      <c r="B361" s="245" t="str">
        <f t="shared" si="67"/>
        <v>R-THH</v>
      </c>
      <c r="C361" s="245" t="str">
        <f t="shared" si="67"/>
        <v>LPG</v>
      </c>
      <c r="D361" s="245" t="str">
        <f t="shared" si="67"/>
        <v>RSDLPG</v>
      </c>
      <c r="E361" s="249" t="str">
        <f t="shared" si="67"/>
        <v>RSDLPG</v>
      </c>
      <c r="F361" s="252" t="str">
        <f t="shared" si="67"/>
        <v>Boiler cond. (Imp.)</v>
      </c>
      <c r="G361" s="250" t="str">
        <f t="shared" si="67"/>
        <v>01</v>
      </c>
      <c r="H361" s="250"/>
      <c r="I361" s="250"/>
      <c r="K361" s="201" t="str">
        <f>IF('Commodities &amp; Processes'!L106="",'Commodities &amp; Processes'!K106,'Commodities &amp; Processes'!L106)</f>
        <v>R-THH-HEX_SOL01</v>
      </c>
      <c r="L361" s="109" t="str">
        <f>IF('Commodities &amp; Processes'!M106="","",'Commodities &amp; Processes'!M106)</f>
        <v>RSD Thermal uses technology: Solar Thermal (Ord.) -New</v>
      </c>
      <c r="O361" s="109" t="s">
        <v>313</v>
      </c>
      <c r="P361" s="109" t="s">
        <v>174</v>
      </c>
      <c r="Q361" s="180">
        <f>VLOOKUP($A361,'Key Inputs_BY Techs'!$B$198:$AJ$207,Q$310,FALSE)/8760</f>
        <v>4.5322895632501033E-2</v>
      </c>
      <c r="R361" s="180">
        <f>VLOOKUP($A361,'Key Inputs_BY Techs'!$B$198:$AJ$207,R$310,FALSE)/8760</f>
        <v>4.5047579105877276E-2</v>
      </c>
      <c r="S361" s="180">
        <f>VLOOKUP($A361,'Key Inputs_BY Techs'!$B$198:$AJ$207,S$310,FALSE)/8760</f>
        <v>4.1991055814934002E-2</v>
      </c>
      <c r="T361" s="180">
        <f>VLOOKUP($A361,'Key Inputs_BY Techs'!$B$198:$AJ$207,T$310,FALSE)/8760</f>
        <v>4.1685785869904429E-2</v>
      </c>
      <c r="U361" s="180">
        <f>VLOOKUP($A361,'Key Inputs_BY Techs'!$B$198:$AJ$207,U$310,FALSE)/8760</f>
        <v>5.0682342606484215E-2</v>
      </c>
      <c r="V361" s="180">
        <f>VLOOKUP($A361,'Key Inputs_BY Techs'!$B$198:$AJ$207,V$310,FALSE)/8760</f>
        <v>5.807085407630011E-2</v>
      </c>
      <c r="W361" s="180">
        <f>VLOOKUP($A361,'Key Inputs_BY Techs'!$B$198:$AJ$207,W$310,FALSE)/8760</f>
        <v>4.1687877260716787E-2</v>
      </c>
      <c r="X361" s="180">
        <f>VLOOKUP($A361,'Key Inputs_BY Techs'!$B$198:$AJ$207,X$310,FALSE)/8760</f>
        <v>4.2884552320900708E-2</v>
      </c>
      <c r="Y361" s="180">
        <f>VLOOKUP($A361,'Key Inputs_BY Techs'!$B$198:$AJ$207,Y$310,FALSE)/8760</f>
        <v>4.1666666666666664E-2</v>
      </c>
      <c r="Z361" s="180">
        <f>VLOOKUP($A361,'Key Inputs_BY Techs'!$B$198:$AJ$207,Z$310,FALSE)/8760</f>
        <v>0.12925469986413698</v>
      </c>
      <c r="AA361" s="180">
        <f>VLOOKUP($A361,'Key Inputs_BY Techs'!$B$198:$AJ$207,AA$310,FALSE)/8760</f>
        <v>5.6018402502504346E-2</v>
      </c>
      <c r="AB361" s="180">
        <f>VLOOKUP($A361,'Key Inputs_BY Techs'!$B$198:$AJ$207,AB$310,FALSE)/8760</f>
        <v>8.0456212261297039E-2</v>
      </c>
      <c r="AC361" s="180">
        <f>VLOOKUP($A361,'Key Inputs_BY Techs'!$B$198:$AJ$207,AC$310,FALSE)/8760</f>
        <v>8.196249702811996E-2</v>
      </c>
      <c r="AD361" s="180">
        <f>VLOOKUP($A361,'Key Inputs_BY Techs'!$B$198:$AJ$207,AD$310,FALSE)/8760</f>
        <v>9.0560920532517131E-2</v>
      </c>
      <c r="AE361" s="180">
        <f>VLOOKUP($A361,'Key Inputs_BY Techs'!$B$198:$AJ$207,AE$310,FALSE)/8760</f>
        <v>7.7640907014416241E-2</v>
      </c>
      <c r="AF361" s="180">
        <f>VLOOKUP($A361,'Key Inputs_BY Techs'!$B$198:$AJ$207,AF$310,FALSE)/8760</f>
        <v>6.6864645901418843E-2</v>
      </c>
      <c r="AG361" s="180">
        <f>VLOOKUP($A361,'Key Inputs_BY Techs'!$B$198:$AJ$207,AG$310,FALSE)/8760</f>
        <v>6.6864645901418843E-2</v>
      </c>
      <c r="AH361" s="180">
        <f>VLOOKUP($A361,'Key Inputs_BY Techs'!$B$198:$AJ$207,AH$310,FALSE)/8760</f>
        <v>4.1666666666666664E-2</v>
      </c>
      <c r="AI361" s="180">
        <f>VLOOKUP($A361,'Key Inputs_BY Techs'!$B$198:$AJ$207,AI$310,FALSE)/8760</f>
        <v>4.1666666666666664E-2</v>
      </c>
      <c r="AJ361" s="180">
        <f>VLOOKUP($A361,'Key Inputs_BY Techs'!$B$198:$AJ$207,AJ$310,FALSE)/8760</f>
        <v>5.1477189103886295E-2</v>
      </c>
      <c r="AK361" s="180">
        <f>VLOOKUP($A361,'Key Inputs_BY Techs'!$B$198:$AJ$207,AK$310,FALSE)/8760</f>
        <v>4.1666666666666664E-2</v>
      </c>
      <c r="AL361" s="180">
        <f>VLOOKUP($A361,'Key Inputs_BY Techs'!$B$198:$AJ$207,AL$310,FALSE)/8760</f>
        <v>7.0781511423467725E-2</v>
      </c>
      <c r="AM361" s="180">
        <f>VLOOKUP($A361,'Key Inputs_BY Techs'!$B$198:$AJ$207,AM$310,FALSE)/8760</f>
        <v>4.1666666666666664E-2</v>
      </c>
      <c r="AN361" s="180">
        <f>VLOOKUP($A361,'Key Inputs_BY Techs'!$B$198:$AJ$207,AN$310,FALSE)/8760</f>
        <v>4.8525528371344114E-2</v>
      </c>
      <c r="AO361" s="180">
        <f>VLOOKUP($A361,'Key Inputs_BY Techs'!$B$198:$AJ$207,AO$310,FALSE)/8760</f>
        <v>4.1991055814934002E-2</v>
      </c>
      <c r="AP361" s="180">
        <f>VLOOKUP($A361,'Key Inputs_BY Techs'!$B$198:$AJ$207,AP$310,FALSE)/8760</f>
        <v>0.10573317089500424</v>
      </c>
      <c r="AQ361" s="180">
        <f>VLOOKUP($A361,'Key Inputs_BY Techs'!$B$198:$AJ$207,AQ$310,FALSE)/8760</f>
        <v>8.0437275857606058E-2</v>
      </c>
      <c r="AR361" s="180">
        <f>VLOOKUP($A361,'Key Inputs_BY Techs'!$B$198:$AJ$207,AR$310,FALSE)/8760</f>
        <v>6.6692438947101099E-2</v>
      </c>
      <c r="AS361" s="119"/>
      <c r="AT361" s="114"/>
      <c r="AV361" s="126"/>
      <c r="BF361" s="114"/>
      <c r="BG361" s="122"/>
      <c r="BH361" s="122"/>
    </row>
    <row r="362" spans="1:60" x14ac:dyDescent="0.25">
      <c r="A362" s="245" t="str">
        <f t="shared" ref="A362:G362" si="68">A57</f>
        <v>Thermal uses</v>
      </c>
      <c r="B362" s="245" t="str">
        <f t="shared" si="68"/>
        <v>R-THH</v>
      </c>
      <c r="C362" s="245" t="str">
        <f t="shared" si="68"/>
        <v>Solar</v>
      </c>
      <c r="D362" s="245" t="str">
        <f t="shared" si="68"/>
        <v>RSDSOL</v>
      </c>
      <c r="E362" s="249" t="str">
        <f t="shared" si="68"/>
        <v>RSDSOL</v>
      </c>
      <c r="F362" s="252" t="str">
        <f t="shared" si="68"/>
        <v>Thermal (Ord.)</v>
      </c>
      <c r="G362" s="250" t="str">
        <f t="shared" si="68"/>
        <v>01</v>
      </c>
      <c r="H362" s="250"/>
      <c r="I362" s="250"/>
      <c r="K362" s="201" t="str">
        <f>IF('Commodities &amp; Processes'!L106="",'Commodities &amp; Processes'!K106,'Commodities &amp; Processes'!L106)</f>
        <v>R-THH-HEX_SOL01</v>
      </c>
      <c r="L362" s="109" t="str">
        <f>IF('Commodities &amp; Processes'!M106="","",'Commodities &amp; Processes'!M106)</f>
        <v>RSD Thermal uses technology: Solar Thermal (Ord.) -New</v>
      </c>
      <c r="O362" s="109" t="s">
        <v>313</v>
      </c>
      <c r="P362" s="109" t="s">
        <v>174</v>
      </c>
      <c r="Q362" s="186">
        <f>VLOOKUP($A362,'Key Inputs_BY Techs'!$B$198:$AJ$207,Q$310,FALSE)/8760</f>
        <v>4.5322895632501033E-2</v>
      </c>
      <c r="R362" s="186">
        <f>VLOOKUP($A362,'Key Inputs_BY Techs'!$B$198:$AJ$207,R$310,FALSE)/8760</f>
        <v>4.5047579105877276E-2</v>
      </c>
      <c r="S362" s="186">
        <f>VLOOKUP($A362,'Key Inputs_BY Techs'!$B$198:$AJ$207,S$310,FALSE)/8760</f>
        <v>4.1991055814934002E-2</v>
      </c>
      <c r="T362" s="186">
        <f>VLOOKUP($A362,'Key Inputs_BY Techs'!$B$198:$AJ$207,T$310,FALSE)/8760</f>
        <v>4.1685785869904429E-2</v>
      </c>
      <c r="U362" s="186">
        <f>VLOOKUP($A362,'Key Inputs_BY Techs'!$B$198:$AJ$207,U$310,FALSE)/8760</f>
        <v>5.0682342606484215E-2</v>
      </c>
      <c r="V362" s="186">
        <f>VLOOKUP($A362,'Key Inputs_BY Techs'!$B$198:$AJ$207,V$310,FALSE)/8760</f>
        <v>5.807085407630011E-2</v>
      </c>
      <c r="W362" s="186">
        <f>VLOOKUP($A362,'Key Inputs_BY Techs'!$B$198:$AJ$207,W$310,FALSE)/8760</f>
        <v>4.1687877260716787E-2</v>
      </c>
      <c r="X362" s="186">
        <f>VLOOKUP($A362,'Key Inputs_BY Techs'!$B$198:$AJ$207,X$310,FALSE)/8760</f>
        <v>4.2884552320900708E-2</v>
      </c>
      <c r="Y362" s="186">
        <f>VLOOKUP($A362,'Key Inputs_BY Techs'!$B$198:$AJ$207,Y$310,FALSE)/8760</f>
        <v>4.1666666666666664E-2</v>
      </c>
      <c r="Z362" s="186">
        <f>VLOOKUP($A362,'Key Inputs_BY Techs'!$B$198:$AJ$207,Z$310,FALSE)/8760</f>
        <v>0.12925469986413698</v>
      </c>
      <c r="AA362" s="186">
        <f>VLOOKUP($A362,'Key Inputs_BY Techs'!$B$198:$AJ$207,AA$310,FALSE)/8760</f>
        <v>5.6018402502504346E-2</v>
      </c>
      <c r="AB362" s="186">
        <f>VLOOKUP($A362,'Key Inputs_BY Techs'!$B$198:$AJ$207,AB$310,FALSE)/8760</f>
        <v>8.0456212261297039E-2</v>
      </c>
      <c r="AC362" s="186">
        <f>VLOOKUP($A362,'Key Inputs_BY Techs'!$B$198:$AJ$207,AC$310,FALSE)/8760</f>
        <v>8.196249702811996E-2</v>
      </c>
      <c r="AD362" s="186">
        <f>VLOOKUP($A362,'Key Inputs_BY Techs'!$B$198:$AJ$207,AD$310,FALSE)/8760</f>
        <v>9.0560920532517131E-2</v>
      </c>
      <c r="AE362" s="186">
        <f>VLOOKUP($A362,'Key Inputs_BY Techs'!$B$198:$AJ$207,AE$310,FALSE)/8760</f>
        <v>7.7640907014416241E-2</v>
      </c>
      <c r="AF362" s="186">
        <f>VLOOKUP($A362,'Key Inputs_BY Techs'!$B$198:$AJ$207,AF$310,FALSE)/8760</f>
        <v>6.6864645901418843E-2</v>
      </c>
      <c r="AG362" s="186">
        <f>VLOOKUP($A362,'Key Inputs_BY Techs'!$B$198:$AJ$207,AG$310,FALSE)/8760</f>
        <v>6.6864645901418843E-2</v>
      </c>
      <c r="AH362" s="186">
        <f>VLOOKUP($A362,'Key Inputs_BY Techs'!$B$198:$AJ$207,AH$310,FALSE)/8760</f>
        <v>4.1666666666666664E-2</v>
      </c>
      <c r="AI362" s="186">
        <f>VLOOKUP($A362,'Key Inputs_BY Techs'!$B$198:$AJ$207,AI$310,FALSE)/8760</f>
        <v>4.1666666666666664E-2</v>
      </c>
      <c r="AJ362" s="186">
        <f>VLOOKUP($A362,'Key Inputs_BY Techs'!$B$198:$AJ$207,AJ$310,FALSE)/8760</f>
        <v>5.1477189103886295E-2</v>
      </c>
      <c r="AK362" s="186">
        <f>VLOOKUP($A362,'Key Inputs_BY Techs'!$B$198:$AJ$207,AK$310,FALSE)/8760</f>
        <v>4.1666666666666664E-2</v>
      </c>
      <c r="AL362" s="186">
        <f>VLOOKUP($A362,'Key Inputs_BY Techs'!$B$198:$AJ$207,AL$310,FALSE)/8760</f>
        <v>7.0781511423467725E-2</v>
      </c>
      <c r="AM362" s="186">
        <f>VLOOKUP($A362,'Key Inputs_BY Techs'!$B$198:$AJ$207,AM$310,FALSE)/8760</f>
        <v>4.1666666666666664E-2</v>
      </c>
      <c r="AN362" s="186">
        <f>VLOOKUP($A362,'Key Inputs_BY Techs'!$B$198:$AJ$207,AN$310,FALSE)/8760</f>
        <v>4.8525528371344114E-2</v>
      </c>
      <c r="AO362" s="186">
        <f>VLOOKUP($A362,'Key Inputs_BY Techs'!$B$198:$AJ$207,AO$310,FALSE)/8760</f>
        <v>4.1991055814934002E-2</v>
      </c>
      <c r="AP362" s="186">
        <f>VLOOKUP($A362,'Key Inputs_BY Techs'!$B$198:$AJ$207,AP$310,FALSE)/8760</f>
        <v>0.10573317089500424</v>
      </c>
      <c r="AQ362" s="186">
        <f>VLOOKUP($A362,'Key Inputs_BY Techs'!$B$198:$AJ$207,AQ$310,FALSE)/8760</f>
        <v>8.0437275857606058E-2</v>
      </c>
      <c r="AR362" s="186">
        <f>VLOOKUP($A362,'Key Inputs_BY Techs'!$B$198:$AJ$207,AR$310,FALSE)/8760</f>
        <v>6.6692438947101099E-2</v>
      </c>
      <c r="AS362" s="119"/>
      <c r="AT362" s="114"/>
      <c r="AV362" s="126"/>
      <c r="BF362" s="114"/>
      <c r="BG362" s="122"/>
      <c r="BH362" s="122"/>
    </row>
    <row r="363" spans="1:60" x14ac:dyDescent="0.25">
      <c r="A363" s="258" t="str">
        <f t="shared" ref="A363:G365" si="69">A58</f>
        <v>Air conditioning</v>
      </c>
      <c r="B363" s="258" t="str">
        <f t="shared" si="69"/>
        <v>R-ACL</v>
      </c>
      <c r="C363" s="258" t="str">
        <f t="shared" si="69"/>
        <v>Electricity</v>
      </c>
      <c r="D363" s="258" t="str">
        <f t="shared" si="69"/>
        <v>RSDELC</v>
      </c>
      <c r="E363" s="268" t="str">
        <f t="shared" si="69"/>
        <v>RSDELC</v>
      </c>
      <c r="F363" s="258" t="str">
        <f t="shared" si="69"/>
        <v>Air conditioning (Ord.)</v>
      </c>
      <c r="G363" s="263" t="str">
        <f t="shared" si="69"/>
        <v>01</v>
      </c>
      <c r="H363" s="250"/>
      <c r="I363" s="250"/>
      <c r="K363" s="202" t="str">
        <f>IF('Commodities &amp; Processes'!L$107="",'Commodities &amp; Processes'!K$107,'Commodities &amp; Processes'!L$107)</f>
        <v>R-ACL_ELC01</v>
      </c>
      <c r="L363" s="112" t="str">
        <f>IF('Commodities &amp; Processes'!M$107="","",'Commodities &amp; Processes'!M$107)</f>
        <v>RSD Air conditioning technology: Electricity Air conditioning (Ord.) -New</v>
      </c>
      <c r="M363" s="112"/>
      <c r="N363" s="112"/>
      <c r="O363" s="112" t="s">
        <v>313</v>
      </c>
      <c r="P363" s="112" t="s">
        <v>174</v>
      </c>
      <c r="Q363" s="180">
        <f>VLOOKUP($A363,'Key Inputs_BY Techs'!$B$198:$AJ$207,Q$310,FALSE)/8760</f>
        <v>9.5687866927592971E-2</v>
      </c>
      <c r="R363" s="180">
        <f>VLOOKUP($A363,'Key Inputs_BY Techs'!$B$198:$AJ$207,R$310,FALSE)/8760</f>
        <v>0.33259295499021529</v>
      </c>
      <c r="S363" s="180">
        <f>VLOOKUP($A363,'Key Inputs_BY Techs'!$B$198:$AJ$207,S$310,FALSE)/8760</f>
        <v>0.62478767123287671</v>
      </c>
      <c r="T363" s="180">
        <f>VLOOKUP($A363,'Key Inputs_BY Techs'!$B$198:$AJ$207,T$310,FALSE)/8760</f>
        <v>0.38780821917808223</v>
      </c>
      <c r="U363" s="180">
        <f>VLOOKUP($A363,'Key Inputs_BY Techs'!$B$198:$AJ$207,U$310,FALSE)/8760</f>
        <v>0.10410958904109591</v>
      </c>
      <c r="V363" s="180">
        <f>VLOOKUP($A363,'Key Inputs_BY Techs'!$B$198:$AJ$207,V$310,FALSE)/8760</f>
        <v>0.1875831702544031</v>
      </c>
      <c r="W363" s="180">
        <f>VLOOKUP($A363,'Key Inputs_BY Techs'!$B$198:$AJ$207,W$310,FALSE)/8760</f>
        <v>0.22032191780821925</v>
      </c>
      <c r="X363" s="180">
        <f>VLOOKUP($A363,'Key Inputs_BY Techs'!$B$198:$AJ$207,X$310,FALSE)/8760</f>
        <v>0.46923679060665369</v>
      </c>
      <c r="Y363" s="180">
        <f>VLOOKUP($A363,'Key Inputs_BY Techs'!$B$198:$AJ$207,Y$310,FALSE)/8760</f>
        <v>8.5704500978473597E-2</v>
      </c>
      <c r="Z363" s="180">
        <f>VLOOKUP($A363,'Key Inputs_BY Techs'!$B$198:$AJ$207,Z$310,FALSE)/8760</f>
        <v>2.0784735812133075E-2</v>
      </c>
      <c r="AA363" s="180">
        <f>VLOOKUP($A363,'Key Inputs_BY Techs'!$B$198:$AJ$207,AA$310,FALSE)/8760</f>
        <v>8.5704500978473597E-2</v>
      </c>
      <c r="AB363" s="180">
        <f>VLOOKUP($A363,'Key Inputs_BY Techs'!$B$198:$AJ$207,AB$310,FALSE)/8760</f>
        <v>4.9452054794520556E-3</v>
      </c>
      <c r="AC363" s="180">
        <f>VLOOKUP($A363,'Key Inputs_BY Techs'!$B$198:$AJ$207,AC$310,FALSE)/8760</f>
        <v>4.0639921722113503E-2</v>
      </c>
      <c r="AD363" s="180">
        <f>VLOOKUP($A363,'Key Inputs_BY Techs'!$B$198:$AJ$207,AD$310,FALSE)/8760</f>
        <v>1.2084148727984345E-3</v>
      </c>
      <c r="AE363" s="180">
        <f>VLOOKUP($A363,'Key Inputs_BY Techs'!$B$198:$AJ$207,AE$310,FALSE)/8760</f>
        <v>6.0420743639921729E-3</v>
      </c>
      <c r="AF363" s="180">
        <f>VLOOKUP($A363,'Key Inputs_BY Techs'!$B$198:$AJ$207,AF$310,FALSE)/8760</f>
        <v>3.4246575342465752E-2</v>
      </c>
      <c r="AG363" s="180">
        <f>VLOOKUP($A363,'Key Inputs_BY Techs'!$B$198:$AJ$207,AG$310,FALSE)/8760</f>
        <v>3.4246575342465752E-2</v>
      </c>
      <c r="AH363" s="180">
        <f>VLOOKUP($A363,'Key Inputs_BY Techs'!$B$198:$AJ$207,AH$310,FALSE)/8760</f>
        <v>0.12015362035225051</v>
      </c>
      <c r="AI363" s="180">
        <f>VLOOKUP($A363,'Key Inputs_BY Techs'!$B$198:$AJ$207,AI$310,FALSE)/8760</f>
        <v>0.19741780821917809</v>
      </c>
      <c r="AJ363" s="180">
        <f>VLOOKUP($A363,'Key Inputs_BY Techs'!$B$198:$AJ$207,AJ$310,FALSE)/8760</f>
        <v>0.16674266144814093</v>
      </c>
      <c r="AK363" s="180">
        <f>VLOOKUP($A363,'Key Inputs_BY Techs'!$B$198:$AJ$207,AK$310,FALSE)/8760</f>
        <v>8.5704500978473597E-2</v>
      </c>
      <c r="AL363" s="180">
        <f>VLOOKUP($A363,'Key Inputs_BY Techs'!$B$198:$AJ$207,AL$310,FALSE)/8760</f>
        <v>7.7134050880626234E-2</v>
      </c>
      <c r="AM363" s="180">
        <f>VLOOKUP($A363,'Key Inputs_BY Techs'!$B$198:$AJ$207,AM$310,FALSE)/8760</f>
        <v>0.2704990215264188</v>
      </c>
      <c r="AN363" s="180">
        <f>VLOOKUP($A363,'Key Inputs_BY Techs'!$B$198:$AJ$207,AN$310,FALSE)/8760</f>
        <v>6.5793542074363998E-2</v>
      </c>
      <c r="AO363" s="180">
        <f>VLOOKUP($A363,'Key Inputs_BY Techs'!$B$198:$AJ$207,AO$310,FALSE)/8760</f>
        <v>0.62478767123287671</v>
      </c>
      <c r="AP363" s="180">
        <f>VLOOKUP($A363,'Key Inputs_BY Techs'!$B$198:$AJ$207,AP$310,FALSE)/8760</f>
        <v>2.9187866927592957E-3</v>
      </c>
      <c r="AQ363" s="180">
        <f>VLOOKUP($A363,'Key Inputs_BY Techs'!$B$198:$AJ$207,AQ$310,FALSE)/8760</f>
        <v>0.11199217221135031</v>
      </c>
      <c r="AR363" s="180">
        <f>VLOOKUP($A363,'Key Inputs_BY Techs'!$B$198:$AJ$207,AR$310,FALSE)/8760</f>
        <v>0.15449119373776909</v>
      </c>
      <c r="AS363" s="119"/>
      <c r="AT363" s="114"/>
      <c r="AV363" s="126"/>
      <c r="BF363" s="114"/>
      <c r="BG363" s="122"/>
      <c r="BH363" s="122"/>
    </row>
    <row r="364" spans="1:60" x14ac:dyDescent="0.25">
      <c r="A364" s="245" t="str">
        <f t="shared" si="69"/>
        <v>Air conditioning</v>
      </c>
      <c r="B364" s="245" t="str">
        <f t="shared" si="69"/>
        <v>R-ACL</v>
      </c>
      <c r="C364" s="245" t="str">
        <f t="shared" si="69"/>
        <v>Electricity</v>
      </c>
      <c r="D364" s="245" t="str">
        <f t="shared" si="69"/>
        <v>RSDELC</v>
      </c>
      <c r="E364" s="249" t="str">
        <f t="shared" si="69"/>
        <v>RSDELC</v>
      </c>
      <c r="F364" s="245" t="str">
        <f t="shared" si="69"/>
        <v>Air conditioning (Imp.)</v>
      </c>
      <c r="G364" s="250" t="str">
        <f t="shared" si="69"/>
        <v>02</v>
      </c>
      <c r="H364" s="250"/>
      <c r="I364" s="250"/>
      <c r="K364" s="201" t="str">
        <f>IF('Commodities &amp; Processes'!L$108="",'Commodities &amp; Processes'!K$108,'Commodities &amp; Processes'!L$108)</f>
        <v>R-ACL_ELC02</v>
      </c>
      <c r="L364" s="109" t="str">
        <f>IF('Commodities &amp; Processes'!M$108="","",'Commodities &amp; Processes'!M$108)</f>
        <v>RSD Air conditioning technology: Electricity Air conditioning (Imp.) -New</v>
      </c>
      <c r="O364" s="109" t="s">
        <v>313</v>
      </c>
      <c r="P364" s="109" t="s">
        <v>174</v>
      </c>
      <c r="Q364" s="180">
        <f>VLOOKUP($A364,'Key Inputs_BY Techs'!$B$198:$AJ$207,Q$310,FALSE)/8760</f>
        <v>9.5687866927592971E-2</v>
      </c>
      <c r="R364" s="180">
        <f>VLOOKUP($A364,'Key Inputs_BY Techs'!$B$198:$AJ$207,R$310,FALSE)/8760</f>
        <v>0.33259295499021529</v>
      </c>
      <c r="S364" s="180">
        <f>VLOOKUP($A364,'Key Inputs_BY Techs'!$B$198:$AJ$207,S$310,FALSE)/8760</f>
        <v>0.62478767123287671</v>
      </c>
      <c r="T364" s="180">
        <f>VLOOKUP($A364,'Key Inputs_BY Techs'!$B$198:$AJ$207,T$310,FALSE)/8760</f>
        <v>0.38780821917808223</v>
      </c>
      <c r="U364" s="180">
        <f>VLOOKUP($A364,'Key Inputs_BY Techs'!$B$198:$AJ$207,U$310,FALSE)/8760</f>
        <v>0.10410958904109591</v>
      </c>
      <c r="V364" s="180">
        <f>VLOOKUP($A364,'Key Inputs_BY Techs'!$B$198:$AJ$207,V$310,FALSE)/8760</f>
        <v>0.1875831702544031</v>
      </c>
      <c r="W364" s="180">
        <f>VLOOKUP($A364,'Key Inputs_BY Techs'!$B$198:$AJ$207,W$310,FALSE)/8760</f>
        <v>0.22032191780821925</v>
      </c>
      <c r="X364" s="180">
        <f>VLOOKUP($A364,'Key Inputs_BY Techs'!$B$198:$AJ$207,X$310,FALSE)/8760</f>
        <v>0.46923679060665369</v>
      </c>
      <c r="Y364" s="180">
        <f>VLOOKUP($A364,'Key Inputs_BY Techs'!$B$198:$AJ$207,Y$310,FALSE)/8760</f>
        <v>8.5704500978473597E-2</v>
      </c>
      <c r="Z364" s="180">
        <f>VLOOKUP($A364,'Key Inputs_BY Techs'!$B$198:$AJ$207,Z$310,FALSE)/8760</f>
        <v>2.0784735812133075E-2</v>
      </c>
      <c r="AA364" s="180">
        <f>VLOOKUP($A364,'Key Inputs_BY Techs'!$B$198:$AJ$207,AA$310,FALSE)/8760</f>
        <v>8.5704500978473597E-2</v>
      </c>
      <c r="AB364" s="180">
        <f>VLOOKUP($A364,'Key Inputs_BY Techs'!$B$198:$AJ$207,AB$310,FALSE)/8760</f>
        <v>4.9452054794520556E-3</v>
      </c>
      <c r="AC364" s="180">
        <f>VLOOKUP($A364,'Key Inputs_BY Techs'!$B$198:$AJ$207,AC$310,FALSE)/8760</f>
        <v>4.0639921722113503E-2</v>
      </c>
      <c r="AD364" s="180">
        <f>VLOOKUP($A364,'Key Inputs_BY Techs'!$B$198:$AJ$207,AD$310,FALSE)/8760</f>
        <v>1.2084148727984345E-3</v>
      </c>
      <c r="AE364" s="180">
        <f>VLOOKUP($A364,'Key Inputs_BY Techs'!$B$198:$AJ$207,AE$310,FALSE)/8760</f>
        <v>6.0420743639921729E-3</v>
      </c>
      <c r="AF364" s="180">
        <f>VLOOKUP($A364,'Key Inputs_BY Techs'!$B$198:$AJ$207,AF$310,FALSE)/8760</f>
        <v>3.4246575342465752E-2</v>
      </c>
      <c r="AG364" s="180">
        <f>VLOOKUP($A364,'Key Inputs_BY Techs'!$B$198:$AJ$207,AG$310,FALSE)/8760</f>
        <v>3.4246575342465752E-2</v>
      </c>
      <c r="AH364" s="180">
        <f>VLOOKUP($A364,'Key Inputs_BY Techs'!$B$198:$AJ$207,AH$310,FALSE)/8760</f>
        <v>0.12015362035225051</v>
      </c>
      <c r="AI364" s="180">
        <f>VLOOKUP($A364,'Key Inputs_BY Techs'!$B$198:$AJ$207,AI$310,FALSE)/8760</f>
        <v>0.19741780821917809</v>
      </c>
      <c r="AJ364" s="180">
        <f>VLOOKUP($A364,'Key Inputs_BY Techs'!$B$198:$AJ$207,AJ$310,FALSE)/8760</f>
        <v>0.16674266144814093</v>
      </c>
      <c r="AK364" s="180">
        <f>VLOOKUP($A364,'Key Inputs_BY Techs'!$B$198:$AJ$207,AK$310,FALSE)/8760</f>
        <v>8.5704500978473597E-2</v>
      </c>
      <c r="AL364" s="180">
        <f>VLOOKUP($A364,'Key Inputs_BY Techs'!$B$198:$AJ$207,AL$310,FALSE)/8760</f>
        <v>7.7134050880626234E-2</v>
      </c>
      <c r="AM364" s="180">
        <f>VLOOKUP($A364,'Key Inputs_BY Techs'!$B$198:$AJ$207,AM$310,FALSE)/8760</f>
        <v>0.2704990215264188</v>
      </c>
      <c r="AN364" s="180">
        <f>VLOOKUP($A364,'Key Inputs_BY Techs'!$B$198:$AJ$207,AN$310,FALSE)/8760</f>
        <v>6.5793542074363998E-2</v>
      </c>
      <c r="AO364" s="180">
        <f>VLOOKUP($A364,'Key Inputs_BY Techs'!$B$198:$AJ$207,AO$310,FALSE)/8760</f>
        <v>0.62478767123287671</v>
      </c>
      <c r="AP364" s="180">
        <f>VLOOKUP($A364,'Key Inputs_BY Techs'!$B$198:$AJ$207,AP$310,FALSE)/8760</f>
        <v>2.9187866927592957E-3</v>
      </c>
      <c r="AQ364" s="180">
        <f>VLOOKUP($A364,'Key Inputs_BY Techs'!$B$198:$AJ$207,AQ$310,FALSE)/8760</f>
        <v>0.11199217221135031</v>
      </c>
      <c r="AR364" s="180">
        <f>VLOOKUP($A364,'Key Inputs_BY Techs'!$B$198:$AJ$207,AR$310,FALSE)/8760</f>
        <v>0.15449119373776909</v>
      </c>
      <c r="AS364" s="119"/>
      <c r="AT364" s="114"/>
      <c r="AV364" s="126"/>
      <c r="BF364" s="114"/>
      <c r="BG364" s="122"/>
      <c r="BH364" s="122"/>
    </row>
    <row r="365" spans="1:60" x14ac:dyDescent="0.25">
      <c r="A365" s="245" t="str">
        <f t="shared" si="69"/>
        <v>Air conditioning</v>
      </c>
      <c r="B365" s="245" t="str">
        <f t="shared" si="69"/>
        <v>R-ACL</v>
      </c>
      <c r="C365" s="245" t="str">
        <f t="shared" si="69"/>
        <v>Electricity</v>
      </c>
      <c r="D365" s="245" t="str">
        <f t="shared" si="69"/>
        <v>RSDELC</v>
      </c>
      <c r="E365" s="249" t="str">
        <f t="shared" si="69"/>
        <v>RSDELC</v>
      </c>
      <c r="F365" s="245" t="str">
        <f t="shared" si="69"/>
        <v>Air conditioning (Adv.)</v>
      </c>
      <c r="G365" s="250" t="str">
        <f t="shared" si="69"/>
        <v>03</v>
      </c>
      <c r="H365" s="250"/>
      <c r="I365" s="250"/>
      <c r="K365" s="201" t="str">
        <f>IF('Commodities &amp; Processes'!L109="",'Commodities &amp; Processes'!K109,'Commodities &amp; Processes'!L109)</f>
        <v>R-ACL_ELC03</v>
      </c>
      <c r="L365" s="109" t="str">
        <f>IF('Commodities &amp; Processes'!M109="","",'Commodities &amp; Processes'!M109)</f>
        <v>RSD Air conditioning technology: Electricity Air conditioning (Adv.) -New</v>
      </c>
      <c r="O365" s="109" t="s">
        <v>313</v>
      </c>
      <c r="P365" s="109" t="s">
        <v>174</v>
      </c>
      <c r="Q365" s="180">
        <f>VLOOKUP($A365,'Key Inputs_BY Techs'!$B$198:$AJ$207,Q$310,FALSE)/8760</f>
        <v>9.5687866927592971E-2</v>
      </c>
      <c r="R365" s="180">
        <f>VLOOKUP($A365,'Key Inputs_BY Techs'!$B$198:$AJ$207,R$310,FALSE)/8760</f>
        <v>0.33259295499021529</v>
      </c>
      <c r="S365" s="180">
        <f>VLOOKUP($A365,'Key Inputs_BY Techs'!$B$198:$AJ$207,S$310,FALSE)/8760</f>
        <v>0.62478767123287671</v>
      </c>
      <c r="T365" s="180">
        <f>VLOOKUP($A365,'Key Inputs_BY Techs'!$B$198:$AJ$207,T$310,FALSE)/8760</f>
        <v>0.38780821917808223</v>
      </c>
      <c r="U365" s="180">
        <f>VLOOKUP($A365,'Key Inputs_BY Techs'!$B$198:$AJ$207,U$310,FALSE)/8760</f>
        <v>0.10410958904109591</v>
      </c>
      <c r="V365" s="180">
        <f>VLOOKUP($A365,'Key Inputs_BY Techs'!$B$198:$AJ$207,V$310,FALSE)/8760</f>
        <v>0.1875831702544031</v>
      </c>
      <c r="W365" s="180">
        <f>VLOOKUP($A365,'Key Inputs_BY Techs'!$B$198:$AJ$207,W$310,FALSE)/8760</f>
        <v>0.22032191780821925</v>
      </c>
      <c r="X365" s="180">
        <f>VLOOKUP($A365,'Key Inputs_BY Techs'!$B$198:$AJ$207,X$310,FALSE)/8760</f>
        <v>0.46923679060665369</v>
      </c>
      <c r="Y365" s="180">
        <f>VLOOKUP($A365,'Key Inputs_BY Techs'!$B$198:$AJ$207,Y$310,FALSE)/8760</f>
        <v>8.5704500978473597E-2</v>
      </c>
      <c r="Z365" s="180">
        <f>VLOOKUP($A365,'Key Inputs_BY Techs'!$B$198:$AJ$207,Z$310,FALSE)/8760</f>
        <v>2.0784735812133075E-2</v>
      </c>
      <c r="AA365" s="180">
        <f>VLOOKUP($A365,'Key Inputs_BY Techs'!$B$198:$AJ$207,AA$310,FALSE)/8760</f>
        <v>8.5704500978473597E-2</v>
      </c>
      <c r="AB365" s="180">
        <f>VLOOKUP($A365,'Key Inputs_BY Techs'!$B$198:$AJ$207,AB$310,FALSE)/8760</f>
        <v>4.9452054794520556E-3</v>
      </c>
      <c r="AC365" s="180">
        <f>VLOOKUP($A365,'Key Inputs_BY Techs'!$B$198:$AJ$207,AC$310,FALSE)/8760</f>
        <v>4.0639921722113503E-2</v>
      </c>
      <c r="AD365" s="180">
        <f>VLOOKUP($A365,'Key Inputs_BY Techs'!$B$198:$AJ$207,AD$310,FALSE)/8760</f>
        <v>1.2084148727984345E-3</v>
      </c>
      <c r="AE365" s="180">
        <f>VLOOKUP($A365,'Key Inputs_BY Techs'!$B$198:$AJ$207,AE$310,FALSE)/8760</f>
        <v>6.0420743639921729E-3</v>
      </c>
      <c r="AF365" s="180">
        <f>VLOOKUP($A365,'Key Inputs_BY Techs'!$B$198:$AJ$207,AF$310,FALSE)/8760</f>
        <v>3.4246575342465752E-2</v>
      </c>
      <c r="AG365" s="180">
        <f>VLOOKUP($A365,'Key Inputs_BY Techs'!$B$198:$AJ$207,AG$310,FALSE)/8760</f>
        <v>3.4246575342465752E-2</v>
      </c>
      <c r="AH365" s="180">
        <f>VLOOKUP($A365,'Key Inputs_BY Techs'!$B$198:$AJ$207,AH$310,FALSE)/8760</f>
        <v>0.12015362035225051</v>
      </c>
      <c r="AI365" s="180">
        <f>VLOOKUP($A365,'Key Inputs_BY Techs'!$B$198:$AJ$207,AI$310,FALSE)/8760</f>
        <v>0.19741780821917809</v>
      </c>
      <c r="AJ365" s="180">
        <f>VLOOKUP($A365,'Key Inputs_BY Techs'!$B$198:$AJ$207,AJ$310,FALSE)/8760</f>
        <v>0.16674266144814093</v>
      </c>
      <c r="AK365" s="180">
        <f>VLOOKUP($A365,'Key Inputs_BY Techs'!$B$198:$AJ$207,AK$310,FALSE)/8760</f>
        <v>8.5704500978473597E-2</v>
      </c>
      <c r="AL365" s="180">
        <f>VLOOKUP($A365,'Key Inputs_BY Techs'!$B$198:$AJ$207,AL$310,FALSE)/8760</f>
        <v>7.7134050880626234E-2</v>
      </c>
      <c r="AM365" s="180">
        <f>VLOOKUP($A365,'Key Inputs_BY Techs'!$B$198:$AJ$207,AM$310,FALSE)/8760</f>
        <v>0.2704990215264188</v>
      </c>
      <c r="AN365" s="180">
        <f>VLOOKUP($A365,'Key Inputs_BY Techs'!$B$198:$AJ$207,AN$310,FALSE)/8760</f>
        <v>6.5793542074363998E-2</v>
      </c>
      <c r="AO365" s="180">
        <f>VLOOKUP($A365,'Key Inputs_BY Techs'!$B$198:$AJ$207,AO$310,FALSE)/8760</f>
        <v>0.62478767123287671</v>
      </c>
      <c r="AP365" s="180">
        <f>VLOOKUP($A365,'Key Inputs_BY Techs'!$B$198:$AJ$207,AP$310,FALSE)/8760</f>
        <v>2.9187866927592957E-3</v>
      </c>
      <c r="AQ365" s="180">
        <f>VLOOKUP($A365,'Key Inputs_BY Techs'!$B$198:$AJ$207,AQ$310,FALSE)/8760</f>
        <v>0.11199217221135031</v>
      </c>
      <c r="AR365" s="180">
        <f>VLOOKUP($A365,'Key Inputs_BY Techs'!$B$198:$AJ$207,AR$310,FALSE)/8760</f>
        <v>0.15449119373776909</v>
      </c>
      <c r="AS365" s="119"/>
      <c r="AT365" s="114"/>
      <c r="AV365" s="126"/>
      <c r="BF365" s="114"/>
      <c r="BG365" s="122"/>
      <c r="BH365" s="122"/>
    </row>
    <row r="366" spans="1:60" x14ac:dyDescent="0.25">
      <c r="A366" s="245" t="str">
        <f t="shared" ref="A366:G366" si="70">A61</f>
        <v>Air conditioning</v>
      </c>
      <c r="B366" s="245" t="str">
        <f t="shared" si="70"/>
        <v>R-ACH</v>
      </c>
      <c r="C366" s="245" t="str">
        <f t="shared" si="70"/>
        <v>Electricity</v>
      </c>
      <c r="D366" s="245" t="str">
        <f t="shared" si="70"/>
        <v>RSDELC</v>
      </c>
      <c r="E366" s="249" t="str">
        <f t="shared" si="70"/>
        <v>RSDELC</v>
      </c>
      <c r="F366" s="245" t="str">
        <f t="shared" si="70"/>
        <v>Air conditioning (Ord.)</v>
      </c>
      <c r="G366" s="250" t="str">
        <f t="shared" si="70"/>
        <v>01</v>
      </c>
      <c r="H366" s="250"/>
      <c r="I366" s="250"/>
      <c r="K366" s="201" t="str">
        <f>IF('Commodities &amp; Processes'!L110="",'Commodities &amp; Processes'!K110,'Commodities &amp; Processes'!L110)</f>
        <v>R-ACH_ELC01</v>
      </c>
      <c r="L366" s="109" t="str">
        <f>IF('Commodities &amp; Processes'!M110="","",'Commodities &amp; Processes'!M110)</f>
        <v>RSD Air conditioning technology: Electricity Air conditioning (Ord.) -New</v>
      </c>
      <c r="O366" s="109" t="s">
        <v>313</v>
      </c>
      <c r="P366" s="109" t="s">
        <v>174</v>
      </c>
      <c r="Q366" s="180">
        <f>VLOOKUP($A366,'Key Inputs_BY Techs'!$B$198:$AJ$207,Q$310,FALSE)/8760</f>
        <v>9.5687866927592971E-2</v>
      </c>
      <c r="R366" s="180">
        <f>VLOOKUP($A366,'Key Inputs_BY Techs'!$B$198:$AJ$207,R$310,FALSE)/8760</f>
        <v>0.33259295499021529</v>
      </c>
      <c r="S366" s="180">
        <f>VLOOKUP($A366,'Key Inputs_BY Techs'!$B$198:$AJ$207,S$310,FALSE)/8760</f>
        <v>0.62478767123287671</v>
      </c>
      <c r="T366" s="180">
        <f>VLOOKUP($A366,'Key Inputs_BY Techs'!$B$198:$AJ$207,T$310,FALSE)/8760</f>
        <v>0.38780821917808223</v>
      </c>
      <c r="U366" s="180">
        <f>VLOOKUP($A366,'Key Inputs_BY Techs'!$B$198:$AJ$207,U$310,FALSE)/8760</f>
        <v>0.10410958904109591</v>
      </c>
      <c r="V366" s="180">
        <f>VLOOKUP($A366,'Key Inputs_BY Techs'!$B$198:$AJ$207,V$310,FALSE)/8760</f>
        <v>0.1875831702544031</v>
      </c>
      <c r="W366" s="180">
        <f>VLOOKUP($A366,'Key Inputs_BY Techs'!$B$198:$AJ$207,W$310,FALSE)/8760</f>
        <v>0.22032191780821925</v>
      </c>
      <c r="X366" s="180">
        <f>VLOOKUP($A366,'Key Inputs_BY Techs'!$B$198:$AJ$207,X$310,FALSE)/8760</f>
        <v>0.46923679060665369</v>
      </c>
      <c r="Y366" s="180">
        <f>VLOOKUP($A366,'Key Inputs_BY Techs'!$B$198:$AJ$207,Y$310,FALSE)/8760</f>
        <v>8.5704500978473597E-2</v>
      </c>
      <c r="Z366" s="180">
        <f>VLOOKUP($A366,'Key Inputs_BY Techs'!$B$198:$AJ$207,Z$310,FALSE)/8760</f>
        <v>2.0784735812133075E-2</v>
      </c>
      <c r="AA366" s="180">
        <f>VLOOKUP($A366,'Key Inputs_BY Techs'!$B$198:$AJ$207,AA$310,FALSE)/8760</f>
        <v>8.5704500978473597E-2</v>
      </c>
      <c r="AB366" s="180">
        <f>VLOOKUP($A366,'Key Inputs_BY Techs'!$B$198:$AJ$207,AB$310,FALSE)/8760</f>
        <v>4.9452054794520556E-3</v>
      </c>
      <c r="AC366" s="180">
        <f>VLOOKUP($A366,'Key Inputs_BY Techs'!$B$198:$AJ$207,AC$310,FALSE)/8760</f>
        <v>4.0639921722113503E-2</v>
      </c>
      <c r="AD366" s="180">
        <f>VLOOKUP($A366,'Key Inputs_BY Techs'!$B$198:$AJ$207,AD$310,FALSE)/8760</f>
        <v>1.2084148727984345E-3</v>
      </c>
      <c r="AE366" s="180">
        <f>VLOOKUP($A366,'Key Inputs_BY Techs'!$B$198:$AJ$207,AE$310,FALSE)/8760</f>
        <v>6.0420743639921729E-3</v>
      </c>
      <c r="AF366" s="180">
        <f>VLOOKUP($A366,'Key Inputs_BY Techs'!$B$198:$AJ$207,AF$310,FALSE)/8760</f>
        <v>3.4246575342465752E-2</v>
      </c>
      <c r="AG366" s="180">
        <f>VLOOKUP($A366,'Key Inputs_BY Techs'!$B$198:$AJ$207,AG$310,FALSE)/8760</f>
        <v>3.4246575342465752E-2</v>
      </c>
      <c r="AH366" s="180">
        <f>VLOOKUP($A366,'Key Inputs_BY Techs'!$B$198:$AJ$207,AH$310,FALSE)/8760</f>
        <v>0.12015362035225051</v>
      </c>
      <c r="AI366" s="180">
        <f>VLOOKUP($A366,'Key Inputs_BY Techs'!$B$198:$AJ$207,AI$310,FALSE)/8760</f>
        <v>0.19741780821917809</v>
      </c>
      <c r="AJ366" s="180">
        <f>VLOOKUP($A366,'Key Inputs_BY Techs'!$B$198:$AJ$207,AJ$310,FALSE)/8760</f>
        <v>0.16674266144814093</v>
      </c>
      <c r="AK366" s="180">
        <f>VLOOKUP($A366,'Key Inputs_BY Techs'!$B$198:$AJ$207,AK$310,FALSE)/8760</f>
        <v>8.5704500978473597E-2</v>
      </c>
      <c r="AL366" s="180">
        <f>VLOOKUP($A366,'Key Inputs_BY Techs'!$B$198:$AJ$207,AL$310,FALSE)/8760</f>
        <v>7.7134050880626234E-2</v>
      </c>
      <c r="AM366" s="180">
        <f>VLOOKUP($A366,'Key Inputs_BY Techs'!$B$198:$AJ$207,AM$310,FALSE)/8760</f>
        <v>0.2704990215264188</v>
      </c>
      <c r="AN366" s="180">
        <f>VLOOKUP($A366,'Key Inputs_BY Techs'!$B$198:$AJ$207,AN$310,FALSE)/8760</f>
        <v>6.5793542074363998E-2</v>
      </c>
      <c r="AO366" s="180">
        <f>VLOOKUP($A366,'Key Inputs_BY Techs'!$B$198:$AJ$207,AO$310,FALSE)/8760</f>
        <v>0.62478767123287671</v>
      </c>
      <c r="AP366" s="180">
        <f>VLOOKUP($A366,'Key Inputs_BY Techs'!$B$198:$AJ$207,AP$310,FALSE)/8760</f>
        <v>2.9187866927592957E-3</v>
      </c>
      <c r="AQ366" s="180">
        <f>VLOOKUP($A366,'Key Inputs_BY Techs'!$B$198:$AJ$207,AQ$310,FALSE)/8760</f>
        <v>0.11199217221135031</v>
      </c>
      <c r="AR366" s="180">
        <f>VLOOKUP($A366,'Key Inputs_BY Techs'!$B$198:$AJ$207,AR$310,FALSE)/8760</f>
        <v>0.15449119373776909</v>
      </c>
      <c r="AS366" s="119"/>
      <c r="AT366" s="114"/>
      <c r="AV366" s="126"/>
      <c r="BF366" s="114"/>
      <c r="BG366" s="122"/>
      <c r="BH366" s="122"/>
    </row>
    <row r="367" spans="1:60" x14ac:dyDescent="0.25">
      <c r="A367" s="245" t="str">
        <f t="shared" ref="A367:G367" si="71">A62</f>
        <v>Air conditioning</v>
      </c>
      <c r="B367" s="245" t="str">
        <f t="shared" si="71"/>
        <v>R-ACH</v>
      </c>
      <c r="C367" s="245" t="str">
        <f t="shared" si="71"/>
        <v>Electricity</v>
      </c>
      <c r="D367" s="245" t="str">
        <f t="shared" si="71"/>
        <v>RSDELC</v>
      </c>
      <c r="E367" s="249" t="str">
        <f t="shared" si="71"/>
        <v>RSDELC</v>
      </c>
      <c r="F367" s="245" t="str">
        <f t="shared" si="71"/>
        <v>Air conditioning (Imp.)</v>
      </c>
      <c r="G367" s="250" t="str">
        <f t="shared" si="71"/>
        <v>02</v>
      </c>
      <c r="H367" s="250"/>
      <c r="I367" s="250"/>
      <c r="K367" s="201" t="str">
        <f>IF('Commodities &amp; Processes'!L111="",'Commodities &amp; Processes'!K111,'Commodities &amp; Processes'!L111)</f>
        <v>R-ACH_ELC02</v>
      </c>
      <c r="L367" s="109" t="str">
        <f>IF('Commodities &amp; Processes'!M111="","",'Commodities &amp; Processes'!M111)</f>
        <v>RSD Air conditioning technology: Electricity Air conditioning (Imp.) -New</v>
      </c>
      <c r="O367" s="109" t="s">
        <v>313</v>
      </c>
      <c r="P367" s="109" t="s">
        <v>174</v>
      </c>
      <c r="Q367" s="180">
        <f>VLOOKUP($A367,'Key Inputs_BY Techs'!$B$198:$AJ$207,Q$310,FALSE)/8760</f>
        <v>9.5687866927592971E-2</v>
      </c>
      <c r="R367" s="180">
        <f>VLOOKUP($A367,'Key Inputs_BY Techs'!$B$198:$AJ$207,R$310,FALSE)/8760</f>
        <v>0.33259295499021529</v>
      </c>
      <c r="S367" s="180">
        <f>VLOOKUP($A367,'Key Inputs_BY Techs'!$B$198:$AJ$207,S$310,FALSE)/8760</f>
        <v>0.62478767123287671</v>
      </c>
      <c r="T367" s="180">
        <f>VLOOKUP($A367,'Key Inputs_BY Techs'!$B$198:$AJ$207,T$310,FALSE)/8760</f>
        <v>0.38780821917808223</v>
      </c>
      <c r="U367" s="180">
        <f>VLOOKUP($A367,'Key Inputs_BY Techs'!$B$198:$AJ$207,U$310,FALSE)/8760</f>
        <v>0.10410958904109591</v>
      </c>
      <c r="V367" s="180">
        <f>VLOOKUP($A367,'Key Inputs_BY Techs'!$B$198:$AJ$207,V$310,FALSE)/8760</f>
        <v>0.1875831702544031</v>
      </c>
      <c r="W367" s="180">
        <f>VLOOKUP($A367,'Key Inputs_BY Techs'!$B$198:$AJ$207,W$310,FALSE)/8760</f>
        <v>0.22032191780821925</v>
      </c>
      <c r="X367" s="180">
        <f>VLOOKUP($A367,'Key Inputs_BY Techs'!$B$198:$AJ$207,X$310,FALSE)/8760</f>
        <v>0.46923679060665369</v>
      </c>
      <c r="Y367" s="180">
        <f>VLOOKUP($A367,'Key Inputs_BY Techs'!$B$198:$AJ$207,Y$310,FALSE)/8760</f>
        <v>8.5704500978473597E-2</v>
      </c>
      <c r="Z367" s="180">
        <f>VLOOKUP($A367,'Key Inputs_BY Techs'!$B$198:$AJ$207,Z$310,FALSE)/8760</f>
        <v>2.0784735812133075E-2</v>
      </c>
      <c r="AA367" s="180">
        <f>VLOOKUP($A367,'Key Inputs_BY Techs'!$B$198:$AJ$207,AA$310,FALSE)/8760</f>
        <v>8.5704500978473597E-2</v>
      </c>
      <c r="AB367" s="180">
        <f>VLOOKUP($A367,'Key Inputs_BY Techs'!$B$198:$AJ$207,AB$310,FALSE)/8760</f>
        <v>4.9452054794520556E-3</v>
      </c>
      <c r="AC367" s="180">
        <f>VLOOKUP($A367,'Key Inputs_BY Techs'!$B$198:$AJ$207,AC$310,FALSE)/8760</f>
        <v>4.0639921722113503E-2</v>
      </c>
      <c r="AD367" s="180">
        <f>VLOOKUP($A367,'Key Inputs_BY Techs'!$B$198:$AJ$207,AD$310,FALSE)/8760</f>
        <v>1.2084148727984345E-3</v>
      </c>
      <c r="AE367" s="180">
        <f>VLOOKUP($A367,'Key Inputs_BY Techs'!$B$198:$AJ$207,AE$310,FALSE)/8760</f>
        <v>6.0420743639921729E-3</v>
      </c>
      <c r="AF367" s="180">
        <f>VLOOKUP($A367,'Key Inputs_BY Techs'!$B$198:$AJ$207,AF$310,FALSE)/8760</f>
        <v>3.4246575342465752E-2</v>
      </c>
      <c r="AG367" s="180">
        <f>VLOOKUP($A367,'Key Inputs_BY Techs'!$B$198:$AJ$207,AG$310,FALSE)/8760</f>
        <v>3.4246575342465752E-2</v>
      </c>
      <c r="AH367" s="180">
        <f>VLOOKUP($A367,'Key Inputs_BY Techs'!$B$198:$AJ$207,AH$310,FALSE)/8760</f>
        <v>0.12015362035225051</v>
      </c>
      <c r="AI367" s="180">
        <f>VLOOKUP($A367,'Key Inputs_BY Techs'!$B$198:$AJ$207,AI$310,FALSE)/8760</f>
        <v>0.19741780821917809</v>
      </c>
      <c r="AJ367" s="180">
        <f>VLOOKUP($A367,'Key Inputs_BY Techs'!$B$198:$AJ$207,AJ$310,FALSE)/8760</f>
        <v>0.16674266144814093</v>
      </c>
      <c r="AK367" s="180">
        <f>VLOOKUP($A367,'Key Inputs_BY Techs'!$B$198:$AJ$207,AK$310,FALSE)/8760</f>
        <v>8.5704500978473597E-2</v>
      </c>
      <c r="AL367" s="180">
        <f>VLOOKUP($A367,'Key Inputs_BY Techs'!$B$198:$AJ$207,AL$310,FALSE)/8760</f>
        <v>7.7134050880626234E-2</v>
      </c>
      <c r="AM367" s="180">
        <f>VLOOKUP($A367,'Key Inputs_BY Techs'!$B$198:$AJ$207,AM$310,FALSE)/8760</f>
        <v>0.2704990215264188</v>
      </c>
      <c r="AN367" s="180">
        <f>VLOOKUP($A367,'Key Inputs_BY Techs'!$B$198:$AJ$207,AN$310,FALSE)/8760</f>
        <v>6.5793542074363998E-2</v>
      </c>
      <c r="AO367" s="180">
        <f>VLOOKUP($A367,'Key Inputs_BY Techs'!$B$198:$AJ$207,AO$310,FALSE)/8760</f>
        <v>0.62478767123287671</v>
      </c>
      <c r="AP367" s="180">
        <f>VLOOKUP($A367,'Key Inputs_BY Techs'!$B$198:$AJ$207,AP$310,FALSE)/8760</f>
        <v>2.9187866927592957E-3</v>
      </c>
      <c r="AQ367" s="180">
        <f>VLOOKUP($A367,'Key Inputs_BY Techs'!$B$198:$AJ$207,AQ$310,FALSE)/8760</f>
        <v>0.11199217221135031</v>
      </c>
      <c r="AR367" s="180">
        <f>VLOOKUP($A367,'Key Inputs_BY Techs'!$B$198:$AJ$207,AR$310,FALSE)/8760</f>
        <v>0.15449119373776909</v>
      </c>
      <c r="AS367" s="119"/>
      <c r="AT367" s="114"/>
      <c r="AV367" s="126"/>
      <c r="BF367" s="114"/>
      <c r="BG367" s="122"/>
      <c r="BH367" s="122"/>
    </row>
    <row r="368" spans="1:60" x14ac:dyDescent="0.25">
      <c r="A368" s="245" t="str">
        <f t="shared" ref="A368:G368" si="72">A63</f>
        <v>Air conditioning</v>
      </c>
      <c r="B368" s="245" t="str">
        <f t="shared" si="72"/>
        <v>R-ACH</v>
      </c>
      <c r="C368" s="245" t="str">
        <f t="shared" si="72"/>
        <v>Electricity</v>
      </c>
      <c r="D368" s="245" t="str">
        <f t="shared" si="72"/>
        <v>RSDELC</v>
      </c>
      <c r="E368" s="249" t="str">
        <f t="shared" si="72"/>
        <v>RSDELC</v>
      </c>
      <c r="F368" s="245" t="str">
        <f t="shared" si="72"/>
        <v>Air conditioning (Adv.)</v>
      </c>
      <c r="G368" s="250" t="str">
        <f t="shared" si="72"/>
        <v>03</v>
      </c>
      <c r="H368" s="250"/>
      <c r="I368" s="250"/>
      <c r="K368" s="201" t="str">
        <f>IF('Commodities &amp; Processes'!L112="",'Commodities &amp; Processes'!K112,'Commodities &amp; Processes'!L112)</f>
        <v>R-ACH_ELC03</v>
      </c>
      <c r="L368" s="109" t="str">
        <f>IF('Commodities &amp; Processes'!M112="","",'Commodities &amp; Processes'!M112)</f>
        <v>RSD Air conditioning technology: Electricity Air conditioning (Adv.) -New</v>
      </c>
      <c r="O368" s="109" t="s">
        <v>313</v>
      </c>
      <c r="P368" s="109" t="s">
        <v>174</v>
      </c>
      <c r="Q368" s="186">
        <f>VLOOKUP($A368,'Key Inputs_BY Techs'!$B$198:$AJ$207,Q$310,FALSE)/8760</f>
        <v>9.5687866927592971E-2</v>
      </c>
      <c r="R368" s="180">
        <f>VLOOKUP($A368,'Key Inputs_BY Techs'!$B$198:$AJ$207,R$310,FALSE)/8760</f>
        <v>0.33259295499021529</v>
      </c>
      <c r="S368" s="180">
        <f>VLOOKUP($A368,'Key Inputs_BY Techs'!$B$198:$AJ$207,S$310,FALSE)/8760</f>
        <v>0.62478767123287671</v>
      </c>
      <c r="T368" s="180">
        <f>VLOOKUP($A368,'Key Inputs_BY Techs'!$B$198:$AJ$207,T$310,FALSE)/8760</f>
        <v>0.38780821917808223</v>
      </c>
      <c r="U368" s="180">
        <f>VLOOKUP($A368,'Key Inputs_BY Techs'!$B$198:$AJ$207,U$310,FALSE)/8760</f>
        <v>0.10410958904109591</v>
      </c>
      <c r="V368" s="180">
        <f>VLOOKUP($A368,'Key Inputs_BY Techs'!$B$198:$AJ$207,V$310,FALSE)/8760</f>
        <v>0.1875831702544031</v>
      </c>
      <c r="W368" s="180">
        <f>VLOOKUP($A368,'Key Inputs_BY Techs'!$B$198:$AJ$207,W$310,FALSE)/8760</f>
        <v>0.22032191780821925</v>
      </c>
      <c r="X368" s="180">
        <f>VLOOKUP($A368,'Key Inputs_BY Techs'!$B$198:$AJ$207,X$310,FALSE)/8760</f>
        <v>0.46923679060665369</v>
      </c>
      <c r="Y368" s="180">
        <f>VLOOKUP($A368,'Key Inputs_BY Techs'!$B$198:$AJ$207,Y$310,FALSE)/8760</f>
        <v>8.5704500978473597E-2</v>
      </c>
      <c r="Z368" s="180">
        <f>VLOOKUP($A368,'Key Inputs_BY Techs'!$B$198:$AJ$207,Z$310,FALSE)/8760</f>
        <v>2.0784735812133075E-2</v>
      </c>
      <c r="AA368" s="180">
        <f>VLOOKUP($A368,'Key Inputs_BY Techs'!$B$198:$AJ$207,AA$310,FALSE)/8760</f>
        <v>8.5704500978473597E-2</v>
      </c>
      <c r="AB368" s="180">
        <f>VLOOKUP($A368,'Key Inputs_BY Techs'!$B$198:$AJ$207,AB$310,FALSE)/8760</f>
        <v>4.9452054794520556E-3</v>
      </c>
      <c r="AC368" s="180">
        <f>VLOOKUP($A368,'Key Inputs_BY Techs'!$B$198:$AJ$207,AC$310,FALSE)/8760</f>
        <v>4.0639921722113503E-2</v>
      </c>
      <c r="AD368" s="180">
        <f>VLOOKUP($A368,'Key Inputs_BY Techs'!$B$198:$AJ$207,AD$310,FALSE)/8760</f>
        <v>1.2084148727984345E-3</v>
      </c>
      <c r="AE368" s="180">
        <f>VLOOKUP($A368,'Key Inputs_BY Techs'!$B$198:$AJ$207,AE$310,FALSE)/8760</f>
        <v>6.0420743639921729E-3</v>
      </c>
      <c r="AF368" s="180">
        <f>VLOOKUP($A368,'Key Inputs_BY Techs'!$B$198:$AJ$207,AF$310,FALSE)/8760</f>
        <v>3.4246575342465752E-2</v>
      </c>
      <c r="AG368" s="180">
        <f>VLOOKUP($A368,'Key Inputs_BY Techs'!$B$198:$AJ$207,AG$310,FALSE)/8760</f>
        <v>3.4246575342465752E-2</v>
      </c>
      <c r="AH368" s="180">
        <f>VLOOKUP($A368,'Key Inputs_BY Techs'!$B$198:$AJ$207,AH$310,FALSE)/8760</f>
        <v>0.12015362035225051</v>
      </c>
      <c r="AI368" s="180">
        <f>VLOOKUP($A368,'Key Inputs_BY Techs'!$B$198:$AJ$207,AI$310,FALSE)/8760</f>
        <v>0.19741780821917809</v>
      </c>
      <c r="AJ368" s="180">
        <f>VLOOKUP($A368,'Key Inputs_BY Techs'!$B$198:$AJ$207,AJ$310,FALSE)/8760</f>
        <v>0.16674266144814093</v>
      </c>
      <c r="AK368" s="180">
        <f>VLOOKUP($A368,'Key Inputs_BY Techs'!$B$198:$AJ$207,AK$310,FALSE)/8760</f>
        <v>8.5704500978473597E-2</v>
      </c>
      <c r="AL368" s="180">
        <f>VLOOKUP($A368,'Key Inputs_BY Techs'!$B$198:$AJ$207,AL$310,FALSE)/8760</f>
        <v>7.7134050880626234E-2</v>
      </c>
      <c r="AM368" s="180">
        <f>VLOOKUP($A368,'Key Inputs_BY Techs'!$B$198:$AJ$207,AM$310,FALSE)/8760</f>
        <v>0.2704990215264188</v>
      </c>
      <c r="AN368" s="180">
        <f>VLOOKUP($A368,'Key Inputs_BY Techs'!$B$198:$AJ$207,AN$310,FALSE)/8760</f>
        <v>6.5793542074363998E-2</v>
      </c>
      <c r="AO368" s="180">
        <f>VLOOKUP($A368,'Key Inputs_BY Techs'!$B$198:$AJ$207,AO$310,FALSE)/8760</f>
        <v>0.62478767123287671</v>
      </c>
      <c r="AP368" s="180">
        <f>VLOOKUP($A368,'Key Inputs_BY Techs'!$B$198:$AJ$207,AP$310,FALSE)/8760</f>
        <v>2.9187866927592957E-3</v>
      </c>
      <c r="AQ368" s="180">
        <f>VLOOKUP($A368,'Key Inputs_BY Techs'!$B$198:$AJ$207,AQ$310,FALSE)/8760</f>
        <v>0.11199217221135031</v>
      </c>
      <c r="AR368" s="180">
        <f>VLOOKUP($A368,'Key Inputs_BY Techs'!$B$198:$AJ$207,AR$310,FALSE)/8760</f>
        <v>0.15449119373776909</v>
      </c>
      <c r="AS368" s="119"/>
      <c r="AT368" s="114"/>
      <c r="AV368" s="126"/>
      <c r="BF368" s="114"/>
      <c r="BG368" s="122"/>
      <c r="BH368" s="122"/>
    </row>
    <row r="369" spans="1:60" x14ac:dyDescent="0.25">
      <c r="A369" s="258" t="str">
        <f t="shared" ref="A369:G373" si="73">A64</f>
        <v>Cooking</v>
      </c>
      <c r="B369" s="258" t="str">
        <f t="shared" si="73"/>
        <v>R-CK</v>
      </c>
      <c r="C369" s="258" t="str">
        <f t="shared" si="73"/>
        <v>Electricity</v>
      </c>
      <c r="D369" s="258" t="str">
        <f t="shared" si="73"/>
        <v>RSDELC</v>
      </c>
      <c r="E369" s="268" t="str">
        <f t="shared" si="73"/>
        <v>RSDELC</v>
      </c>
      <c r="F369" s="258" t="str">
        <f t="shared" si="73"/>
        <v>Cooking system (Ord.)</v>
      </c>
      <c r="G369" s="263" t="str">
        <f t="shared" si="73"/>
        <v>01</v>
      </c>
      <c r="H369" s="250"/>
      <c r="I369" s="250"/>
      <c r="K369" s="203" t="str">
        <f>IF('Commodities &amp; Processes'!L$113="",'Commodities &amp; Processes'!K$113,'Commodities &amp; Processes'!L$113)</f>
        <v>R-CK_ELC01</v>
      </c>
      <c r="L369" s="112" t="str">
        <f>IF('Commodities &amp; Processes'!M$113="","",'Commodities &amp; Processes'!M$113)</f>
        <v>RSD Cooking technology: Electricity Cooking system (Ord.) -New</v>
      </c>
      <c r="M369" s="112"/>
      <c r="N369" s="112"/>
      <c r="O369" s="112" t="s">
        <v>313</v>
      </c>
      <c r="P369" s="112" t="s">
        <v>174</v>
      </c>
      <c r="Q369" s="184">
        <f>VLOOKUP($A369,'Key Inputs_BY Techs'!$B$198:$AJ$207,Q$310,FALSE)/8760</f>
        <v>8.3333333333333329E-2</v>
      </c>
      <c r="R369" s="184">
        <f>VLOOKUP($A369,'Key Inputs_BY Techs'!$B$198:$AJ$207,R$310,FALSE)/8760</f>
        <v>8.3333333333333329E-2</v>
      </c>
      <c r="S369" s="184">
        <f>VLOOKUP($A369,'Key Inputs_BY Techs'!$B$198:$AJ$207,S$310,FALSE)/8760</f>
        <v>8.3333333333333329E-2</v>
      </c>
      <c r="T369" s="184">
        <f>VLOOKUP($A369,'Key Inputs_BY Techs'!$B$198:$AJ$207,T$310,FALSE)/8760</f>
        <v>8.3333333333333329E-2</v>
      </c>
      <c r="U369" s="184">
        <f>VLOOKUP($A369,'Key Inputs_BY Techs'!$B$198:$AJ$207,U$310,FALSE)/8760</f>
        <v>8.3333333333333329E-2</v>
      </c>
      <c r="V369" s="184">
        <f>VLOOKUP($A369,'Key Inputs_BY Techs'!$B$198:$AJ$207,V$310,FALSE)/8760</f>
        <v>8.3333333333333329E-2</v>
      </c>
      <c r="W369" s="184">
        <f>VLOOKUP($A369,'Key Inputs_BY Techs'!$B$198:$AJ$207,W$310,FALSE)/8760</f>
        <v>8.3333333333333329E-2</v>
      </c>
      <c r="X369" s="184">
        <f>VLOOKUP($A369,'Key Inputs_BY Techs'!$B$198:$AJ$207,X$310,FALSE)/8760</f>
        <v>8.3333333333333329E-2</v>
      </c>
      <c r="Y369" s="184">
        <f>VLOOKUP($A369,'Key Inputs_BY Techs'!$B$198:$AJ$207,Y$310,FALSE)/8760</f>
        <v>8.3333333333333329E-2</v>
      </c>
      <c r="Z369" s="184">
        <f>VLOOKUP($A369,'Key Inputs_BY Techs'!$B$198:$AJ$207,Z$310,FALSE)/8760</f>
        <v>8.3333333333333329E-2</v>
      </c>
      <c r="AA369" s="184">
        <f>VLOOKUP($A369,'Key Inputs_BY Techs'!$B$198:$AJ$207,AA$310,FALSE)/8760</f>
        <v>8.3333333333333329E-2</v>
      </c>
      <c r="AB369" s="184">
        <f>VLOOKUP($A369,'Key Inputs_BY Techs'!$B$198:$AJ$207,AB$310,FALSE)/8760</f>
        <v>8.3333333333333329E-2</v>
      </c>
      <c r="AC369" s="184">
        <f>VLOOKUP($A369,'Key Inputs_BY Techs'!$B$198:$AJ$207,AC$310,FALSE)/8760</f>
        <v>8.3333333333333329E-2</v>
      </c>
      <c r="AD369" s="184">
        <f>VLOOKUP($A369,'Key Inputs_BY Techs'!$B$198:$AJ$207,AD$310,FALSE)/8760</f>
        <v>8.3333333333333329E-2</v>
      </c>
      <c r="AE369" s="184">
        <f>VLOOKUP($A369,'Key Inputs_BY Techs'!$B$198:$AJ$207,AE$310,FALSE)/8760</f>
        <v>8.3333333333333329E-2</v>
      </c>
      <c r="AF369" s="184">
        <f>VLOOKUP($A369,'Key Inputs_BY Techs'!$B$198:$AJ$207,AF$310,FALSE)/8760</f>
        <v>8.3333333333333329E-2</v>
      </c>
      <c r="AG369" s="184">
        <f>VLOOKUP($A369,'Key Inputs_BY Techs'!$B$198:$AJ$207,AG$310,FALSE)/8760</f>
        <v>8.3333333333333329E-2</v>
      </c>
      <c r="AH369" s="184">
        <f>VLOOKUP($A369,'Key Inputs_BY Techs'!$B$198:$AJ$207,AH$310,FALSE)/8760</f>
        <v>8.3333333333333329E-2</v>
      </c>
      <c r="AI369" s="184">
        <f>VLOOKUP($A369,'Key Inputs_BY Techs'!$B$198:$AJ$207,AI$310,FALSE)/8760</f>
        <v>8.3333333333333329E-2</v>
      </c>
      <c r="AJ369" s="184">
        <f>VLOOKUP($A369,'Key Inputs_BY Techs'!$B$198:$AJ$207,AJ$310,FALSE)/8760</f>
        <v>8.3333333333333329E-2</v>
      </c>
      <c r="AK369" s="184">
        <f>VLOOKUP($A369,'Key Inputs_BY Techs'!$B$198:$AJ$207,AK$310,FALSE)/8760</f>
        <v>8.3333333333333329E-2</v>
      </c>
      <c r="AL369" s="184">
        <f>VLOOKUP($A369,'Key Inputs_BY Techs'!$B$198:$AJ$207,AL$310,FALSE)/8760</f>
        <v>8.3333333333333329E-2</v>
      </c>
      <c r="AM369" s="184">
        <f>VLOOKUP($A369,'Key Inputs_BY Techs'!$B$198:$AJ$207,AM$310,FALSE)/8760</f>
        <v>8.3333333333333329E-2</v>
      </c>
      <c r="AN369" s="184">
        <f>VLOOKUP($A369,'Key Inputs_BY Techs'!$B$198:$AJ$207,AN$310,FALSE)/8760</f>
        <v>8.3333333333333329E-2</v>
      </c>
      <c r="AO369" s="184">
        <f>VLOOKUP($A369,'Key Inputs_BY Techs'!$B$198:$AJ$207,AO$310,FALSE)/8760</f>
        <v>8.3333333333333329E-2</v>
      </c>
      <c r="AP369" s="184">
        <f>VLOOKUP($A369,'Key Inputs_BY Techs'!$B$198:$AJ$207,AP$310,FALSE)/8760</f>
        <v>8.3333333333333329E-2</v>
      </c>
      <c r="AQ369" s="184">
        <f>VLOOKUP($A369,'Key Inputs_BY Techs'!$B$198:$AJ$207,AQ$310,FALSE)/8760</f>
        <v>8.3333333333333329E-2</v>
      </c>
      <c r="AR369" s="184">
        <f>VLOOKUP($A369,'Key Inputs_BY Techs'!$B$198:$AJ$207,AR$310,FALSE)/8760</f>
        <v>8.3333333333333329E-2</v>
      </c>
      <c r="AS369" s="119"/>
      <c r="AT369" s="114"/>
      <c r="AV369" s="126"/>
      <c r="BF369" s="114"/>
      <c r="BG369" s="122"/>
      <c r="BH369" s="122"/>
    </row>
    <row r="370" spans="1:60" x14ac:dyDescent="0.25">
      <c r="A370" s="245" t="str">
        <f t="shared" si="73"/>
        <v>Cooking</v>
      </c>
      <c r="B370" s="245" t="str">
        <f t="shared" si="73"/>
        <v>R-CK</v>
      </c>
      <c r="C370" s="245" t="str">
        <f t="shared" si="73"/>
        <v>Natural gas,Biogas</v>
      </c>
      <c r="D370" s="245" t="str">
        <f t="shared" si="73"/>
        <v>RSDGAS,RSDBGS,RSDH2B,RSDEFUM</v>
      </c>
      <c r="E370" s="249" t="str">
        <f t="shared" si="73"/>
        <v>RSDGAS</v>
      </c>
      <c r="F370" s="245" t="str">
        <f t="shared" si="73"/>
        <v>Cooking system (Ord.)</v>
      </c>
      <c r="G370" s="250" t="str">
        <f t="shared" si="73"/>
        <v>01</v>
      </c>
      <c r="H370" s="250"/>
      <c r="I370" s="250"/>
      <c r="K370" s="204" t="str">
        <f>IF('Commodities &amp; Processes'!L$114="",'Commodities &amp; Processes'!K$114,'Commodities &amp; Processes'!L$114)</f>
        <v>R-CK_GAS01</v>
      </c>
      <c r="L370" s="109" t="str">
        <f>IF('Commodities &amp; Processes'!M$114="","",'Commodities &amp; Processes'!M$114)</f>
        <v>RSD Cooking technology: Natural gas,Biogas Cooking system (Ord.) -New</v>
      </c>
      <c r="O370" s="109" t="s">
        <v>313</v>
      </c>
      <c r="P370" s="109" t="s">
        <v>174</v>
      </c>
      <c r="Q370" s="180">
        <f>VLOOKUP($A370,'Key Inputs_BY Techs'!$B$198:$AJ$207,Q$310,FALSE)/8760</f>
        <v>8.3333333333333329E-2</v>
      </c>
      <c r="R370" s="180">
        <f>VLOOKUP($A370,'Key Inputs_BY Techs'!$B$198:$AJ$207,R$310,FALSE)/8760</f>
        <v>8.3333333333333329E-2</v>
      </c>
      <c r="S370" s="180">
        <f>VLOOKUP($A370,'Key Inputs_BY Techs'!$B$198:$AJ$207,S$310,FALSE)/8760</f>
        <v>8.3333333333333329E-2</v>
      </c>
      <c r="T370" s="180">
        <f>VLOOKUP($A370,'Key Inputs_BY Techs'!$B$198:$AJ$207,T$310,FALSE)/8760</f>
        <v>8.3333333333333329E-2</v>
      </c>
      <c r="U370" s="180">
        <f>VLOOKUP($A370,'Key Inputs_BY Techs'!$B$198:$AJ$207,U$310,FALSE)/8760</f>
        <v>8.3333333333333329E-2</v>
      </c>
      <c r="V370" s="180">
        <f>VLOOKUP($A370,'Key Inputs_BY Techs'!$B$198:$AJ$207,V$310,FALSE)/8760</f>
        <v>8.3333333333333329E-2</v>
      </c>
      <c r="W370" s="180">
        <f>VLOOKUP($A370,'Key Inputs_BY Techs'!$B$198:$AJ$207,W$310,FALSE)/8760</f>
        <v>8.3333333333333329E-2</v>
      </c>
      <c r="X370" s="180">
        <f>VLOOKUP($A370,'Key Inputs_BY Techs'!$B$198:$AJ$207,X$310,FALSE)/8760</f>
        <v>8.3333333333333329E-2</v>
      </c>
      <c r="Y370" s="180">
        <f>VLOOKUP($A370,'Key Inputs_BY Techs'!$B$198:$AJ$207,Y$310,FALSE)/8760</f>
        <v>8.3333333333333329E-2</v>
      </c>
      <c r="Z370" s="180">
        <f>VLOOKUP($A370,'Key Inputs_BY Techs'!$B$198:$AJ$207,Z$310,FALSE)/8760</f>
        <v>8.3333333333333329E-2</v>
      </c>
      <c r="AA370" s="180">
        <f>VLOOKUP($A370,'Key Inputs_BY Techs'!$B$198:$AJ$207,AA$310,FALSE)/8760</f>
        <v>8.3333333333333329E-2</v>
      </c>
      <c r="AB370" s="180">
        <f>VLOOKUP($A370,'Key Inputs_BY Techs'!$B$198:$AJ$207,AB$310,FALSE)/8760</f>
        <v>8.3333333333333329E-2</v>
      </c>
      <c r="AC370" s="180">
        <f>VLOOKUP($A370,'Key Inputs_BY Techs'!$B$198:$AJ$207,AC$310,FALSE)/8760</f>
        <v>8.3333333333333329E-2</v>
      </c>
      <c r="AD370" s="180">
        <f>VLOOKUP($A370,'Key Inputs_BY Techs'!$B$198:$AJ$207,AD$310,FALSE)/8760</f>
        <v>8.3333333333333329E-2</v>
      </c>
      <c r="AE370" s="180">
        <f>VLOOKUP($A370,'Key Inputs_BY Techs'!$B$198:$AJ$207,AE$310,FALSE)/8760</f>
        <v>8.3333333333333329E-2</v>
      </c>
      <c r="AF370" s="180">
        <f>VLOOKUP($A370,'Key Inputs_BY Techs'!$B$198:$AJ$207,AF$310,FALSE)/8760</f>
        <v>8.3333333333333329E-2</v>
      </c>
      <c r="AG370" s="180">
        <f>VLOOKUP($A370,'Key Inputs_BY Techs'!$B$198:$AJ$207,AG$310,FALSE)/8760</f>
        <v>8.3333333333333329E-2</v>
      </c>
      <c r="AH370" s="180">
        <f>VLOOKUP($A370,'Key Inputs_BY Techs'!$B$198:$AJ$207,AH$310,FALSE)/8760</f>
        <v>8.3333333333333329E-2</v>
      </c>
      <c r="AI370" s="180">
        <f>VLOOKUP($A370,'Key Inputs_BY Techs'!$B$198:$AJ$207,AI$310,FALSE)/8760</f>
        <v>8.3333333333333329E-2</v>
      </c>
      <c r="AJ370" s="180">
        <f>VLOOKUP($A370,'Key Inputs_BY Techs'!$B$198:$AJ$207,AJ$310,FALSE)/8760</f>
        <v>8.3333333333333329E-2</v>
      </c>
      <c r="AK370" s="180">
        <f>VLOOKUP($A370,'Key Inputs_BY Techs'!$B$198:$AJ$207,AK$310,FALSE)/8760</f>
        <v>8.3333333333333329E-2</v>
      </c>
      <c r="AL370" s="180">
        <f>VLOOKUP($A370,'Key Inputs_BY Techs'!$B$198:$AJ$207,AL$310,FALSE)/8760</f>
        <v>8.3333333333333329E-2</v>
      </c>
      <c r="AM370" s="180">
        <f>VLOOKUP($A370,'Key Inputs_BY Techs'!$B$198:$AJ$207,AM$310,FALSE)/8760</f>
        <v>8.3333333333333329E-2</v>
      </c>
      <c r="AN370" s="180">
        <f>VLOOKUP($A370,'Key Inputs_BY Techs'!$B$198:$AJ$207,AN$310,FALSE)/8760</f>
        <v>8.3333333333333329E-2</v>
      </c>
      <c r="AO370" s="180">
        <f>VLOOKUP($A370,'Key Inputs_BY Techs'!$B$198:$AJ$207,AO$310,FALSE)/8760</f>
        <v>8.3333333333333329E-2</v>
      </c>
      <c r="AP370" s="180">
        <f>VLOOKUP($A370,'Key Inputs_BY Techs'!$B$198:$AJ$207,AP$310,FALSE)/8760</f>
        <v>8.3333333333333329E-2</v>
      </c>
      <c r="AQ370" s="180">
        <f>VLOOKUP($A370,'Key Inputs_BY Techs'!$B$198:$AJ$207,AQ$310,FALSE)/8760</f>
        <v>8.3333333333333329E-2</v>
      </c>
      <c r="AR370" s="180">
        <f>VLOOKUP($A370,'Key Inputs_BY Techs'!$B$198:$AJ$207,AR$310,FALSE)/8760</f>
        <v>8.3333333333333329E-2</v>
      </c>
      <c r="AS370" s="119"/>
      <c r="AT370" s="114"/>
      <c r="AV370" s="126"/>
      <c r="BF370" s="114"/>
      <c r="BG370" s="122"/>
      <c r="BH370" s="122"/>
    </row>
    <row r="371" spans="1:60" x14ac:dyDescent="0.25">
      <c r="A371" s="245" t="str">
        <f t="shared" si="73"/>
        <v>Cooking</v>
      </c>
      <c r="B371" s="245" t="str">
        <f t="shared" si="73"/>
        <v>R-CK</v>
      </c>
      <c r="C371" s="245" t="str">
        <f t="shared" si="73"/>
        <v>LPG</v>
      </c>
      <c r="D371" s="245" t="str">
        <f t="shared" si="73"/>
        <v>RSDLPG</v>
      </c>
      <c r="E371" s="249" t="str">
        <f t="shared" si="73"/>
        <v>RSDLPG</v>
      </c>
      <c r="F371" s="245" t="str">
        <f t="shared" si="73"/>
        <v>Cooking system (Ord.)</v>
      </c>
      <c r="G371" s="259" t="str">
        <f t="shared" si="73"/>
        <v>01</v>
      </c>
      <c r="H371" s="259"/>
      <c r="I371" s="259"/>
      <c r="K371" s="204" t="str">
        <f>IF('Commodities &amp; Processes'!L$115="",'Commodities &amp; Processes'!K$115,'Commodities &amp; Processes'!L$115)</f>
        <v>R-CK_LPG01</v>
      </c>
      <c r="L371" s="109" t="str">
        <f>IF('Commodities &amp; Processes'!M$115="","",'Commodities &amp; Processes'!M$115)</f>
        <v>RSD Cooking technology: LPG Cooking system (Ord.) -New</v>
      </c>
      <c r="O371" s="109" t="s">
        <v>313</v>
      </c>
      <c r="P371" s="109" t="s">
        <v>174</v>
      </c>
      <c r="Q371" s="180">
        <f>VLOOKUP($A371,'Key Inputs_BY Techs'!$B$198:$AJ$207,Q$310,FALSE)/8760</f>
        <v>8.3333333333333329E-2</v>
      </c>
      <c r="R371" s="180">
        <f>VLOOKUP($A371,'Key Inputs_BY Techs'!$B$198:$AJ$207,R$310,FALSE)/8760</f>
        <v>8.3333333333333329E-2</v>
      </c>
      <c r="S371" s="180">
        <f>VLOOKUP($A371,'Key Inputs_BY Techs'!$B$198:$AJ$207,S$310,FALSE)/8760</f>
        <v>8.3333333333333329E-2</v>
      </c>
      <c r="T371" s="180">
        <f>VLOOKUP($A371,'Key Inputs_BY Techs'!$B$198:$AJ$207,T$310,FALSE)/8760</f>
        <v>8.3333333333333329E-2</v>
      </c>
      <c r="U371" s="180">
        <f>VLOOKUP($A371,'Key Inputs_BY Techs'!$B$198:$AJ$207,U$310,FALSE)/8760</f>
        <v>8.3333333333333329E-2</v>
      </c>
      <c r="V371" s="180">
        <f>VLOOKUP($A371,'Key Inputs_BY Techs'!$B$198:$AJ$207,V$310,FALSE)/8760</f>
        <v>8.3333333333333329E-2</v>
      </c>
      <c r="W371" s="180">
        <f>VLOOKUP($A371,'Key Inputs_BY Techs'!$B$198:$AJ$207,W$310,FALSE)/8760</f>
        <v>8.3333333333333329E-2</v>
      </c>
      <c r="X371" s="180">
        <f>VLOOKUP($A371,'Key Inputs_BY Techs'!$B$198:$AJ$207,X$310,FALSE)/8760</f>
        <v>8.3333333333333329E-2</v>
      </c>
      <c r="Y371" s="180">
        <f>VLOOKUP($A371,'Key Inputs_BY Techs'!$B$198:$AJ$207,Y$310,FALSE)/8760</f>
        <v>8.3333333333333329E-2</v>
      </c>
      <c r="Z371" s="180">
        <f>VLOOKUP($A371,'Key Inputs_BY Techs'!$B$198:$AJ$207,Z$310,FALSE)/8760</f>
        <v>8.3333333333333329E-2</v>
      </c>
      <c r="AA371" s="180">
        <f>VLOOKUP($A371,'Key Inputs_BY Techs'!$B$198:$AJ$207,AA$310,FALSE)/8760</f>
        <v>8.3333333333333329E-2</v>
      </c>
      <c r="AB371" s="180">
        <f>VLOOKUP($A371,'Key Inputs_BY Techs'!$B$198:$AJ$207,AB$310,FALSE)/8760</f>
        <v>8.3333333333333329E-2</v>
      </c>
      <c r="AC371" s="180">
        <f>VLOOKUP($A371,'Key Inputs_BY Techs'!$B$198:$AJ$207,AC$310,FALSE)/8760</f>
        <v>8.3333333333333329E-2</v>
      </c>
      <c r="AD371" s="180">
        <f>VLOOKUP($A371,'Key Inputs_BY Techs'!$B$198:$AJ$207,AD$310,FALSE)/8760</f>
        <v>8.3333333333333329E-2</v>
      </c>
      <c r="AE371" s="180">
        <f>VLOOKUP($A371,'Key Inputs_BY Techs'!$B$198:$AJ$207,AE$310,FALSE)/8760</f>
        <v>8.3333333333333329E-2</v>
      </c>
      <c r="AF371" s="180">
        <f>VLOOKUP($A371,'Key Inputs_BY Techs'!$B$198:$AJ$207,AF$310,FALSE)/8760</f>
        <v>8.3333333333333329E-2</v>
      </c>
      <c r="AG371" s="180">
        <f>VLOOKUP($A371,'Key Inputs_BY Techs'!$B$198:$AJ$207,AG$310,FALSE)/8760</f>
        <v>8.3333333333333329E-2</v>
      </c>
      <c r="AH371" s="180">
        <f>VLOOKUP($A371,'Key Inputs_BY Techs'!$B$198:$AJ$207,AH$310,FALSE)/8760</f>
        <v>8.3333333333333329E-2</v>
      </c>
      <c r="AI371" s="180">
        <f>VLOOKUP($A371,'Key Inputs_BY Techs'!$B$198:$AJ$207,AI$310,FALSE)/8760</f>
        <v>8.3333333333333329E-2</v>
      </c>
      <c r="AJ371" s="180">
        <f>VLOOKUP($A371,'Key Inputs_BY Techs'!$B$198:$AJ$207,AJ$310,FALSE)/8760</f>
        <v>8.3333333333333329E-2</v>
      </c>
      <c r="AK371" s="180">
        <f>VLOOKUP($A371,'Key Inputs_BY Techs'!$B$198:$AJ$207,AK$310,FALSE)/8760</f>
        <v>8.3333333333333329E-2</v>
      </c>
      <c r="AL371" s="180">
        <f>VLOOKUP($A371,'Key Inputs_BY Techs'!$B$198:$AJ$207,AL$310,FALSE)/8760</f>
        <v>8.3333333333333329E-2</v>
      </c>
      <c r="AM371" s="180">
        <f>VLOOKUP($A371,'Key Inputs_BY Techs'!$B$198:$AJ$207,AM$310,FALSE)/8760</f>
        <v>8.3333333333333329E-2</v>
      </c>
      <c r="AN371" s="180">
        <f>VLOOKUP($A371,'Key Inputs_BY Techs'!$B$198:$AJ$207,AN$310,FALSE)/8760</f>
        <v>8.3333333333333329E-2</v>
      </c>
      <c r="AO371" s="180">
        <f>VLOOKUP($A371,'Key Inputs_BY Techs'!$B$198:$AJ$207,AO$310,FALSE)/8760</f>
        <v>8.3333333333333329E-2</v>
      </c>
      <c r="AP371" s="180">
        <f>VLOOKUP($A371,'Key Inputs_BY Techs'!$B$198:$AJ$207,AP$310,FALSE)/8760</f>
        <v>8.3333333333333329E-2</v>
      </c>
      <c r="AQ371" s="180">
        <f>VLOOKUP($A371,'Key Inputs_BY Techs'!$B$198:$AJ$207,AQ$310,FALSE)/8760</f>
        <v>8.3333333333333329E-2</v>
      </c>
      <c r="AR371" s="180">
        <f>VLOOKUP($A371,'Key Inputs_BY Techs'!$B$198:$AJ$207,AR$310,FALSE)/8760</f>
        <v>8.3333333333333329E-2</v>
      </c>
      <c r="AS371" s="119"/>
      <c r="AT371" s="114"/>
      <c r="AV371" s="126"/>
      <c r="BF371" s="114"/>
      <c r="BG371" s="122"/>
      <c r="BH371" s="122"/>
    </row>
    <row r="372" spans="1:60" x14ac:dyDescent="0.25">
      <c r="A372" s="245" t="str">
        <f t="shared" si="73"/>
        <v>Cooking</v>
      </c>
      <c r="B372" s="245" t="str">
        <f t="shared" si="73"/>
        <v>R-CK</v>
      </c>
      <c r="C372" s="255" t="str">
        <f t="shared" si="73"/>
        <v>Biomass</v>
      </c>
      <c r="D372" s="255" t="str">
        <f t="shared" si="73"/>
        <v>RSDBIO</v>
      </c>
      <c r="E372" s="249" t="str">
        <f t="shared" si="73"/>
        <v>RSDBIO</v>
      </c>
      <c r="F372" s="245" t="str">
        <f t="shared" si="73"/>
        <v>Cooking system (Ord.)</v>
      </c>
      <c r="G372" s="259" t="str">
        <f t="shared" si="73"/>
        <v>01</v>
      </c>
      <c r="H372" s="259"/>
      <c r="I372" s="259"/>
      <c r="K372" s="204" t="str">
        <f>IF('Commodities &amp; Processes'!L$117="",'Commodities &amp; Processes'!K$117,'Commodities &amp; Processes'!L$117)</f>
        <v>R-CK_COA01</v>
      </c>
      <c r="L372" s="109" t="str">
        <f>IF('Commodities &amp; Processes'!M$116="","",'Commodities &amp; Processes'!M$116)</f>
        <v>RSD Cooking technology: Biomass Cooking system (Ord.) -New</v>
      </c>
      <c r="O372" s="109" t="s">
        <v>313</v>
      </c>
      <c r="P372" s="109" t="s">
        <v>174</v>
      </c>
      <c r="Q372" s="180">
        <f>VLOOKUP($A372,'Key Inputs_BY Techs'!$B$198:$AJ$207,Q$310,FALSE)/8760</f>
        <v>8.3333333333333329E-2</v>
      </c>
      <c r="R372" s="180">
        <f>VLOOKUP($A372,'Key Inputs_BY Techs'!$B$198:$AJ$207,R$310,FALSE)/8760</f>
        <v>8.3333333333333329E-2</v>
      </c>
      <c r="S372" s="180">
        <f>VLOOKUP($A372,'Key Inputs_BY Techs'!$B$198:$AJ$207,S$310,FALSE)/8760</f>
        <v>8.3333333333333329E-2</v>
      </c>
      <c r="T372" s="180">
        <f>VLOOKUP($A372,'Key Inputs_BY Techs'!$B$198:$AJ$207,T$310,FALSE)/8760</f>
        <v>8.3333333333333329E-2</v>
      </c>
      <c r="U372" s="180">
        <f>VLOOKUP($A372,'Key Inputs_BY Techs'!$B$198:$AJ$207,U$310,FALSE)/8760</f>
        <v>8.3333333333333329E-2</v>
      </c>
      <c r="V372" s="180">
        <f>VLOOKUP($A372,'Key Inputs_BY Techs'!$B$198:$AJ$207,V$310,FALSE)/8760</f>
        <v>8.3333333333333329E-2</v>
      </c>
      <c r="W372" s="180">
        <f>VLOOKUP($A372,'Key Inputs_BY Techs'!$B$198:$AJ$207,W$310,FALSE)/8760</f>
        <v>8.3333333333333329E-2</v>
      </c>
      <c r="X372" s="180">
        <f>VLOOKUP($A372,'Key Inputs_BY Techs'!$B$198:$AJ$207,X$310,FALSE)/8760</f>
        <v>8.3333333333333329E-2</v>
      </c>
      <c r="Y372" s="180">
        <f>VLOOKUP($A372,'Key Inputs_BY Techs'!$B$198:$AJ$207,Y$310,FALSE)/8760</f>
        <v>8.3333333333333329E-2</v>
      </c>
      <c r="Z372" s="180">
        <f>VLOOKUP($A372,'Key Inputs_BY Techs'!$B$198:$AJ$207,Z$310,FALSE)/8760</f>
        <v>8.3333333333333329E-2</v>
      </c>
      <c r="AA372" s="180">
        <f>VLOOKUP($A372,'Key Inputs_BY Techs'!$B$198:$AJ$207,AA$310,FALSE)/8760</f>
        <v>8.3333333333333329E-2</v>
      </c>
      <c r="AB372" s="180">
        <f>VLOOKUP($A372,'Key Inputs_BY Techs'!$B$198:$AJ$207,AB$310,FALSE)/8760</f>
        <v>8.3333333333333329E-2</v>
      </c>
      <c r="AC372" s="180">
        <f>VLOOKUP($A372,'Key Inputs_BY Techs'!$B$198:$AJ$207,AC$310,FALSE)/8760</f>
        <v>8.3333333333333329E-2</v>
      </c>
      <c r="AD372" s="180">
        <f>VLOOKUP($A372,'Key Inputs_BY Techs'!$B$198:$AJ$207,AD$310,FALSE)/8760</f>
        <v>8.3333333333333329E-2</v>
      </c>
      <c r="AE372" s="180">
        <f>VLOOKUP($A372,'Key Inputs_BY Techs'!$B$198:$AJ$207,AE$310,FALSE)/8760</f>
        <v>8.3333333333333329E-2</v>
      </c>
      <c r="AF372" s="180">
        <f>VLOOKUP($A372,'Key Inputs_BY Techs'!$B$198:$AJ$207,AF$310,FALSE)/8760</f>
        <v>8.3333333333333329E-2</v>
      </c>
      <c r="AG372" s="180">
        <f>VLOOKUP($A372,'Key Inputs_BY Techs'!$B$198:$AJ$207,AG$310,FALSE)/8760</f>
        <v>8.3333333333333329E-2</v>
      </c>
      <c r="AH372" s="180">
        <f>VLOOKUP($A372,'Key Inputs_BY Techs'!$B$198:$AJ$207,AH$310,FALSE)/8760</f>
        <v>8.3333333333333329E-2</v>
      </c>
      <c r="AI372" s="180">
        <f>VLOOKUP($A372,'Key Inputs_BY Techs'!$B$198:$AJ$207,AI$310,FALSE)/8760</f>
        <v>8.3333333333333329E-2</v>
      </c>
      <c r="AJ372" s="180">
        <f>VLOOKUP($A372,'Key Inputs_BY Techs'!$B$198:$AJ$207,AJ$310,FALSE)/8760</f>
        <v>8.3333333333333329E-2</v>
      </c>
      <c r="AK372" s="180">
        <f>VLOOKUP($A372,'Key Inputs_BY Techs'!$B$198:$AJ$207,AK$310,FALSE)/8760</f>
        <v>8.3333333333333329E-2</v>
      </c>
      <c r="AL372" s="180">
        <f>VLOOKUP($A372,'Key Inputs_BY Techs'!$B$198:$AJ$207,AL$310,FALSE)/8760</f>
        <v>8.3333333333333329E-2</v>
      </c>
      <c r="AM372" s="180">
        <f>VLOOKUP($A372,'Key Inputs_BY Techs'!$B$198:$AJ$207,AM$310,FALSE)/8760</f>
        <v>8.3333333333333329E-2</v>
      </c>
      <c r="AN372" s="180">
        <f>VLOOKUP($A372,'Key Inputs_BY Techs'!$B$198:$AJ$207,AN$310,FALSE)/8760</f>
        <v>8.3333333333333329E-2</v>
      </c>
      <c r="AO372" s="180">
        <f>VLOOKUP($A372,'Key Inputs_BY Techs'!$B$198:$AJ$207,AO$310,FALSE)/8760</f>
        <v>8.3333333333333329E-2</v>
      </c>
      <c r="AP372" s="180">
        <f>VLOOKUP($A372,'Key Inputs_BY Techs'!$B$198:$AJ$207,AP$310,FALSE)/8760</f>
        <v>8.3333333333333329E-2</v>
      </c>
      <c r="AQ372" s="180">
        <f>VLOOKUP($A372,'Key Inputs_BY Techs'!$B$198:$AJ$207,AQ$310,FALSE)/8760</f>
        <v>8.3333333333333329E-2</v>
      </c>
      <c r="AR372" s="180">
        <f>VLOOKUP($A372,'Key Inputs_BY Techs'!$B$198:$AJ$207,AR$310,FALSE)/8760</f>
        <v>8.3333333333333329E-2</v>
      </c>
      <c r="AS372" s="119"/>
      <c r="AT372" s="114"/>
      <c r="AV372" s="126"/>
      <c r="BF372" s="114"/>
      <c r="BG372" s="122"/>
      <c r="BH372" s="122"/>
    </row>
    <row r="373" spans="1:60" x14ac:dyDescent="0.25">
      <c r="A373" s="245" t="str">
        <f t="shared" si="73"/>
        <v>Cooking</v>
      </c>
      <c r="B373" s="245" t="str">
        <f t="shared" si="73"/>
        <v>R-CK</v>
      </c>
      <c r="C373" s="255" t="str">
        <f t="shared" si="73"/>
        <v>Coal</v>
      </c>
      <c r="D373" s="255" t="str">
        <f t="shared" si="73"/>
        <v>RSDCOA</v>
      </c>
      <c r="E373" s="249" t="str">
        <f t="shared" si="73"/>
        <v>RSDCOA</v>
      </c>
      <c r="F373" s="245" t="str">
        <f t="shared" si="73"/>
        <v>Cooking system (Ord.)</v>
      </c>
      <c r="G373" s="259" t="str">
        <f t="shared" si="73"/>
        <v>01</v>
      </c>
      <c r="H373" s="259"/>
      <c r="I373" s="259"/>
      <c r="K373" s="204" t="str">
        <f>IF('Commodities &amp; Processes'!L$117="",'Commodities &amp; Processes'!K$117,'Commodities &amp; Processes'!L$117)</f>
        <v>R-CK_COA01</v>
      </c>
      <c r="L373" s="109" t="str">
        <f>IF('Commodities &amp; Processes'!M$117="","",'Commodities &amp; Processes'!M$117)</f>
        <v>RSD Cooking technology: Coal Cooking system (Ord.) -New</v>
      </c>
      <c r="O373" s="109" t="s">
        <v>313</v>
      </c>
      <c r="P373" s="109" t="s">
        <v>174</v>
      </c>
      <c r="Q373" s="180">
        <f>VLOOKUP($A373,'Key Inputs_BY Techs'!$B$198:$AJ$207,Q$310,FALSE)/8760</f>
        <v>8.3333333333333329E-2</v>
      </c>
      <c r="R373" s="180">
        <f>VLOOKUP($A373,'Key Inputs_BY Techs'!$B$198:$AJ$207,R$310,FALSE)/8760</f>
        <v>8.3333333333333329E-2</v>
      </c>
      <c r="S373" s="180">
        <f>VLOOKUP($A373,'Key Inputs_BY Techs'!$B$198:$AJ$207,S$310,FALSE)/8760</f>
        <v>8.3333333333333329E-2</v>
      </c>
      <c r="T373" s="180">
        <f>VLOOKUP($A373,'Key Inputs_BY Techs'!$B$198:$AJ$207,T$310,FALSE)/8760</f>
        <v>8.3333333333333329E-2</v>
      </c>
      <c r="U373" s="180">
        <f>VLOOKUP($A373,'Key Inputs_BY Techs'!$B$198:$AJ$207,U$310,FALSE)/8760</f>
        <v>8.3333333333333329E-2</v>
      </c>
      <c r="V373" s="180">
        <f>VLOOKUP($A373,'Key Inputs_BY Techs'!$B$198:$AJ$207,V$310,FALSE)/8760</f>
        <v>8.3333333333333329E-2</v>
      </c>
      <c r="W373" s="180">
        <f>VLOOKUP($A373,'Key Inputs_BY Techs'!$B$198:$AJ$207,W$310,FALSE)/8760</f>
        <v>8.3333333333333329E-2</v>
      </c>
      <c r="X373" s="180">
        <f>VLOOKUP($A373,'Key Inputs_BY Techs'!$B$198:$AJ$207,X$310,FALSE)/8760</f>
        <v>8.3333333333333329E-2</v>
      </c>
      <c r="Y373" s="180">
        <f>VLOOKUP($A373,'Key Inputs_BY Techs'!$B$198:$AJ$207,Y$310,FALSE)/8760</f>
        <v>8.3333333333333329E-2</v>
      </c>
      <c r="Z373" s="180">
        <f>VLOOKUP($A373,'Key Inputs_BY Techs'!$B$198:$AJ$207,Z$310,FALSE)/8760</f>
        <v>8.3333333333333329E-2</v>
      </c>
      <c r="AA373" s="180">
        <f>VLOOKUP($A373,'Key Inputs_BY Techs'!$B$198:$AJ$207,AA$310,FALSE)/8760</f>
        <v>8.3333333333333329E-2</v>
      </c>
      <c r="AB373" s="180">
        <f>VLOOKUP($A373,'Key Inputs_BY Techs'!$B$198:$AJ$207,AB$310,FALSE)/8760</f>
        <v>8.3333333333333329E-2</v>
      </c>
      <c r="AC373" s="180">
        <f>VLOOKUP($A373,'Key Inputs_BY Techs'!$B$198:$AJ$207,AC$310,FALSE)/8760</f>
        <v>8.3333333333333329E-2</v>
      </c>
      <c r="AD373" s="180">
        <f>VLOOKUP($A373,'Key Inputs_BY Techs'!$B$198:$AJ$207,AD$310,FALSE)/8760</f>
        <v>8.3333333333333329E-2</v>
      </c>
      <c r="AE373" s="180">
        <f>VLOOKUP($A373,'Key Inputs_BY Techs'!$B$198:$AJ$207,AE$310,FALSE)/8760</f>
        <v>8.3333333333333329E-2</v>
      </c>
      <c r="AF373" s="180">
        <f>VLOOKUP($A373,'Key Inputs_BY Techs'!$B$198:$AJ$207,AF$310,FALSE)/8760</f>
        <v>8.3333333333333329E-2</v>
      </c>
      <c r="AG373" s="180">
        <f>VLOOKUP($A373,'Key Inputs_BY Techs'!$B$198:$AJ$207,AG$310,FALSE)/8760</f>
        <v>8.3333333333333329E-2</v>
      </c>
      <c r="AH373" s="180">
        <f>VLOOKUP($A373,'Key Inputs_BY Techs'!$B$198:$AJ$207,AH$310,FALSE)/8760</f>
        <v>8.3333333333333329E-2</v>
      </c>
      <c r="AI373" s="180">
        <f>VLOOKUP($A373,'Key Inputs_BY Techs'!$B$198:$AJ$207,AI$310,FALSE)/8760</f>
        <v>8.3333333333333329E-2</v>
      </c>
      <c r="AJ373" s="180">
        <f>VLOOKUP($A373,'Key Inputs_BY Techs'!$B$198:$AJ$207,AJ$310,FALSE)/8760</f>
        <v>8.3333333333333329E-2</v>
      </c>
      <c r="AK373" s="180">
        <f>VLOOKUP($A373,'Key Inputs_BY Techs'!$B$198:$AJ$207,AK$310,FALSE)/8760</f>
        <v>8.3333333333333329E-2</v>
      </c>
      <c r="AL373" s="180">
        <f>VLOOKUP($A373,'Key Inputs_BY Techs'!$B$198:$AJ$207,AL$310,FALSE)/8760</f>
        <v>8.3333333333333329E-2</v>
      </c>
      <c r="AM373" s="180">
        <f>VLOOKUP($A373,'Key Inputs_BY Techs'!$B$198:$AJ$207,AM$310,FALSE)/8760</f>
        <v>8.3333333333333329E-2</v>
      </c>
      <c r="AN373" s="180">
        <f>VLOOKUP($A373,'Key Inputs_BY Techs'!$B$198:$AJ$207,AN$310,FALSE)/8760</f>
        <v>8.3333333333333329E-2</v>
      </c>
      <c r="AO373" s="180">
        <f>VLOOKUP($A373,'Key Inputs_BY Techs'!$B$198:$AJ$207,AO$310,FALSE)/8760</f>
        <v>8.3333333333333329E-2</v>
      </c>
      <c r="AP373" s="180">
        <f>VLOOKUP($A373,'Key Inputs_BY Techs'!$B$198:$AJ$207,AP$310,FALSE)/8760</f>
        <v>8.3333333333333329E-2</v>
      </c>
      <c r="AQ373" s="180">
        <f>VLOOKUP($A373,'Key Inputs_BY Techs'!$B$198:$AJ$207,AQ$310,FALSE)/8760</f>
        <v>8.3333333333333329E-2</v>
      </c>
      <c r="AR373" s="180">
        <f>VLOOKUP($A373,'Key Inputs_BY Techs'!$B$198:$AJ$207,AR$310,FALSE)/8760</f>
        <v>8.3333333333333329E-2</v>
      </c>
      <c r="AS373" s="119"/>
      <c r="AT373" s="114"/>
      <c r="AV373" s="126"/>
      <c r="BF373" s="114"/>
      <c r="BG373" s="122"/>
      <c r="BH373" s="122"/>
    </row>
    <row r="374" spans="1:60" x14ac:dyDescent="0.25">
      <c r="A374" s="258" t="str">
        <f t="shared" ref="A374" si="74">A69</f>
        <v>Lighting</v>
      </c>
      <c r="B374" s="258" t="str">
        <f>B69</f>
        <v>R-LIG</v>
      </c>
      <c r="C374" s="258" t="str">
        <f t="shared" ref="C374:D374" si="75">C69</f>
        <v>Electricity</v>
      </c>
      <c r="D374" s="258" t="str">
        <f t="shared" si="75"/>
        <v>RSDELC</v>
      </c>
      <c r="E374" s="249" t="str">
        <f t="shared" ref="E374:E376" si="76">LEFT(D374,6)</f>
        <v>RSDELC</v>
      </c>
      <c r="F374" s="245" t="s">
        <v>253</v>
      </c>
      <c r="G374" s="250" t="s">
        <v>234</v>
      </c>
      <c r="H374" s="259"/>
      <c r="I374" s="259"/>
      <c r="K374" s="203" t="str">
        <f>IF('Commodities &amp; Processes'!L$118="",'Commodities &amp; Processes'!K$118,'Commodities &amp; Processes'!L$118)</f>
        <v>R-LIG_ELC01</v>
      </c>
      <c r="L374" s="112" t="str">
        <f>IF('Commodities &amp; Processes'!M$118="","",'Commodities &amp; Processes'!M$118)</f>
        <v>RSD Lighting technology: Electricity Lighting system (Ord.) -New</v>
      </c>
      <c r="M374" s="112"/>
      <c r="N374" s="112"/>
      <c r="O374" s="112" t="s">
        <v>313</v>
      </c>
      <c r="P374" s="112" t="s">
        <v>174</v>
      </c>
      <c r="Q374" s="503">
        <f>VLOOKUP($A374,'Key Inputs_BY Techs'!$B$198:$AJ$207,Q$310,FALSE)</f>
        <v>1</v>
      </c>
      <c r="R374" s="503">
        <f>VLOOKUP($A374,'Key Inputs_BY Techs'!$B$198:$AJ$207,R$310,FALSE)</f>
        <v>1</v>
      </c>
      <c r="S374" s="503">
        <f>VLOOKUP($A374,'Key Inputs_BY Techs'!$B$198:$AJ$207,S$310,FALSE)</f>
        <v>1</v>
      </c>
      <c r="T374" s="503">
        <f>VLOOKUP($A374,'Key Inputs_BY Techs'!$B$198:$AJ$207,T$310,FALSE)</f>
        <v>1</v>
      </c>
      <c r="U374" s="503">
        <f>VLOOKUP($A374,'Key Inputs_BY Techs'!$B$198:$AJ$207,U$310,FALSE)</f>
        <v>1</v>
      </c>
      <c r="V374" s="503">
        <f>VLOOKUP($A374,'Key Inputs_BY Techs'!$B$198:$AJ$207,V$310,FALSE)</f>
        <v>1</v>
      </c>
      <c r="W374" s="503">
        <f>VLOOKUP($A374,'Key Inputs_BY Techs'!$B$198:$AJ$207,W$310,FALSE)</f>
        <v>1</v>
      </c>
      <c r="X374" s="503">
        <f>VLOOKUP($A374,'Key Inputs_BY Techs'!$B$198:$AJ$207,X$310,FALSE)</f>
        <v>1</v>
      </c>
      <c r="Y374" s="503">
        <f>VLOOKUP($A374,'Key Inputs_BY Techs'!$B$198:$AJ$207,Y$310,FALSE)</f>
        <v>1</v>
      </c>
      <c r="Z374" s="503">
        <f>VLOOKUP($A374,'Key Inputs_BY Techs'!$B$198:$AJ$207,Z$310,FALSE)</f>
        <v>1</v>
      </c>
      <c r="AA374" s="503">
        <f>VLOOKUP($A374,'Key Inputs_BY Techs'!$B$198:$AJ$207,AA$310,FALSE)</f>
        <v>1</v>
      </c>
      <c r="AB374" s="503">
        <f>VLOOKUP($A374,'Key Inputs_BY Techs'!$B$198:$AJ$207,AB$310,FALSE)</f>
        <v>1</v>
      </c>
      <c r="AC374" s="503">
        <f>VLOOKUP($A374,'Key Inputs_BY Techs'!$B$198:$AJ$207,AC$310,FALSE)</f>
        <v>1</v>
      </c>
      <c r="AD374" s="503">
        <f>VLOOKUP($A374,'Key Inputs_BY Techs'!$B$198:$AJ$207,AD$310,FALSE)</f>
        <v>1</v>
      </c>
      <c r="AE374" s="503">
        <f>VLOOKUP($A374,'Key Inputs_BY Techs'!$B$198:$AJ$207,AE$310,FALSE)</f>
        <v>1</v>
      </c>
      <c r="AF374" s="503">
        <f>VLOOKUP($A374,'Key Inputs_BY Techs'!$B$198:$AJ$207,AF$310,FALSE)</f>
        <v>1</v>
      </c>
      <c r="AG374" s="503">
        <f>VLOOKUP($A374,'Key Inputs_BY Techs'!$B$198:$AJ$207,AG$310,FALSE)</f>
        <v>1</v>
      </c>
      <c r="AH374" s="503">
        <f>VLOOKUP($A374,'Key Inputs_BY Techs'!$B$198:$AJ$207,AH$310,FALSE)</f>
        <v>1</v>
      </c>
      <c r="AI374" s="503">
        <f>VLOOKUP($A374,'Key Inputs_BY Techs'!$B$198:$AJ$207,AI$310,FALSE)</f>
        <v>1</v>
      </c>
      <c r="AJ374" s="503">
        <f>VLOOKUP($A374,'Key Inputs_BY Techs'!$B$198:$AJ$207,AJ$310,FALSE)</f>
        <v>1</v>
      </c>
      <c r="AK374" s="503">
        <f>VLOOKUP($A374,'Key Inputs_BY Techs'!$B$198:$AJ$207,AK$310,FALSE)</f>
        <v>1</v>
      </c>
      <c r="AL374" s="503">
        <f>VLOOKUP($A374,'Key Inputs_BY Techs'!$B$198:$AJ$207,AL$310,FALSE)</f>
        <v>1</v>
      </c>
      <c r="AM374" s="503">
        <f>VLOOKUP($A374,'Key Inputs_BY Techs'!$B$198:$AJ$207,AM$310,FALSE)</f>
        <v>1</v>
      </c>
      <c r="AN374" s="503">
        <f>VLOOKUP($A374,'Key Inputs_BY Techs'!$B$198:$AJ$207,AN$310,FALSE)</f>
        <v>1</v>
      </c>
      <c r="AO374" s="503">
        <f>VLOOKUP($A374,'Key Inputs_BY Techs'!$B$198:$AJ$207,AO$310,FALSE)</f>
        <v>1</v>
      </c>
      <c r="AP374" s="503">
        <f>VLOOKUP($A374,'Key Inputs_BY Techs'!$B$198:$AJ$207,AP$310,FALSE)</f>
        <v>1</v>
      </c>
      <c r="AQ374" s="503">
        <f>VLOOKUP($A374,'Key Inputs_BY Techs'!$B$198:$AJ$207,AQ$310,FALSE)</f>
        <v>1</v>
      </c>
      <c r="AR374" s="503">
        <f>VLOOKUP($A374,'Key Inputs_BY Techs'!$B$198:$AJ$207,AR$310,FALSE)</f>
        <v>1</v>
      </c>
      <c r="AS374" s="119"/>
      <c r="AT374" s="114"/>
      <c r="AV374" s="126"/>
      <c r="BF374" s="114"/>
      <c r="BG374" s="122"/>
      <c r="BH374" s="122"/>
    </row>
    <row r="375" spans="1:60" x14ac:dyDescent="0.25">
      <c r="A375" s="245" t="str">
        <f t="shared" ref="A375:B375" si="77">A70</f>
        <v>Lighting</v>
      </c>
      <c r="B375" s="245" t="str">
        <f t="shared" si="77"/>
        <v>R-LIG</v>
      </c>
      <c r="C375" s="245" t="str">
        <f t="shared" ref="C375:D375" si="78">C70</f>
        <v>Electricity</v>
      </c>
      <c r="D375" s="245" t="str">
        <f t="shared" si="78"/>
        <v>RSDELC</v>
      </c>
      <c r="E375" s="249" t="str">
        <f t="shared" si="76"/>
        <v>RSDELC</v>
      </c>
      <c r="F375" s="502" t="s">
        <v>303</v>
      </c>
      <c r="G375" s="250" t="s">
        <v>236</v>
      </c>
      <c r="H375" s="259"/>
      <c r="I375" s="259"/>
      <c r="K375" s="201" t="str">
        <f>IF('Commodities &amp; Processes'!L$119="",'Commodities &amp; Processes'!K$119,'Commodities &amp; Processes'!L$119)</f>
        <v>R-LIG_ELC02</v>
      </c>
      <c r="L375" s="109" t="str">
        <f>IF('Commodities &amp; Processes'!M$122="","",'Commodities &amp; Processes'!M$119)</f>
        <v>RSD Lighting technology: Electricity Lighting system (Imp.) -New</v>
      </c>
      <c r="O375" s="109" t="s">
        <v>313</v>
      </c>
      <c r="P375" s="109" t="s">
        <v>174</v>
      </c>
      <c r="Q375" s="221">
        <f>VLOOKUP($A375,'Key Inputs_BY Techs'!$B$198:$AJ$207,Q$310,FALSE)</f>
        <v>1</v>
      </c>
      <c r="R375" s="221">
        <f>VLOOKUP($A375,'Key Inputs_BY Techs'!$B$198:$AJ$207,R$310,FALSE)</f>
        <v>1</v>
      </c>
      <c r="S375" s="221">
        <f>VLOOKUP($A375,'Key Inputs_BY Techs'!$B$198:$AJ$207,S$310,FALSE)</f>
        <v>1</v>
      </c>
      <c r="T375" s="221">
        <f>VLOOKUP($A375,'Key Inputs_BY Techs'!$B$198:$AJ$207,T$310,FALSE)</f>
        <v>1</v>
      </c>
      <c r="U375" s="221">
        <f>VLOOKUP($A375,'Key Inputs_BY Techs'!$B$198:$AJ$207,U$310,FALSE)</f>
        <v>1</v>
      </c>
      <c r="V375" s="221">
        <f>VLOOKUP($A375,'Key Inputs_BY Techs'!$B$198:$AJ$207,V$310,FALSE)</f>
        <v>1</v>
      </c>
      <c r="W375" s="221">
        <f>VLOOKUP($A375,'Key Inputs_BY Techs'!$B$198:$AJ$207,W$310,FALSE)</f>
        <v>1</v>
      </c>
      <c r="X375" s="221">
        <f>VLOOKUP($A375,'Key Inputs_BY Techs'!$B$198:$AJ$207,X$310,FALSE)</f>
        <v>1</v>
      </c>
      <c r="Y375" s="221">
        <f>VLOOKUP($A375,'Key Inputs_BY Techs'!$B$198:$AJ$207,Y$310,FALSE)</f>
        <v>1</v>
      </c>
      <c r="Z375" s="221">
        <f>VLOOKUP($A375,'Key Inputs_BY Techs'!$B$198:$AJ$207,Z$310,FALSE)</f>
        <v>1</v>
      </c>
      <c r="AA375" s="221">
        <f>VLOOKUP($A375,'Key Inputs_BY Techs'!$B$198:$AJ$207,AA$310,FALSE)</f>
        <v>1</v>
      </c>
      <c r="AB375" s="221">
        <f>VLOOKUP($A375,'Key Inputs_BY Techs'!$B$198:$AJ$207,AB$310,FALSE)</f>
        <v>1</v>
      </c>
      <c r="AC375" s="221">
        <f>VLOOKUP($A375,'Key Inputs_BY Techs'!$B$198:$AJ$207,AC$310,FALSE)</f>
        <v>1</v>
      </c>
      <c r="AD375" s="221">
        <f>VLOOKUP($A375,'Key Inputs_BY Techs'!$B$198:$AJ$207,AD$310,FALSE)</f>
        <v>1</v>
      </c>
      <c r="AE375" s="221">
        <f>VLOOKUP($A375,'Key Inputs_BY Techs'!$B$198:$AJ$207,AE$310,FALSE)</f>
        <v>1</v>
      </c>
      <c r="AF375" s="221">
        <f>VLOOKUP($A375,'Key Inputs_BY Techs'!$B$198:$AJ$207,AF$310,FALSE)</f>
        <v>1</v>
      </c>
      <c r="AG375" s="221">
        <f>VLOOKUP($A375,'Key Inputs_BY Techs'!$B$198:$AJ$207,AG$310,FALSE)</f>
        <v>1</v>
      </c>
      <c r="AH375" s="221">
        <f>VLOOKUP($A375,'Key Inputs_BY Techs'!$B$198:$AJ$207,AH$310,FALSE)</f>
        <v>1</v>
      </c>
      <c r="AI375" s="221">
        <f>VLOOKUP($A375,'Key Inputs_BY Techs'!$B$198:$AJ$207,AI$310,FALSE)</f>
        <v>1</v>
      </c>
      <c r="AJ375" s="221">
        <f>VLOOKUP($A375,'Key Inputs_BY Techs'!$B$198:$AJ$207,AJ$310,FALSE)</f>
        <v>1</v>
      </c>
      <c r="AK375" s="221">
        <f>VLOOKUP($A375,'Key Inputs_BY Techs'!$B$198:$AJ$207,AK$310,FALSE)</f>
        <v>1</v>
      </c>
      <c r="AL375" s="221">
        <f>VLOOKUP($A375,'Key Inputs_BY Techs'!$B$198:$AJ$207,AL$310,FALSE)</f>
        <v>1</v>
      </c>
      <c r="AM375" s="221">
        <f>VLOOKUP($A375,'Key Inputs_BY Techs'!$B$198:$AJ$207,AM$310,FALSE)</f>
        <v>1</v>
      </c>
      <c r="AN375" s="221">
        <f>VLOOKUP($A375,'Key Inputs_BY Techs'!$B$198:$AJ$207,AN$310,FALSE)</f>
        <v>1</v>
      </c>
      <c r="AO375" s="221">
        <f>VLOOKUP($A375,'Key Inputs_BY Techs'!$B$198:$AJ$207,AO$310,FALSE)</f>
        <v>1</v>
      </c>
      <c r="AP375" s="221">
        <f>VLOOKUP($A375,'Key Inputs_BY Techs'!$B$198:$AJ$207,AP$310,FALSE)</f>
        <v>1</v>
      </c>
      <c r="AQ375" s="221">
        <f>VLOOKUP($A375,'Key Inputs_BY Techs'!$B$198:$AJ$207,AQ$310,FALSE)</f>
        <v>1</v>
      </c>
      <c r="AR375" s="221">
        <f>VLOOKUP($A375,'Key Inputs_BY Techs'!$B$198:$AJ$207,AR$310,FALSE)</f>
        <v>1</v>
      </c>
      <c r="AS375" s="119"/>
      <c r="AT375" s="114"/>
      <c r="AV375" s="126"/>
      <c r="BF375" s="114"/>
      <c r="BG375" s="122"/>
      <c r="BH375" s="122"/>
    </row>
    <row r="376" spans="1:60" x14ac:dyDescent="0.25">
      <c r="A376" s="255" t="str">
        <f t="shared" ref="A376:B376" si="79">A71</f>
        <v>Lighting</v>
      </c>
      <c r="B376" s="255" t="str">
        <f t="shared" si="79"/>
        <v>R-LIG</v>
      </c>
      <c r="C376" s="255" t="str">
        <f t="shared" ref="C376:D376" si="80">C71</f>
        <v>Electricity</v>
      </c>
      <c r="D376" s="255" t="str">
        <f t="shared" si="80"/>
        <v>RSDELC</v>
      </c>
      <c r="E376" s="256" t="str">
        <f t="shared" si="76"/>
        <v>RSDELC</v>
      </c>
      <c r="F376" s="502" t="s">
        <v>305</v>
      </c>
      <c r="G376" s="250" t="s">
        <v>246</v>
      </c>
      <c r="H376" s="259"/>
      <c r="I376" s="259"/>
      <c r="K376" s="205" t="str">
        <f>IF('Commodities &amp; Processes'!L$120="",'Commodities &amp; Processes'!K$120,'Commodities &amp; Processes'!L$120)</f>
        <v>R-LIG_ELC03</v>
      </c>
      <c r="L376" s="128" t="str">
        <f>IF('Commodities &amp; Processes'!M$123="","",'Commodities &amp; Processes'!M$120)</f>
        <v>RSD Lighting technology: Electricity Lighting system (Adv.) -New</v>
      </c>
      <c r="M376" s="128"/>
      <c r="N376" s="128"/>
      <c r="O376" s="128" t="s">
        <v>313</v>
      </c>
      <c r="P376" s="128" t="s">
        <v>174</v>
      </c>
      <c r="Q376" s="158">
        <f>VLOOKUP($A376,'Key Inputs_BY Techs'!$B$198:$AJ$207,Q$310,FALSE)</f>
        <v>1</v>
      </c>
      <c r="R376" s="158">
        <f>VLOOKUP($A376,'Key Inputs_BY Techs'!$B$198:$AJ$207,R$310,FALSE)</f>
        <v>1</v>
      </c>
      <c r="S376" s="158">
        <f>VLOOKUP($A376,'Key Inputs_BY Techs'!$B$198:$AJ$207,S$310,FALSE)</f>
        <v>1</v>
      </c>
      <c r="T376" s="158">
        <f>VLOOKUP($A376,'Key Inputs_BY Techs'!$B$198:$AJ$207,T$310,FALSE)</f>
        <v>1</v>
      </c>
      <c r="U376" s="158">
        <f>VLOOKUP($A376,'Key Inputs_BY Techs'!$B$198:$AJ$207,U$310,FALSE)</f>
        <v>1</v>
      </c>
      <c r="V376" s="158">
        <f>VLOOKUP($A376,'Key Inputs_BY Techs'!$B$198:$AJ$207,V$310,FALSE)</f>
        <v>1</v>
      </c>
      <c r="W376" s="158">
        <f>VLOOKUP($A376,'Key Inputs_BY Techs'!$B$198:$AJ$207,W$310,FALSE)</f>
        <v>1</v>
      </c>
      <c r="X376" s="158">
        <f>VLOOKUP($A376,'Key Inputs_BY Techs'!$B$198:$AJ$207,X$310,FALSE)</f>
        <v>1</v>
      </c>
      <c r="Y376" s="158">
        <f>VLOOKUP($A376,'Key Inputs_BY Techs'!$B$198:$AJ$207,Y$310,FALSE)</f>
        <v>1</v>
      </c>
      <c r="Z376" s="158">
        <f>VLOOKUP($A376,'Key Inputs_BY Techs'!$B$198:$AJ$207,Z$310,FALSE)</f>
        <v>1</v>
      </c>
      <c r="AA376" s="158">
        <f>VLOOKUP($A376,'Key Inputs_BY Techs'!$B$198:$AJ$207,AA$310,FALSE)</f>
        <v>1</v>
      </c>
      <c r="AB376" s="158">
        <f>VLOOKUP($A376,'Key Inputs_BY Techs'!$B$198:$AJ$207,AB$310,FALSE)</f>
        <v>1</v>
      </c>
      <c r="AC376" s="158">
        <f>VLOOKUP($A376,'Key Inputs_BY Techs'!$B$198:$AJ$207,AC$310,FALSE)</f>
        <v>1</v>
      </c>
      <c r="AD376" s="158">
        <f>VLOOKUP($A376,'Key Inputs_BY Techs'!$B$198:$AJ$207,AD$310,FALSE)</f>
        <v>1</v>
      </c>
      <c r="AE376" s="158">
        <f>VLOOKUP($A376,'Key Inputs_BY Techs'!$B$198:$AJ$207,AE$310,FALSE)</f>
        <v>1</v>
      </c>
      <c r="AF376" s="158">
        <f>VLOOKUP($A376,'Key Inputs_BY Techs'!$B$198:$AJ$207,AF$310,FALSE)</f>
        <v>1</v>
      </c>
      <c r="AG376" s="158">
        <f>VLOOKUP($A376,'Key Inputs_BY Techs'!$B$198:$AJ$207,AG$310,FALSE)</f>
        <v>1</v>
      </c>
      <c r="AH376" s="158">
        <f>VLOOKUP($A376,'Key Inputs_BY Techs'!$B$198:$AJ$207,AH$310,FALSE)</f>
        <v>1</v>
      </c>
      <c r="AI376" s="158">
        <f>VLOOKUP($A376,'Key Inputs_BY Techs'!$B$198:$AJ$207,AI$310,FALSE)</f>
        <v>1</v>
      </c>
      <c r="AJ376" s="158">
        <f>VLOOKUP($A376,'Key Inputs_BY Techs'!$B$198:$AJ$207,AJ$310,FALSE)</f>
        <v>1</v>
      </c>
      <c r="AK376" s="158">
        <f>VLOOKUP($A376,'Key Inputs_BY Techs'!$B$198:$AJ$207,AK$310,FALSE)</f>
        <v>1</v>
      </c>
      <c r="AL376" s="158">
        <f>VLOOKUP($A376,'Key Inputs_BY Techs'!$B$198:$AJ$207,AL$310,FALSE)</f>
        <v>1</v>
      </c>
      <c r="AM376" s="158">
        <f>VLOOKUP($A376,'Key Inputs_BY Techs'!$B$198:$AJ$207,AM$310,FALSE)</f>
        <v>1</v>
      </c>
      <c r="AN376" s="158">
        <f>VLOOKUP($A376,'Key Inputs_BY Techs'!$B$198:$AJ$207,AN$310,FALSE)</f>
        <v>1</v>
      </c>
      <c r="AO376" s="158">
        <f>VLOOKUP($A376,'Key Inputs_BY Techs'!$B$198:$AJ$207,AO$310,FALSE)</f>
        <v>1</v>
      </c>
      <c r="AP376" s="158">
        <f>VLOOKUP($A376,'Key Inputs_BY Techs'!$B$198:$AJ$207,AP$310,FALSE)</f>
        <v>1</v>
      </c>
      <c r="AQ376" s="158">
        <f>VLOOKUP($A376,'Key Inputs_BY Techs'!$B$198:$AJ$207,AQ$310,FALSE)</f>
        <v>1</v>
      </c>
      <c r="AR376" s="158">
        <f>VLOOKUP($A376,'Key Inputs_BY Techs'!$B$198:$AJ$207,AR$310,FALSE)</f>
        <v>1</v>
      </c>
      <c r="AS376" s="119"/>
      <c r="AT376" s="114"/>
      <c r="AV376" s="126"/>
      <c r="BF376" s="114"/>
      <c r="BG376" s="122"/>
      <c r="BH376" s="122"/>
    </row>
    <row r="377" spans="1:60" x14ac:dyDescent="0.25">
      <c r="A377" s="258" t="str">
        <f t="shared" ref="A377:G379" si="81">A72</f>
        <v>Electric Appliances</v>
      </c>
      <c r="B377" s="258" t="str">
        <f t="shared" si="81"/>
        <v>R-EAP</v>
      </c>
      <c r="C377" s="258" t="str">
        <f t="shared" si="81"/>
        <v>Electricity</v>
      </c>
      <c r="D377" s="258" t="str">
        <f t="shared" si="81"/>
        <v>RSDELC</v>
      </c>
      <c r="E377" s="268" t="str">
        <f t="shared" si="81"/>
        <v>RSDELC</v>
      </c>
      <c r="F377" s="262" t="str">
        <f t="shared" si="81"/>
        <v>Appl. (Ord.)</v>
      </c>
      <c r="G377" s="263" t="str">
        <f t="shared" si="81"/>
        <v>01</v>
      </c>
      <c r="H377" s="250"/>
      <c r="I377" s="250"/>
      <c r="K377" s="203" t="str">
        <f>IF('Commodities &amp; Processes'!L$121="",'Commodities &amp; Processes'!K$121,'Commodities &amp; Processes'!L$121)</f>
        <v>R-EAP_ELC01</v>
      </c>
      <c r="L377" s="112" t="str">
        <f>IF('Commodities &amp; Processes'!M$121="","",'Commodities &amp; Processes'!M$121)</f>
        <v>RSD Electric Appliances technology: Electricity Appl. (Ord.) -New</v>
      </c>
      <c r="M377" s="112"/>
      <c r="N377" s="112"/>
      <c r="O377" s="112" t="s">
        <v>313</v>
      </c>
      <c r="P377" s="112" t="s">
        <v>174</v>
      </c>
      <c r="Q377" s="184">
        <f>VLOOKUP($A377,'Key Inputs_BY Techs'!$B$198:$AJ$207,Q$310,FALSE)/8760</f>
        <v>0.5</v>
      </c>
      <c r="R377" s="184">
        <f>VLOOKUP($A377,'Key Inputs_BY Techs'!$B$198:$AJ$207,R$310,FALSE)/8760</f>
        <v>0.5</v>
      </c>
      <c r="S377" s="184">
        <f>VLOOKUP($A377,'Key Inputs_BY Techs'!$B$198:$AJ$207,S$310,FALSE)/8760</f>
        <v>0.5</v>
      </c>
      <c r="T377" s="184">
        <f>VLOOKUP($A377,'Key Inputs_BY Techs'!$B$198:$AJ$207,T$310,FALSE)/8760</f>
        <v>0.5</v>
      </c>
      <c r="U377" s="184">
        <f>VLOOKUP($A377,'Key Inputs_BY Techs'!$B$198:$AJ$207,U$310,FALSE)/8760</f>
        <v>0.5</v>
      </c>
      <c r="V377" s="184">
        <f>VLOOKUP($A377,'Key Inputs_BY Techs'!$B$198:$AJ$207,V$310,FALSE)/8760</f>
        <v>0.5</v>
      </c>
      <c r="W377" s="184">
        <f>VLOOKUP($A377,'Key Inputs_BY Techs'!$B$198:$AJ$207,W$310,FALSE)/8760</f>
        <v>0.5</v>
      </c>
      <c r="X377" s="184">
        <f>VLOOKUP($A377,'Key Inputs_BY Techs'!$B$198:$AJ$207,X$310,FALSE)/8760</f>
        <v>0.5</v>
      </c>
      <c r="Y377" s="184">
        <f>VLOOKUP($A377,'Key Inputs_BY Techs'!$B$198:$AJ$207,Y$310,FALSE)/8760</f>
        <v>0.5</v>
      </c>
      <c r="Z377" s="184">
        <f>VLOOKUP($A377,'Key Inputs_BY Techs'!$B$198:$AJ$207,Z$310,FALSE)/8760</f>
        <v>0.5</v>
      </c>
      <c r="AA377" s="184">
        <f>VLOOKUP($A377,'Key Inputs_BY Techs'!$B$198:$AJ$207,AA$310,FALSE)/8760</f>
        <v>0.5</v>
      </c>
      <c r="AB377" s="184">
        <f>VLOOKUP($A377,'Key Inputs_BY Techs'!$B$198:$AJ$207,AB$310,FALSE)/8760</f>
        <v>0.5</v>
      </c>
      <c r="AC377" s="184">
        <f>VLOOKUP($A377,'Key Inputs_BY Techs'!$B$198:$AJ$207,AC$310,FALSE)/8760</f>
        <v>0.5</v>
      </c>
      <c r="AD377" s="184">
        <f>VLOOKUP($A377,'Key Inputs_BY Techs'!$B$198:$AJ$207,AD$310,FALSE)/8760</f>
        <v>0.5</v>
      </c>
      <c r="AE377" s="184">
        <f>VLOOKUP($A377,'Key Inputs_BY Techs'!$B$198:$AJ$207,AE$310,FALSE)/8760</f>
        <v>0.5</v>
      </c>
      <c r="AF377" s="184">
        <f>VLOOKUP($A377,'Key Inputs_BY Techs'!$B$198:$AJ$207,AF$310,FALSE)/8760</f>
        <v>0.5</v>
      </c>
      <c r="AG377" s="184">
        <f>VLOOKUP($A377,'Key Inputs_BY Techs'!$B$198:$AJ$207,AG$310,FALSE)/8760</f>
        <v>0.5</v>
      </c>
      <c r="AH377" s="184">
        <f>VLOOKUP($A377,'Key Inputs_BY Techs'!$B$198:$AJ$207,AH$310,FALSE)/8760</f>
        <v>0.5</v>
      </c>
      <c r="AI377" s="184">
        <f>VLOOKUP($A377,'Key Inputs_BY Techs'!$B$198:$AJ$207,AI$310,FALSE)/8760</f>
        <v>0.5</v>
      </c>
      <c r="AJ377" s="184">
        <f>VLOOKUP($A377,'Key Inputs_BY Techs'!$B$198:$AJ$207,AJ$310,FALSE)/8760</f>
        <v>0.5</v>
      </c>
      <c r="AK377" s="184">
        <f>VLOOKUP($A377,'Key Inputs_BY Techs'!$B$198:$AJ$207,AK$310,FALSE)/8760</f>
        <v>0.5</v>
      </c>
      <c r="AL377" s="184">
        <f>VLOOKUP($A377,'Key Inputs_BY Techs'!$B$198:$AJ$207,AL$310,FALSE)/8760</f>
        <v>0.5</v>
      </c>
      <c r="AM377" s="184">
        <f>VLOOKUP($A377,'Key Inputs_BY Techs'!$B$198:$AJ$207,AM$310,FALSE)/8760</f>
        <v>0.5</v>
      </c>
      <c r="AN377" s="184">
        <f>VLOOKUP($A377,'Key Inputs_BY Techs'!$B$198:$AJ$207,AN$310,FALSE)/8760</f>
        <v>0.5</v>
      </c>
      <c r="AO377" s="184">
        <f>VLOOKUP($A377,'Key Inputs_BY Techs'!$B$198:$AJ$207,AO$310,FALSE)/8760</f>
        <v>0.5</v>
      </c>
      <c r="AP377" s="184">
        <f>VLOOKUP($A377,'Key Inputs_BY Techs'!$B$198:$AJ$207,AP$310,FALSE)/8760</f>
        <v>0.5</v>
      </c>
      <c r="AQ377" s="184">
        <f>VLOOKUP($A377,'Key Inputs_BY Techs'!$B$198:$AJ$207,AQ$310,FALSE)/8760</f>
        <v>0.5</v>
      </c>
      <c r="AR377" s="184">
        <f>VLOOKUP($A377,'Key Inputs_BY Techs'!$B$198:$AJ$207,AR$310,FALSE)/8760</f>
        <v>0.5</v>
      </c>
      <c r="AS377" s="119"/>
      <c r="AT377" s="114"/>
      <c r="AV377" s="126"/>
      <c r="BF377" s="114"/>
      <c r="BG377" s="122"/>
      <c r="BH377" s="122"/>
    </row>
    <row r="378" spans="1:60" x14ac:dyDescent="0.25">
      <c r="A378" s="245" t="str">
        <f t="shared" si="81"/>
        <v>Electric Appliances</v>
      </c>
      <c r="B378" s="245" t="str">
        <f t="shared" si="81"/>
        <v>R-EAP</v>
      </c>
      <c r="C378" s="245" t="str">
        <f t="shared" si="81"/>
        <v>Electricity</v>
      </c>
      <c r="D378" s="245" t="str">
        <f t="shared" si="81"/>
        <v>RSDELC</v>
      </c>
      <c r="E378" s="249" t="str">
        <f t="shared" si="81"/>
        <v>RSDELC</v>
      </c>
      <c r="F378" s="252" t="str">
        <f t="shared" si="81"/>
        <v>Appl. (Imp.)</v>
      </c>
      <c r="G378" s="250" t="str">
        <f t="shared" si="81"/>
        <v>02</v>
      </c>
      <c r="H378" s="250"/>
      <c r="I378" s="250"/>
      <c r="K378" s="201" t="str">
        <f>IF('Commodities &amp; Processes'!L$122="",'Commodities &amp; Processes'!K$122,'Commodities &amp; Processes'!L$122)</f>
        <v>R-EAP_ELC02</v>
      </c>
      <c r="L378" s="109" t="str">
        <f>IF('Commodities &amp; Processes'!M$122="","",'Commodities &amp; Processes'!M$122)</f>
        <v>RSD Electric Appliances technology: Electricity Appl. (Imp.) -New</v>
      </c>
      <c r="O378" s="109" t="s">
        <v>313</v>
      </c>
      <c r="P378" s="109" t="s">
        <v>174</v>
      </c>
      <c r="Q378" s="180">
        <f>VLOOKUP($A378,'Key Inputs_BY Techs'!$B$198:$AJ$207,Q$310,FALSE)/8760</f>
        <v>0.5</v>
      </c>
      <c r="R378" s="180">
        <f>VLOOKUP($A378,'Key Inputs_BY Techs'!$B$198:$AJ$207,R$310,FALSE)/8760</f>
        <v>0.5</v>
      </c>
      <c r="S378" s="180">
        <f>VLOOKUP($A378,'Key Inputs_BY Techs'!$B$198:$AJ$207,S$310,FALSE)/8760</f>
        <v>0.5</v>
      </c>
      <c r="T378" s="180">
        <f>VLOOKUP($A378,'Key Inputs_BY Techs'!$B$198:$AJ$207,T$310,FALSE)/8760</f>
        <v>0.5</v>
      </c>
      <c r="U378" s="180">
        <f>VLOOKUP($A378,'Key Inputs_BY Techs'!$B$198:$AJ$207,U$310,FALSE)/8760</f>
        <v>0.5</v>
      </c>
      <c r="V378" s="180">
        <f>VLOOKUP($A378,'Key Inputs_BY Techs'!$B$198:$AJ$207,V$310,FALSE)/8760</f>
        <v>0.5</v>
      </c>
      <c r="W378" s="180">
        <f>VLOOKUP($A378,'Key Inputs_BY Techs'!$B$198:$AJ$207,W$310,FALSE)/8760</f>
        <v>0.5</v>
      </c>
      <c r="X378" s="180">
        <f>VLOOKUP($A378,'Key Inputs_BY Techs'!$B$198:$AJ$207,X$310,FALSE)/8760</f>
        <v>0.5</v>
      </c>
      <c r="Y378" s="180">
        <f>VLOOKUP($A378,'Key Inputs_BY Techs'!$B$198:$AJ$207,Y$310,FALSE)/8760</f>
        <v>0.5</v>
      </c>
      <c r="Z378" s="180">
        <f>VLOOKUP($A378,'Key Inputs_BY Techs'!$B$198:$AJ$207,Z$310,FALSE)/8760</f>
        <v>0.5</v>
      </c>
      <c r="AA378" s="180">
        <f>VLOOKUP($A378,'Key Inputs_BY Techs'!$B$198:$AJ$207,AA$310,FALSE)/8760</f>
        <v>0.5</v>
      </c>
      <c r="AB378" s="180">
        <f>VLOOKUP($A378,'Key Inputs_BY Techs'!$B$198:$AJ$207,AB$310,FALSE)/8760</f>
        <v>0.5</v>
      </c>
      <c r="AC378" s="180">
        <f>VLOOKUP($A378,'Key Inputs_BY Techs'!$B$198:$AJ$207,AC$310,FALSE)/8760</f>
        <v>0.5</v>
      </c>
      <c r="AD378" s="180">
        <f>VLOOKUP($A378,'Key Inputs_BY Techs'!$B$198:$AJ$207,AD$310,FALSE)/8760</f>
        <v>0.5</v>
      </c>
      <c r="AE378" s="180">
        <f>VLOOKUP($A378,'Key Inputs_BY Techs'!$B$198:$AJ$207,AE$310,FALSE)/8760</f>
        <v>0.5</v>
      </c>
      <c r="AF378" s="180">
        <f>VLOOKUP($A378,'Key Inputs_BY Techs'!$B$198:$AJ$207,AF$310,FALSE)/8760</f>
        <v>0.5</v>
      </c>
      <c r="AG378" s="180">
        <f>VLOOKUP($A378,'Key Inputs_BY Techs'!$B$198:$AJ$207,AG$310,FALSE)/8760</f>
        <v>0.5</v>
      </c>
      <c r="AH378" s="180">
        <f>VLOOKUP($A378,'Key Inputs_BY Techs'!$B$198:$AJ$207,AH$310,FALSE)/8760</f>
        <v>0.5</v>
      </c>
      <c r="AI378" s="180">
        <f>VLOOKUP($A378,'Key Inputs_BY Techs'!$B$198:$AJ$207,AI$310,FALSE)/8760</f>
        <v>0.5</v>
      </c>
      <c r="AJ378" s="180">
        <f>VLOOKUP($A378,'Key Inputs_BY Techs'!$B$198:$AJ$207,AJ$310,FALSE)/8760</f>
        <v>0.5</v>
      </c>
      <c r="AK378" s="180">
        <f>VLOOKUP($A378,'Key Inputs_BY Techs'!$B$198:$AJ$207,AK$310,FALSE)/8760</f>
        <v>0.5</v>
      </c>
      <c r="AL378" s="180">
        <f>VLOOKUP($A378,'Key Inputs_BY Techs'!$B$198:$AJ$207,AL$310,FALSE)/8760</f>
        <v>0.5</v>
      </c>
      <c r="AM378" s="180">
        <f>VLOOKUP($A378,'Key Inputs_BY Techs'!$B$198:$AJ$207,AM$310,FALSE)/8760</f>
        <v>0.5</v>
      </c>
      <c r="AN378" s="180">
        <f>VLOOKUP($A378,'Key Inputs_BY Techs'!$B$198:$AJ$207,AN$310,FALSE)/8760</f>
        <v>0.5</v>
      </c>
      <c r="AO378" s="180">
        <f>VLOOKUP($A378,'Key Inputs_BY Techs'!$B$198:$AJ$207,AO$310,FALSE)/8760</f>
        <v>0.5</v>
      </c>
      <c r="AP378" s="180">
        <f>VLOOKUP($A378,'Key Inputs_BY Techs'!$B$198:$AJ$207,AP$310,FALSE)/8760</f>
        <v>0.5</v>
      </c>
      <c r="AQ378" s="180">
        <f>VLOOKUP($A378,'Key Inputs_BY Techs'!$B$198:$AJ$207,AQ$310,FALSE)/8760</f>
        <v>0.5</v>
      </c>
      <c r="AR378" s="180">
        <f>VLOOKUP($A378,'Key Inputs_BY Techs'!$B$198:$AJ$207,AR$310,FALSE)/8760</f>
        <v>0.5</v>
      </c>
      <c r="AS378" s="119"/>
      <c r="AT378" s="114"/>
      <c r="AV378" s="126"/>
      <c r="BF378" s="114"/>
      <c r="BG378" s="122"/>
      <c r="BH378" s="122"/>
    </row>
    <row r="379" spans="1:60" x14ac:dyDescent="0.25">
      <c r="A379" s="255" t="str">
        <f t="shared" si="81"/>
        <v>Electric Appliances</v>
      </c>
      <c r="B379" s="255" t="str">
        <f t="shared" si="81"/>
        <v>R-EAP</v>
      </c>
      <c r="C379" s="255" t="str">
        <f t="shared" si="81"/>
        <v>Electricity</v>
      </c>
      <c r="D379" s="255" t="str">
        <f t="shared" si="81"/>
        <v>RSDELC</v>
      </c>
      <c r="E379" s="256" t="str">
        <f t="shared" si="81"/>
        <v>RSDELC</v>
      </c>
      <c r="F379" s="269" t="str">
        <f t="shared" si="81"/>
        <v>Appl. (Adv.)</v>
      </c>
      <c r="G379" s="257" t="str">
        <f t="shared" si="81"/>
        <v>03</v>
      </c>
      <c r="H379" s="250"/>
      <c r="I379" s="250"/>
      <c r="K379" s="205" t="str">
        <f>IF('Commodities &amp; Processes'!L$123="",'Commodities &amp; Processes'!K$123,'Commodities &amp; Processes'!L$123)</f>
        <v>R-EAP_ELC03</v>
      </c>
      <c r="L379" s="128" t="str">
        <f>IF('Commodities &amp; Processes'!M$123="","",'Commodities &amp; Processes'!M$123)</f>
        <v>RSD Electric Appliances technology: Electricity Appl. (Adv.) -New</v>
      </c>
      <c r="M379" s="128"/>
      <c r="N379" s="128"/>
      <c r="O379" s="128" t="s">
        <v>313</v>
      </c>
      <c r="P379" s="128" t="s">
        <v>174</v>
      </c>
      <c r="Q379" s="180">
        <f>VLOOKUP($A379,'Key Inputs_BY Techs'!$B$198:$AJ$207,Q$310,FALSE)/8760</f>
        <v>0.5</v>
      </c>
      <c r="R379" s="180">
        <f>VLOOKUP($A379,'Key Inputs_BY Techs'!$B$198:$AJ$207,R$310,FALSE)/8760</f>
        <v>0.5</v>
      </c>
      <c r="S379" s="180">
        <f>VLOOKUP($A379,'Key Inputs_BY Techs'!$B$198:$AJ$207,S$310,FALSE)/8760</f>
        <v>0.5</v>
      </c>
      <c r="T379" s="180">
        <f>VLOOKUP($A379,'Key Inputs_BY Techs'!$B$198:$AJ$207,T$310,FALSE)/8760</f>
        <v>0.5</v>
      </c>
      <c r="U379" s="180">
        <f>VLOOKUP($A379,'Key Inputs_BY Techs'!$B$198:$AJ$207,U$310,FALSE)/8760</f>
        <v>0.5</v>
      </c>
      <c r="V379" s="180">
        <f>VLOOKUP($A379,'Key Inputs_BY Techs'!$B$198:$AJ$207,V$310,FALSE)/8760</f>
        <v>0.5</v>
      </c>
      <c r="W379" s="180">
        <f>VLOOKUP($A379,'Key Inputs_BY Techs'!$B$198:$AJ$207,W$310,FALSE)/8760</f>
        <v>0.5</v>
      </c>
      <c r="X379" s="180">
        <f>VLOOKUP($A379,'Key Inputs_BY Techs'!$B$198:$AJ$207,X$310,FALSE)/8760</f>
        <v>0.5</v>
      </c>
      <c r="Y379" s="180">
        <f>VLOOKUP($A379,'Key Inputs_BY Techs'!$B$198:$AJ$207,Y$310,FALSE)/8760</f>
        <v>0.5</v>
      </c>
      <c r="Z379" s="180">
        <f>VLOOKUP($A379,'Key Inputs_BY Techs'!$B$198:$AJ$207,Z$310,FALSE)/8760</f>
        <v>0.5</v>
      </c>
      <c r="AA379" s="180">
        <f>VLOOKUP($A379,'Key Inputs_BY Techs'!$B$198:$AJ$207,AA$310,FALSE)/8760</f>
        <v>0.5</v>
      </c>
      <c r="AB379" s="180">
        <f>VLOOKUP($A379,'Key Inputs_BY Techs'!$B$198:$AJ$207,AB$310,FALSE)/8760</f>
        <v>0.5</v>
      </c>
      <c r="AC379" s="180">
        <f>VLOOKUP($A379,'Key Inputs_BY Techs'!$B$198:$AJ$207,AC$310,FALSE)/8760</f>
        <v>0.5</v>
      </c>
      <c r="AD379" s="180">
        <f>VLOOKUP($A379,'Key Inputs_BY Techs'!$B$198:$AJ$207,AD$310,FALSE)/8760</f>
        <v>0.5</v>
      </c>
      <c r="AE379" s="180">
        <f>VLOOKUP($A379,'Key Inputs_BY Techs'!$B$198:$AJ$207,AE$310,FALSE)/8760</f>
        <v>0.5</v>
      </c>
      <c r="AF379" s="180">
        <f>VLOOKUP($A379,'Key Inputs_BY Techs'!$B$198:$AJ$207,AF$310,FALSE)/8760</f>
        <v>0.5</v>
      </c>
      <c r="AG379" s="180">
        <f>VLOOKUP($A379,'Key Inputs_BY Techs'!$B$198:$AJ$207,AG$310,FALSE)/8760</f>
        <v>0.5</v>
      </c>
      <c r="AH379" s="180">
        <f>VLOOKUP($A379,'Key Inputs_BY Techs'!$B$198:$AJ$207,AH$310,FALSE)/8760</f>
        <v>0.5</v>
      </c>
      <c r="AI379" s="180">
        <f>VLOOKUP($A379,'Key Inputs_BY Techs'!$B$198:$AJ$207,AI$310,FALSE)/8760</f>
        <v>0.5</v>
      </c>
      <c r="AJ379" s="180">
        <f>VLOOKUP($A379,'Key Inputs_BY Techs'!$B$198:$AJ$207,AJ$310,FALSE)/8760</f>
        <v>0.5</v>
      </c>
      <c r="AK379" s="180">
        <f>VLOOKUP($A379,'Key Inputs_BY Techs'!$B$198:$AJ$207,AK$310,FALSE)/8760</f>
        <v>0.5</v>
      </c>
      <c r="AL379" s="180">
        <f>VLOOKUP($A379,'Key Inputs_BY Techs'!$B$198:$AJ$207,AL$310,FALSE)/8760</f>
        <v>0.5</v>
      </c>
      <c r="AM379" s="180">
        <f>VLOOKUP($A379,'Key Inputs_BY Techs'!$B$198:$AJ$207,AM$310,FALSE)/8760</f>
        <v>0.5</v>
      </c>
      <c r="AN379" s="180">
        <f>VLOOKUP($A379,'Key Inputs_BY Techs'!$B$198:$AJ$207,AN$310,FALSE)/8760</f>
        <v>0.5</v>
      </c>
      <c r="AO379" s="180">
        <f>VLOOKUP($A379,'Key Inputs_BY Techs'!$B$198:$AJ$207,AO$310,FALSE)/8760</f>
        <v>0.5</v>
      </c>
      <c r="AP379" s="180">
        <f>VLOOKUP($A379,'Key Inputs_BY Techs'!$B$198:$AJ$207,AP$310,FALSE)/8760</f>
        <v>0.5</v>
      </c>
      <c r="AQ379" s="180">
        <f>VLOOKUP($A379,'Key Inputs_BY Techs'!$B$198:$AJ$207,AQ$310,FALSE)/8760</f>
        <v>0.5</v>
      </c>
      <c r="AR379" s="180">
        <f>VLOOKUP($A379,'Key Inputs_BY Techs'!$B$198:$AJ$207,AR$310,FALSE)/8760</f>
        <v>0.5</v>
      </c>
      <c r="AS379" s="119"/>
      <c r="AT379" s="114"/>
      <c r="AV379" s="126"/>
      <c r="BF379" s="114"/>
      <c r="BG379" s="122"/>
      <c r="BH379" s="122"/>
    </row>
    <row r="380" spans="1:60" x14ac:dyDescent="0.25">
      <c r="K380" s="270" t="s">
        <v>263</v>
      </c>
      <c r="L380" s="271"/>
      <c r="M380" s="271"/>
      <c r="N380" s="271"/>
      <c r="O380" s="272"/>
      <c r="P380" s="272"/>
      <c r="Q380" s="272"/>
      <c r="R380" s="272"/>
      <c r="S380" s="272"/>
      <c r="T380" s="272"/>
      <c r="U380" s="272"/>
      <c r="V380" s="272"/>
      <c r="W380" s="272"/>
      <c r="X380" s="272"/>
      <c r="Y380" s="272"/>
      <c r="Z380" s="272"/>
      <c r="AA380" s="272"/>
      <c r="AB380" s="272"/>
      <c r="AC380" s="272"/>
      <c r="AD380" s="272"/>
      <c r="AE380" s="272"/>
      <c r="AF380" s="272"/>
      <c r="AG380" s="272"/>
      <c r="AH380" s="272"/>
      <c r="AI380" s="272"/>
      <c r="AJ380" s="272"/>
      <c r="AK380" s="272"/>
      <c r="AL380" s="272"/>
      <c r="AM380" s="272"/>
      <c r="AN380" s="272"/>
      <c r="AO380" s="272"/>
      <c r="AP380" s="272"/>
      <c r="AQ380" s="272"/>
      <c r="AR380" s="272"/>
    </row>
    <row r="381" spans="1:60" ht="15.75" x14ac:dyDescent="0.25">
      <c r="D381" s="245" t="str">
        <f>Legend!B$63</f>
        <v>RSDBGS</v>
      </c>
      <c r="K381" s="201" t="str">
        <f>IF('Commodities &amp; Processes'!L$65="",'Commodities &amp; Processes'!K$65,'Commodities &amp; Processes'!L$65)</f>
        <v>R-THL-BLR_GAS01</v>
      </c>
      <c r="L381" s="109" t="str">
        <f>IF('Commodities &amp; Processes'!M$65="","",'Commodities &amp; Processes'!M$65)</f>
        <v>RSD Thermal uses technology: Natural gas,Biogas Boiler (Ord.) -New</v>
      </c>
      <c r="M381" s="109" t="str">
        <f>IF(D381="","",D381)</f>
        <v>RSDBGS</v>
      </c>
      <c r="O381" s="114" t="s">
        <v>203</v>
      </c>
      <c r="P381" s="120" t="s">
        <v>174</v>
      </c>
      <c r="Q381" s="181">
        <f>'Key Inputs_BY Techs'!I$218</f>
        <v>0</v>
      </c>
      <c r="R381" s="181">
        <f>'Key Inputs_BY Techs'!J$218</f>
        <v>0</v>
      </c>
      <c r="S381" s="181">
        <f>'Key Inputs_BY Techs'!K$218</f>
        <v>0</v>
      </c>
      <c r="T381" s="181">
        <f>'Key Inputs_BY Techs'!L$218</f>
        <v>0</v>
      </c>
      <c r="U381" s="181">
        <f>'Key Inputs_BY Techs'!M$218</f>
        <v>0</v>
      </c>
      <c r="V381" s="181">
        <f>'Key Inputs_BY Techs'!N$218</f>
        <v>0</v>
      </c>
      <c r="W381" s="181">
        <f>'Key Inputs_BY Techs'!O$218</f>
        <v>3.1210986267166043E-4</v>
      </c>
      <c r="X381" s="181">
        <f>'Key Inputs_BY Techs'!P$218</f>
        <v>1.5788763536334832E-2</v>
      </c>
      <c r="Y381" s="181">
        <f>'Key Inputs_BY Techs'!Q$218</f>
        <v>0</v>
      </c>
      <c r="Z381" s="181">
        <f>'Key Inputs_BY Techs'!R$218</f>
        <v>0</v>
      </c>
      <c r="AA381" s="181">
        <f>'Key Inputs_BY Techs'!S$218</f>
        <v>5.7200057200057204E-4</v>
      </c>
      <c r="AB381" s="181">
        <f>'Key Inputs_BY Techs'!T$218</f>
        <v>0</v>
      </c>
      <c r="AC381" s="181">
        <f>'Key Inputs_BY Techs'!U$218</f>
        <v>0</v>
      </c>
      <c r="AD381" s="181">
        <f>'Key Inputs_BY Techs'!V$218</f>
        <v>0</v>
      </c>
      <c r="AE381" s="181">
        <f>'Key Inputs_BY Techs'!W$218</f>
        <v>0</v>
      </c>
      <c r="AF381" s="181">
        <f>'Key Inputs_BY Techs'!X$218</f>
        <v>0</v>
      </c>
      <c r="AG381" s="181">
        <f>'Key Inputs_BY Techs'!Y$218</f>
        <v>5.4885009113709495E-3</v>
      </c>
      <c r="AH381" s="181">
        <f>'Key Inputs_BY Techs'!Z$218</f>
        <v>0.35714285714285715</v>
      </c>
      <c r="AI381" s="181">
        <f>'Key Inputs_BY Techs'!AA$218</f>
        <v>0</v>
      </c>
      <c r="AJ381" s="181">
        <f>'Key Inputs_BY Techs'!AB$218</f>
        <v>0</v>
      </c>
      <c r="AK381" s="181">
        <f>'Key Inputs_BY Techs'!AC$218</f>
        <v>5.222150272596244E-6</v>
      </c>
      <c r="AL381" s="181">
        <f>'Key Inputs_BY Techs'!AD$218</f>
        <v>0</v>
      </c>
      <c r="AM381" s="181">
        <f>'Key Inputs_BY Techs'!AE$218</f>
        <v>0</v>
      </c>
      <c r="AN381" s="181">
        <f>'Key Inputs_BY Techs'!AF$218</f>
        <v>0</v>
      </c>
      <c r="AO381" s="181">
        <f>'Key Inputs_BY Techs'!AG$218</f>
        <v>0</v>
      </c>
      <c r="AP381" s="181">
        <f>'Key Inputs_BY Techs'!AH$218</f>
        <v>0</v>
      </c>
      <c r="AQ381" s="181">
        <f>'Key Inputs_BY Techs'!AI$218</f>
        <v>0</v>
      </c>
      <c r="AR381" s="181">
        <f>'Key Inputs_BY Techs'!AJ$218</f>
        <v>0</v>
      </c>
    </row>
    <row r="382" spans="1:60" ht="15.75" x14ac:dyDescent="0.25">
      <c r="D382" s="245" t="str">
        <f>Legend!B$63</f>
        <v>RSDBGS</v>
      </c>
      <c r="K382" s="201" t="str">
        <f>IF('Commodities &amp; Processes'!L$66="",'Commodities &amp; Processes'!K$66,'Commodities &amp; Processes'!L$66)</f>
        <v>R-THL-BLR_GAS02</v>
      </c>
      <c r="L382" s="109" t="str">
        <f>IF('Commodities &amp; Processes'!M$66="","",'Commodities &amp; Processes'!M$66)</f>
        <v>RSD Thermal uses technology: Natural gas,Biogas Boiler cond. (Ord.) -New</v>
      </c>
      <c r="M382" s="109" t="str">
        <f>IF(D382="","",D382)</f>
        <v>RSDBGS</v>
      </c>
      <c r="O382" s="114" t="s">
        <v>203</v>
      </c>
      <c r="P382" s="120" t="s">
        <v>174</v>
      </c>
      <c r="Q382" s="181">
        <f>'Key Inputs_BY Techs'!I$218</f>
        <v>0</v>
      </c>
      <c r="R382" s="181">
        <f>'Key Inputs_BY Techs'!J$218</f>
        <v>0</v>
      </c>
      <c r="S382" s="181">
        <f>'Key Inputs_BY Techs'!K$218</f>
        <v>0</v>
      </c>
      <c r="T382" s="181">
        <f>'Key Inputs_BY Techs'!L$218</f>
        <v>0</v>
      </c>
      <c r="U382" s="181">
        <f>'Key Inputs_BY Techs'!M$218</f>
        <v>0</v>
      </c>
      <c r="V382" s="181">
        <f>'Key Inputs_BY Techs'!N$218</f>
        <v>0</v>
      </c>
      <c r="W382" s="181">
        <f>'Key Inputs_BY Techs'!O$218</f>
        <v>3.1210986267166043E-4</v>
      </c>
      <c r="X382" s="181">
        <f>'Key Inputs_BY Techs'!P$218</f>
        <v>1.5788763536334832E-2</v>
      </c>
      <c r="Y382" s="181">
        <f>'Key Inputs_BY Techs'!Q$218</f>
        <v>0</v>
      </c>
      <c r="Z382" s="181">
        <f>'Key Inputs_BY Techs'!R$218</f>
        <v>0</v>
      </c>
      <c r="AA382" s="181">
        <f>'Key Inputs_BY Techs'!S$218</f>
        <v>5.7200057200057204E-4</v>
      </c>
      <c r="AB382" s="181">
        <f>'Key Inputs_BY Techs'!T$218</f>
        <v>0</v>
      </c>
      <c r="AC382" s="181">
        <f>'Key Inputs_BY Techs'!U$218</f>
        <v>0</v>
      </c>
      <c r="AD382" s="181">
        <f>'Key Inputs_BY Techs'!V$218</f>
        <v>0</v>
      </c>
      <c r="AE382" s="181">
        <f>'Key Inputs_BY Techs'!W$218</f>
        <v>0</v>
      </c>
      <c r="AF382" s="181">
        <f>'Key Inputs_BY Techs'!X$218</f>
        <v>0</v>
      </c>
      <c r="AG382" s="181">
        <f>'Key Inputs_BY Techs'!Y$218</f>
        <v>5.4885009113709495E-3</v>
      </c>
      <c r="AH382" s="181">
        <f>'Key Inputs_BY Techs'!Z$218</f>
        <v>0.35714285714285715</v>
      </c>
      <c r="AI382" s="181">
        <f>'Key Inputs_BY Techs'!AA$218</f>
        <v>0</v>
      </c>
      <c r="AJ382" s="181">
        <f>'Key Inputs_BY Techs'!AB$218</f>
        <v>0</v>
      </c>
      <c r="AK382" s="181">
        <f>'Key Inputs_BY Techs'!AC$218</f>
        <v>5.222150272596244E-6</v>
      </c>
      <c r="AL382" s="181">
        <f>'Key Inputs_BY Techs'!AD$218</f>
        <v>0</v>
      </c>
      <c r="AM382" s="181">
        <f>'Key Inputs_BY Techs'!AE$218</f>
        <v>0</v>
      </c>
      <c r="AN382" s="181">
        <f>'Key Inputs_BY Techs'!AF$218</f>
        <v>0</v>
      </c>
      <c r="AO382" s="181">
        <f>'Key Inputs_BY Techs'!AG$218</f>
        <v>0</v>
      </c>
      <c r="AP382" s="181">
        <f>'Key Inputs_BY Techs'!AH$218</f>
        <v>0</v>
      </c>
      <c r="AQ382" s="181">
        <f>'Key Inputs_BY Techs'!AI$218</f>
        <v>0</v>
      </c>
      <c r="AR382" s="181">
        <f>'Key Inputs_BY Techs'!AJ$218</f>
        <v>0</v>
      </c>
    </row>
    <row r="383" spans="1:60" ht="15.75" x14ac:dyDescent="0.25">
      <c r="D383" s="245" t="str">
        <f>Legend!B$63</f>
        <v>RSDBGS</v>
      </c>
      <c r="K383" s="201" t="str">
        <f>IF('Commodities &amp; Processes'!L$67="",'Commodities &amp; Processes'!K$67,'Commodities &amp; Processes'!L$67)</f>
        <v>R-THL-BLR_GAS03</v>
      </c>
      <c r="L383" s="109" t="str">
        <f>IF('Commodities &amp; Processes'!M$67="","",'Commodities &amp; Processes'!M$67)</f>
        <v>RSD Thermal uses technology: Natural gas,Biogas Boiler (Imp.) -New</v>
      </c>
      <c r="M383" s="109" t="str">
        <f>IF(D383="","",D383)</f>
        <v>RSDBGS</v>
      </c>
      <c r="O383" s="114" t="s">
        <v>203</v>
      </c>
      <c r="P383" s="120" t="s">
        <v>174</v>
      </c>
      <c r="Q383" s="181">
        <f>'Key Inputs_BY Techs'!I$218</f>
        <v>0</v>
      </c>
      <c r="R383" s="181">
        <f>'Key Inputs_BY Techs'!J$218</f>
        <v>0</v>
      </c>
      <c r="S383" s="181">
        <f>'Key Inputs_BY Techs'!K$218</f>
        <v>0</v>
      </c>
      <c r="T383" s="181">
        <f>'Key Inputs_BY Techs'!L$218</f>
        <v>0</v>
      </c>
      <c r="U383" s="181">
        <f>'Key Inputs_BY Techs'!M$218</f>
        <v>0</v>
      </c>
      <c r="V383" s="181">
        <f>'Key Inputs_BY Techs'!N$218</f>
        <v>0</v>
      </c>
      <c r="W383" s="181">
        <f>'Key Inputs_BY Techs'!O$218</f>
        <v>3.1210986267166043E-4</v>
      </c>
      <c r="X383" s="181">
        <f>'Key Inputs_BY Techs'!P$218</f>
        <v>1.5788763536334832E-2</v>
      </c>
      <c r="Y383" s="181">
        <f>'Key Inputs_BY Techs'!Q$218</f>
        <v>0</v>
      </c>
      <c r="Z383" s="181">
        <f>'Key Inputs_BY Techs'!R$218</f>
        <v>0</v>
      </c>
      <c r="AA383" s="181">
        <f>'Key Inputs_BY Techs'!S$218</f>
        <v>5.7200057200057204E-4</v>
      </c>
      <c r="AB383" s="181">
        <f>'Key Inputs_BY Techs'!T$218</f>
        <v>0</v>
      </c>
      <c r="AC383" s="181">
        <f>'Key Inputs_BY Techs'!U$218</f>
        <v>0</v>
      </c>
      <c r="AD383" s="181">
        <f>'Key Inputs_BY Techs'!V$218</f>
        <v>0</v>
      </c>
      <c r="AE383" s="181">
        <f>'Key Inputs_BY Techs'!W$218</f>
        <v>0</v>
      </c>
      <c r="AF383" s="181">
        <f>'Key Inputs_BY Techs'!X$218</f>
        <v>0</v>
      </c>
      <c r="AG383" s="181">
        <f>'Key Inputs_BY Techs'!Y$218</f>
        <v>5.4885009113709495E-3</v>
      </c>
      <c r="AH383" s="181">
        <f>'Key Inputs_BY Techs'!Z$218</f>
        <v>0.35714285714285715</v>
      </c>
      <c r="AI383" s="181">
        <f>'Key Inputs_BY Techs'!AA$218</f>
        <v>0</v>
      </c>
      <c r="AJ383" s="181">
        <f>'Key Inputs_BY Techs'!AB$218</f>
        <v>0</v>
      </c>
      <c r="AK383" s="181">
        <f>'Key Inputs_BY Techs'!AC$218</f>
        <v>5.222150272596244E-6</v>
      </c>
      <c r="AL383" s="181">
        <f>'Key Inputs_BY Techs'!AD$218</f>
        <v>0</v>
      </c>
      <c r="AM383" s="181">
        <f>'Key Inputs_BY Techs'!AE$218</f>
        <v>0</v>
      </c>
      <c r="AN383" s="181">
        <f>'Key Inputs_BY Techs'!AF$218</f>
        <v>0</v>
      </c>
      <c r="AO383" s="181">
        <f>'Key Inputs_BY Techs'!AG$218</f>
        <v>0</v>
      </c>
      <c r="AP383" s="181">
        <f>'Key Inputs_BY Techs'!AH$218</f>
        <v>0</v>
      </c>
      <c r="AQ383" s="181">
        <f>'Key Inputs_BY Techs'!AI$218</f>
        <v>0</v>
      </c>
      <c r="AR383" s="181">
        <f>'Key Inputs_BY Techs'!AJ$218</f>
        <v>0</v>
      </c>
    </row>
    <row r="384" spans="1:60" ht="15.75" x14ac:dyDescent="0.25">
      <c r="D384" s="245" t="str">
        <f>Legend!B$63</f>
        <v>RSDBGS</v>
      </c>
      <c r="K384" s="201" t="str">
        <f>IF('Commodities &amp; Processes'!L$68="",'Commodities &amp; Processes'!K$68,'Commodities &amp; Processes'!L$68)</f>
        <v>R-THL-BLR_GAS04</v>
      </c>
      <c r="L384" s="109" t="str">
        <f>IF('Commodities &amp; Processes'!M$68="",'Commodities &amp; Processes'!L$68,'Commodities &amp; Processes'!M$68)</f>
        <v>RSD Thermal uses technology: Natural gas,Biogas Boiler cond. (Imp.) -New</v>
      </c>
      <c r="M384" s="109" t="str">
        <f>IF(D384="","",D384)</f>
        <v>RSDBGS</v>
      </c>
      <c r="O384" s="114" t="s">
        <v>203</v>
      </c>
      <c r="P384" s="120" t="s">
        <v>174</v>
      </c>
      <c r="Q384" s="181">
        <f>'Key Inputs_BY Techs'!I$218</f>
        <v>0</v>
      </c>
      <c r="R384" s="181">
        <f>'Key Inputs_BY Techs'!J$218</f>
        <v>0</v>
      </c>
      <c r="S384" s="181">
        <f>'Key Inputs_BY Techs'!K$218</f>
        <v>0</v>
      </c>
      <c r="T384" s="181">
        <f>'Key Inputs_BY Techs'!L$218</f>
        <v>0</v>
      </c>
      <c r="U384" s="181">
        <f>'Key Inputs_BY Techs'!M$218</f>
        <v>0</v>
      </c>
      <c r="V384" s="181">
        <f>'Key Inputs_BY Techs'!N$218</f>
        <v>0</v>
      </c>
      <c r="W384" s="181">
        <f>'Key Inputs_BY Techs'!O$218</f>
        <v>3.1210986267166043E-4</v>
      </c>
      <c r="X384" s="181">
        <f>'Key Inputs_BY Techs'!P$218</f>
        <v>1.5788763536334832E-2</v>
      </c>
      <c r="Y384" s="181">
        <f>'Key Inputs_BY Techs'!Q$218</f>
        <v>0</v>
      </c>
      <c r="Z384" s="181">
        <f>'Key Inputs_BY Techs'!R$218</f>
        <v>0</v>
      </c>
      <c r="AA384" s="181">
        <f>'Key Inputs_BY Techs'!S$218</f>
        <v>5.7200057200057204E-4</v>
      </c>
      <c r="AB384" s="181">
        <f>'Key Inputs_BY Techs'!T$218</f>
        <v>0</v>
      </c>
      <c r="AC384" s="181">
        <f>'Key Inputs_BY Techs'!U$218</f>
        <v>0</v>
      </c>
      <c r="AD384" s="181">
        <f>'Key Inputs_BY Techs'!V$218</f>
        <v>0</v>
      </c>
      <c r="AE384" s="181">
        <f>'Key Inputs_BY Techs'!W$218</f>
        <v>0</v>
      </c>
      <c r="AF384" s="181">
        <f>'Key Inputs_BY Techs'!X$218</f>
        <v>0</v>
      </c>
      <c r="AG384" s="181">
        <f>'Key Inputs_BY Techs'!Y$218</f>
        <v>5.4885009113709495E-3</v>
      </c>
      <c r="AH384" s="181">
        <f>'Key Inputs_BY Techs'!Z$218</f>
        <v>0.35714285714285715</v>
      </c>
      <c r="AI384" s="181">
        <f>'Key Inputs_BY Techs'!AA$218</f>
        <v>0</v>
      </c>
      <c r="AJ384" s="181">
        <f>'Key Inputs_BY Techs'!AB$218</f>
        <v>0</v>
      </c>
      <c r="AK384" s="181">
        <f>'Key Inputs_BY Techs'!AC$218</f>
        <v>5.222150272596244E-6</v>
      </c>
      <c r="AL384" s="181">
        <f>'Key Inputs_BY Techs'!AD$218</f>
        <v>0</v>
      </c>
      <c r="AM384" s="181">
        <f>'Key Inputs_BY Techs'!AE$218</f>
        <v>0</v>
      </c>
      <c r="AN384" s="181">
        <f>'Key Inputs_BY Techs'!AF$218</f>
        <v>0</v>
      </c>
      <c r="AO384" s="181">
        <f>'Key Inputs_BY Techs'!AG$218</f>
        <v>0</v>
      </c>
      <c r="AP384" s="181">
        <f>'Key Inputs_BY Techs'!AH$218</f>
        <v>0</v>
      </c>
      <c r="AQ384" s="181">
        <f>'Key Inputs_BY Techs'!AI$218</f>
        <v>0</v>
      </c>
      <c r="AR384" s="181">
        <f>'Key Inputs_BY Techs'!AJ$218</f>
        <v>0</v>
      </c>
    </row>
    <row r="385" spans="4:44" ht="15.75" x14ac:dyDescent="0.25">
      <c r="D385" s="245" t="str">
        <f>Legend!B$63</f>
        <v>RSDBGS</v>
      </c>
      <c r="K385" s="201" t="str">
        <f>IF('Commodities &amp; Processes'!L$69="",'Commodities &amp; Processes'!K$69,'Commodities &amp; Processes'!L$69)</f>
        <v>R-THL-HPA_GAS05</v>
      </c>
      <c r="L385" s="109" t="str">
        <f>IF('Commodities &amp; Processes'!M$69="","",'Commodities &amp; Processes'!M$69)</f>
        <v>RSD Thermal uses technology: Natural gas,Biogas Heat Pump (Ord.) -New</v>
      </c>
      <c r="M385" s="109" t="str">
        <f>IF(D385="","",D385)</f>
        <v>RSDBGS</v>
      </c>
      <c r="O385" s="114" t="s">
        <v>203</v>
      </c>
      <c r="P385" s="120" t="s">
        <v>174</v>
      </c>
      <c r="Q385" s="181">
        <f>'Key Inputs_BY Techs'!I$218</f>
        <v>0</v>
      </c>
      <c r="R385" s="181">
        <f>'Key Inputs_BY Techs'!J$218</f>
        <v>0</v>
      </c>
      <c r="S385" s="181">
        <f>'Key Inputs_BY Techs'!K$218</f>
        <v>0</v>
      </c>
      <c r="T385" s="181">
        <f>'Key Inputs_BY Techs'!L$218</f>
        <v>0</v>
      </c>
      <c r="U385" s="181">
        <f>'Key Inputs_BY Techs'!M$218</f>
        <v>0</v>
      </c>
      <c r="V385" s="181">
        <f>'Key Inputs_BY Techs'!N$218</f>
        <v>0</v>
      </c>
      <c r="W385" s="181">
        <f>'Key Inputs_BY Techs'!O$218</f>
        <v>3.1210986267166043E-4</v>
      </c>
      <c r="X385" s="181">
        <f>'Key Inputs_BY Techs'!P$218</f>
        <v>1.5788763536334832E-2</v>
      </c>
      <c r="Y385" s="181">
        <f>'Key Inputs_BY Techs'!Q$218</f>
        <v>0</v>
      </c>
      <c r="Z385" s="181">
        <f>'Key Inputs_BY Techs'!R$218</f>
        <v>0</v>
      </c>
      <c r="AA385" s="181">
        <f>'Key Inputs_BY Techs'!S$218</f>
        <v>5.7200057200057204E-4</v>
      </c>
      <c r="AB385" s="181">
        <f>'Key Inputs_BY Techs'!T$218</f>
        <v>0</v>
      </c>
      <c r="AC385" s="181">
        <f>'Key Inputs_BY Techs'!U$218</f>
        <v>0</v>
      </c>
      <c r="AD385" s="181">
        <f>'Key Inputs_BY Techs'!V$218</f>
        <v>0</v>
      </c>
      <c r="AE385" s="181">
        <f>'Key Inputs_BY Techs'!W$218</f>
        <v>0</v>
      </c>
      <c r="AF385" s="181">
        <f>'Key Inputs_BY Techs'!X$218</f>
        <v>0</v>
      </c>
      <c r="AG385" s="181">
        <f>'Key Inputs_BY Techs'!Y$218</f>
        <v>5.4885009113709495E-3</v>
      </c>
      <c r="AH385" s="181">
        <f>'Key Inputs_BY Techs'!Z$218</f>
        <v>0.35714285714285715</v>
      </c>
      <c r="AI385" s="181">
        <f>'Key Inputs_BY Techs'!AA$218</f>
        <v>0</v>
      </c>
      <c r="AJ385" s="181">
        <f>'Key Inputs_BY Techs'!AB$218</f>
        <v>0</v>
      </c>
      <c r="AK385" s="181">
        <f>'Key Inputs_BY Techs'!AC$218</f>
        <v>5.222150272596244E-6</v>
      </c>
      <c r="AL385" s="181">
        <f>'Key Inputs_BY Techs'!AD$218</f>
        <v>0</v>
      </c>
      <c r="AM385" s="181">
        <f>'Key Inputs_BY Techs'!AE$218</f>
        <v>0</v>
      </c>
      <c r="AN385" s="181">
        <f>'Key Inputs_BY Techs'!AF$218</f>
        <v>0</v>
      </c>
      <c r="AO385" s="181">
        <f>'Key Inputs_BY Techs'!AG$218</f>
        <v>0</v>
      </c>
      <c r="AP385" s="181">
        <f>'Key Inputs_BY Techs'!AH$218</f>
        <v>0</v>
      </c>
      <c r="AQ385" s="181">
        <f>'Key Inputs_BY Techs'!AI$218</f>
        <v>0</v>
      </c>
      <c r="AR385" s="181">
        <f>'Key Inputs_BY Techs'!AJ$218</f>
        <v>0</v>
      </c>
    </row>
    <row r="386" spans="4:44" ht="15.75" x14ac:dyDescent="0.25">
      <c r="D386" s="245" t="str">
        <f>Legend!B$63</f>
        <v>RSDBGS</v>
      </c>
      <c r="K386" s="201" t="str">
        <f>IF('Commodities &amp; Processes'!L$70="",'Commodities &amp; Processes'!K$70,'Commodities &amp; Processes'!L$70)</f>
        <v>R-THL-HPA_GAS06</v>
      </c>
      <c r="L386" s="109" t="str">
        <f>IF('Commodities &amp; Processes'!M$70="","",'Commodities &amp; Processes'!M$70)</f>
        <v>RSD Thermal uses technology: Natural gas,Biogas Heat Pump (Imp.) -New</v>
      </c>
      <c r="M386" s="109" t="str">
        <f>IF(D385="","",D385)</f>
        <v>RSDBGS</v>
      </c>
      <c r="O386" s="114" t="s">
        <v>203</v>
      </c>
      <c r="P386" s="120" t="s">
        <v>174</v>
      </c>
      <c r="Q386" s="181">
        <f>'Key Inputs_BY Techs'!I$218</f>
        <v>0</v>
      </c>
      <c r="R386" s="181">
        <f>'Key Inputs_BY Techs'!J$218</f>
        <v>0</v>
      </c>
      <c r="S386" s="181">
        <f>'Key Inputs_BY Techs'!K$218</f>
        <v>0</v>
      </c>
      <c r="T386" s="181">
        <f>'Key Inputs_BY Techs'!L$218</f>
        <v>0</v>
      </c>
      <c r="U386" s="181">
        <f>'Key Inputs_BY Techs'!M$218</f>
        <v>0</v>
      </c>
      <c r="V386" s="181">
        <f>'Key Inputs_BY Techs'!N$218</f>
        <v>0</v>
      </c>
      <c r="W386" s="181">
        <f>'Key Inputs_BY Techs'!O$218</f>
        <v>3.1210986267166043E-4</v>
      </c>
      <c r="X386" s="181">
        <f>'Key Inputs_BY Techs'!P$218</f>
        <v>1.5788763536334832E-2</v>
      </c>
      <c r="Y386" s="181">
        <f>'Key Inputs_BY Techs'!Q$218</f>
        <v>0</v>
      </c>
      <c r="Z386" s="181">
        <f>'Key Inputs_BY Techs'!R$218</f>
        <v>0</v>
      </c>
      <c r="AA386" s="181">
        <f>'Key Inputs_BY Techs'!S$218</f>
        <v>5.7200057200057204E-4</v>
      </c>
      <c r="AB386" s="181">
        <f>'Key Inputs_BY Techs'!T$218</f>
        <v>0</v>
      </c>
      <c r="AC386" s="181">
        <f>'Key Inputs_BY Techs'!U$218</f>
        <v>0</v>
      </c>
      <c r="AD386" s="181">
        <f>'Key Inputs_BY Techs'!V$218</f>
        <v>0</v>
      </c>
      <c r="AE386" s="181">
        <f>'Key Inputs_BY Techs'!W$218</f>
        <v>0</v>
      </c>
      <c r="AF386" s="181">
        <f>'Key Inputs_BY Techs'!X$218</f>
        <v>0</v>
      </c>
      <c r="AG386" s="181">
        <f>'Key Inputs_BY Techs'!Y$218</f>
        <v>5.4885009113709495E-3</v>
      </c>
      <c r="AH386" s="181">
        <f>'Key Inputs_BY Techs'!Z$218</f>
        <v>0.35714285714285715</v>
      </c>
      <c r="AI386" s="181">
        <f>'Key Inputs_BY Techs'!AA$218</f>
        <v>0</v>
      </c>
      <c r="AJ386" s="181">
        <f>'Key Inputs_BY Techs'!AB$218</f>
        <v>0</v>
      </c>
      <c r="AK386" s="181">
        <f>'Key Inputs_BY Techs'!AC$218</f>
        <v>5.222150272596244E-6</v>
      </c>
      <c r="AL386" s="181">
        <f>'Key Inputs_BY Techs'!AD$218</f>
        <v>0</v>
      </c>
      <c r="AM386" s="181">
        <f>'Key Inputs_BY Techs'!AE$218</f>
        <v>0</v>
      </c>
      <c r="AN386" s="181">
        <f>'Key Inputs_BY Techs'!AF$218</f>
        <v>0</v>
      </c>
      <c r="AO386" s="181">
        <f>'Key Inputs_BY Techs'!AG$218</f>
        <v>0</v>
      </c>
      <c r="AP386" s="181">
        <f>'Key Inputs_BY Techs'!AH$218</f>
        <v>0</v>
      </c>
      <c r="AQ386" s="181">
        <f>'Key Inputs_BY Techs'!AI$218</f>
        <v>0</v>
      </c>
      <c r="AR386" s="181">
        <f>'Key Inputs_BY Techs'!AJ$218</f>
        <v>0</v>
      </c>
    </row>
    <row r="387" spans="4:44" ht="15.75" x14ac:dyDescent="0.25">
      <c r="D387" s="245" t="str">
        <f>Legend!B$63</f>
        <v>RSDBGS</v>
      </c>
      <c r="K387" s="201" t="str">
        <f>IF('Commodities &amp; Processes'!L$71="",'Commodities &amp; Processes'!K$71,'Commodities &amp; Processes'!L$71)</f>
        <v>R-THL-HPA_GAS07</v>
      </c>
      <c r="L387" s="109" t="str">
        <f>IF('Commodities &amp; Processes'!M$71="","",'Commodities &amp; Processes'!M$71)</f>
        <v>RSD Thermal uses technology: Natural gas,Biogas Heat Pump (Adv.) -New</v>
      </c>
      <c r="M387" s="109" t="str">
        <f t="shared" ref="M387:M392" si="82">IF(D387="","",D387)</f>
        <v>RSDBGS</v>
      </c>
      <c r="O387" s="114" t="s">
        <v>203</v>
      </c>
      <c r="P387" s="120" t="s">
        <v>174</v>
      </c>
      <c r="Q387" s="181">
        <f>'Key Inputs_BY Techs'!I$218</f>
        <v>0</v>
      </c>
      <c r="R387" s="181">
        <f>'Key Inputs_BY Techs'!J$218</f>
        <v>0</v>
      </c>
      <c r="S387" s="181">
        <f>'Key Inputs_BY Techs'!K$218</f>
        <v>0</v>
      </c>
      <c r="T387" s="181">
        <f>'Key Inputs_BY Techs'!L$218</f>
        <v>0</v>
      </c>
      <c r="U387" s="181">
        <f>'Key Inputs_BY Techs'!M$218</f>
        <v>0</v>
      </c>
      <c r="V387" s="181">
        <f>'Key Inputs_BY Techs'!N$218</f>
        <v>0</v>
      </c>
      <c r="W387" s="181">
        <f>'Key Inputs_BY Techs'!O$218</f>
        <v>3.1210986267166043E-4</v>
      </c>
      <c r="X387" s="181">
        <f>'Key Inputs_BY Techs'!P$218</f>
        <v>1.5788763536334832E-2</v>
      </c>
      <c r="Y387" s="181">
        <f>'Key Inputs_BY Techs'!Q$218</f>
        <v>0</v>
      </c>
      <c r="Z387" s="181">
        <f>'Key Inputs_BY Techs'!R$218</f>
        <v>0</v>
      </c>
      <c r="AA387" s="181">
        <f>'Key Inputs_BY Techs'!S$218</f>
        <v>5.7200057200057204E-4</v>
      </c>
      <c r="AB387" s="181">
        <f>'Key Inputs_BY Techs'!T$218</f>
        <v>0</v>
      </c>
      <c r="AC387" s="181">
        <f>'Key Inputs_BY Techs'!U$218</f>
        <v>0</v>
      </c>
      <c r="AD387" s="181">
        <f>'Key Inputs_BY Techs'!V$218</f>
        <v>0</v>
      </c>
      <c r="AE387" s="181">
        <f>'Key Inputs_BY Techs'!W$218</f>
        <v>0</v>
      </c>
      <c r="AF387" s="181">
        <f>'Key Inputs_BY Techs'!X$218</f>
        <v>0</v>
      </c>
      <c r="AG387" s="181">
        <f>'Key Inputs_BY Techs'!Y$218</f>
        <v>5.4885009113709495E-3</v>
      </c>
      <c r="AH387" s="181">
        <f>'Key Inputs_BY Techs'!Z$218</f>
        <v>0.35714285714285715</v>
      </c>
      <c r="AI387" s="181">
        <f>'Key Inputs_BY Techs'!AA$218</f>
        <v>0</v>
      </c>
      <c r="AJ387" s="181">
        <f>'Key Inputs_BY Techs'!AB$218</f>
        <v>0</v>
      </c>
      <c r="AK387" s="181">
        <f>'Key Inputs_BY Techs'!AC$218</f>
        <v>5.222150272596244E-6</v>
      </c>
      <c r="AL387" s="181">
        <f>'Key Inputs_BY Techs'!AD$218</f>
        <v>0</v>
      </c>
      <c r="AM387" s="181">
        <f>'Key Inputs_BY Techs'!AE$218</f>
        <v>0</v>
      </c>
      <c r="AN387" s="181">
        <f>'Key Inputs_BY Techs'!AF$218</f>
        <v>0</v>
      </c>
      <c r="AO387" s="181">
        <f>'Key Inputs_BY Techs'!AG$218</f>
        <v>0</v>
      </c>
      <c r="AP387" s="181">
        <f>'Key Inputs_BY Techs'!AH$218</f>
        <v>0</v>
      </c>
      <c r="AQ387" s="181">
        <f>'Key Inputs_BY Techs'!AI$218</f>
        <v>0</v>
      </c>
      <c r="AR387" s="181">
        <f>'Key Inputs_BY Techs'!AJ$218</f>
        <v>0</v>
      </c>
    </row>
    <row r="388" spans="4:44" ht="15.75" x14ac:dyDescent="0.25">
      <c r="D388" s="245" t="str">
        <f>Legend!B$72</f>
        <v>RSDGAM</v>
      </c>
      <c r="K388" s="201" t="str">
        <f>IF('Commodities &amp; Processes'!L$65="",'Commodities &amp; Processes'!K$65,'Commodities &amp; Processes'!L$65)</f>
        <v>R-THL-BLR_GAS01</v>
      </c>
      <c r="L388" s="109" t="str">
        <f>IF('Commodities &amp; Processes'!M$65="","",'Commodities &amp; Processes'!M$65)</f>
        <v>RSD Thermal uses technology: Natural gas,Biogas Boiler (Ord.) -New</v>
      </c>
      <c r="M388" s="109" t="str">
        <f t="shared" si="82"/>
        <v>RSDGAM</v>
      </c>
      <c r="O388" s="114" t="s">
        <v>203</v>
      </c>
      <c r="P388" s="120" t="s">
        <v>174</v>
      </c>
      <c r="Q388" s="181">
        <f>'Key Inputs_BY Techs'!I$219</f>
        <v>0</v>
      </c>
      <c r="R388" s="181">
        <f>'Key Inputs_BY Techs'!J$219</f>
        <v>0</v>
      </c>
      <c r="S388" s="181">
        <f>'Key Inputs_BY Techs'!K$219</f>
        <v>0</v>
      </c>
      <c r="T388" s="181">
        <f>'Key Inputs_BY Techs'!L$219</f>
        <v>0</v>
      </c>
      <c r="U388" s="181">
        <f>'Key Inputs_BY Techs'!M$219</f>
        <v>0</v>
      </c>
      <c r="V388" s="181">
        <f>'Key Inputs_BY Techs'!N$219</f>
        <v>0</v>
      </c>
      <c r="W388" s="181">
        <f>'Key Inputs_BY Techs'!O$219</f>
        <v>0</v>
      </c>
      <c r="X388" s="181">
        <f>'Key Inputs_BY Techs'!P$219</f>
        <v>0</v>
      </c>
      <c r="Y388" s="181">
        <f>'Key Inputs_BY Techs'!Q$219</f>
        <v>0</v>
      </c>
      <c r="Z388" s="181">
        <f>'Key Inputs_BY Techs'!R$219</f>
        <v>0</v>
      </c>
      <c r="AA388" s="181">
        <f>'Key Inputs_BY Techs'!S$219</f>
        <v>0</v>
      </c>
      <c r="AB388" s="181">
        <f>'Key Inputs_BY Techs'!T$219</f>
        <v>7.2837675474756117E-3</v>
      </c>
      <c r="AC388" s="181">
        <f>'Key Inputs_BY Techs'!U$219</f>
        <v>0</v>
      </c>
      <c r="AD388" s="181">
        <f>'Key Inputs_BY Techs'!V$219</f>
        <v>0</v>
      </c>
      <c r="AE388" s="181">
        <f>'Key Inputs_BY Techs'!W$219</f>
        <v>0</v>
      </c>
      <c r="AF388" s="181">
        <f>'Key Inputs_BY Techs'!X$219</f>
        <v>0</v>
      </c>
      <c r="AG388" s="181">
        <f>'Key Inputs_BY Techs'!Y$219</f>
        <v>0</v>
      </c>
      <c r="AH388" s="181">
        <f>'Key Inputs_BY Techs'!Z$219</f>
        <v>0</v>
      </c>
      <c r="AI388" s="181">
        <f>'Key Inputs_BY Techs'!AA$219</f>
        <v>0</v>
      </c>
      <c r="AJ388" s="181">
        <f>'Key Inputs_BY Techs'!AB$219</f>
        <v>0</v>
      </c>
      <c r="AK388" s="181">
        <f>'Key Inputs_BY Techs'!AC$219</f>
        <v>0</v>
      </c>
      <c r="AL388" s="181">
        <f>'Key Inputs_BY Techs'!AD$219</f>
        <v>0</v>
      </c>
      <c r="AM388" s="181">
        <f>'Key Inputs_BY Techs'!AE$219</f>
        <v>0</v>
      </c>
      <c r="AN388" s="181">
        <f>'Key Inputs_BY Techs'!AF$219</f>
        <v>0</v>
      </c>
      <c r="AO388" s="181">
        <f>'Key Inputs_BY Techs'!AG$219</f>
        <v>0</v>
      </c>
      <c r="AP388" s="181">
        <f>'Key Inputs_BY Techs'!AH$219</f>
        <v>0</v>
      </c>
      <c r="AQ388" s="181">
        <f>'Key Inputs_BY Techs'!AI$219</f>
        <v>0</v>
      </c>
      <c r="AR388" s="181">
        <f>'Key Inputs_BY Techs'!AJ$219</f>
        <v>0</v>
      </c>
    </row>
    <row r="389" spans="4:44" ht="15.75" x14ac:dyDescent="0.25">
      <c r="D389" s="245" t="str">
        <f>Legend!B$72</f>
        <v>RSDGAM</v>
      </c>
      <c r="K389" s="201" t="str">
        <f>IF('Commodities &amp; Processes'!L$66="",'Commodities &amp; Processes'!K$66,'Commodities &amp; Processes'!L$66)</f>
        <v>R-THL-BLR_GAS02</v>
      </c>
      <c r="L389" s="109" t="str">
        <f>IF('Commodities &amp; Processes'!M$66="","",'Commodities &amp; Processes'!M$66)</f>
        <v>RSD Thermal uses technology: Natural gas,Biogas Boiler cond. (Ord.) -New</v>
      </c>
      <c r="M389" s="109" t="str">
        <f t="shared" si="82"/>
        <v>RSDGAM</v>
      </c>
      <c r="O389" s="114" t="s">
        <v>203</v>
      </c>
      <c r="P389" s="120" t="s">
        <v>174</v>
      </c>
      <c r="Q389" s="181">
        <f>'Key Inputs_BY Techs'!I$219</f>
        <v>0</v>
      </c>
      <c r="R389" s="181">
        <f>'Key Inputs_BY Techs'!J$219</f>
        <v>0</v>
      </c>
      <c r="S389" s="181">
        <f>'Key Inputs_BY Techs'!K$219</f>
        <v>0</v>
      </c>
      <c r="T389" s="181">
        <f>'Key Inputs_BY Techs'!L$219</f>
        <v>0</v>
      </c>
      <c r="U389" s="181">
        <f>'Key Inputs_BY Techs'!M$219</f>
        <v>0</v>
      </c>
      <c r="V389" s="181">
        <f>'Key Inputs_BY Techs'!N$219</f>
        <v>0</v>
      </c>
      <c r="W389" s="181">
        <f>'Key Inputs_BY Techs'!O$219</f>
        <v>0</v>
      </c>
      <c r="X389" s="181">
        <f>'Key Inputs_BY Techs'!P$219</f>
        <v>0</v>
      </c>
      <c r="Y389" s="181">
        <f>'Key Inputs_BY Techs'!Q$219</f>
        <v>0</v>
      </c>
      <c r="Z389" s="181">
        <f>'Key Inputs_BY Techs'!R$219</f>
        <v>0</v>
      </c>
      <c r="AA389" s="181">
        <f>'Key Inputs_BY Techs'!S$219</f>
        <v>0</v>
      </c>
      <c r="AB389" s="181">
        <f>'Key Inputs_BY Techs'!T$219</f>
        <v>7.2837675474756117E-3</v>
      </c>
      <c r="AC389" s="181">
        <f>'Key Inputs_BY Techs'!U$219</f>
        <v>0</v>
      </c>
      <c r="AD389" s="181">
        <f>'Key Inputs_BY Techs'!V$219</f>
        <v>0</v>
      </c>
      <c r="AE389" s="181">
        <f>'Key Inputs_BY Techs'!W$219</f>
        <v>0</v>
      </c>
      <c r="AF389" s="181">
        <f>'Key Inputs_BY Techs'!X$219</f>
        <v>0</v>
      </c>
      <c r="AG389" s="181">
        <f>'Key Inputs_BY Techs'!Y$219</f>
        <v>0</v>
      </c>
      <c r="AH389" s="181">
        <f>'Key Inputs_BY Techs'!Z$219</f>
        <v>0</v>
      </c>
      <c r="AI389" s="181">
        <f>'Key Inputs_BY Techs'!AA$219</f>
        <v>0</v>
      </c>
      <c r="AJ389" s="181">
        <f>'Key Inputs_BY Techs'!AB$219</f>
        <v>0</v>
      </c>
      <c r="AK389" s="181">
        <f>'Key Inputs_BY Techs'!AC$219</f>
        <v>0</v>
      </c>
      <c r="AL389" s="181">
        <f>'Key Inputs_BY Techs'!AD$219</f>
        <v>0</v>
      </c>
      <c r="AM389" s="181">
        <f>'Key Inputs_BY Techs'!AE$219</f>
        <v>0</v>
      </c>
      <c r="AN389" s="181">
        <f>'Key Inputs_BY Techs'!AF$219</f>
        <v>0</v>
      </c>
      <c r="AO389" s="181">
        <f>'Key Inputs_BY Techs'!AG$219</f>
        <v>0</v>
      </c>
      <c r="AP389" s="181">
        <f>'Key Inputs_BY Techs'!AH$219</f>
        <v>0</v>
      </c>
      <c r="AQ389" s="181">
        <f>'Key Inputs_BY Techs'!AI$219</f>
        <v>0</v>
      </c>
      <c r="AR389" s="181">
        <f>'Key Inputs_BY Techs'!AJ$219</f>
        <v>0</v>
      </c>
    </row>
    <row r="390" spans="4:44" ht="15.75" x14ac:dyDescent="0.25">
      <c r="D390" s="245" t="str">
        <f>Legend!B$72</f>
        <v>RSDGAM</v>
      </c>
      <c r="K390" s="201" t="str">
        <f>IF('Commodities &amp; Processes'!L$67="",'Commodities &amp; Processes'!K$67,'Commodities &amp; Processes'!L$67)</f>
        <v>R-THL-BLR_GAS03</v>
      </c>
      <c r="L390" s="109" t="str">
        <f>IF('Commodities &amp; Processes'!M$67="","",'Commodities &amp; Processes'!M$67)</f>
        <v>RSD Thermal uses technology: Natural gas,Biogas Boiler (Imp.) -New</v>
      </c>
      <c r="M390" s="109" t="str">
        <f t="shared" si="82"/>
        <v>RSDGAM</v>
      </c>
      <c r="O390" s="114" t="s">
        <v>203</v>
      </c>
      <c r="P390" s="120" t="s">
        <v>174</v>
      </c>
      <c r="Q390" s="181">
        <f>'Key Inputs_BY Techs'!I$219</f>
        <v>0</v>
      </c>
      <c r="R390" s="181">
        <f>'Key Inputs_BY Techs'!J$219</f>
        <v>0</v>
      </c>
      <c r="S390" s="181">
        <f>'Key Inputs_BY Techs'!K$219</f>
        <v>0</v>
      </c>
      <c r="T390" s="181">
        <f>'Key Inputs_BY Techs'!L$219</f>
        <v>0</v>
      </c>
      <c r="U390" s="181">
        <f>'Key Inputs_BY Techs'!M$219</f>
        <v>0</v>
      </c>
      <c r="V390" s="181">
        <f>'Key Inputs_BY Techs'!N$219</f>
        <v>0</v>
      </c>
      <c r="W390" s="181">
        <f>'Key Inputs_BY Techs'!O$219</f>
        <v>0</v>
      </c>
      <c r="X390" s="181">
        <f>'Key Inputs_BY Techs'!P$219</f>
        <v>0</v>
      </c>
      <c r="Y390" s="181">
        <f>'Key Inputs_BY Techs'!Q$219</f>
        <v>0</v>
      </c>
      <c r="Z390" s="181">
        <f>'Key Inputs_BY Techs'!R$219</f>
        <v>0</v>
      </c>
      <c r="AA390" s="181">
        <f>'Key Inputs_BY Techs'!S$219</f>
        <v>0</v>
      </c>
      <c r="AB390" s="181">
        <f>'Key Inputs_BY Techs'!T$219</f>
        <v>7.2837675474756117E-3</v>
      </c>
      <c r="AC390" s="181">
        <f>'Key Inputs_BY Techs'!U$219</f>
        <v>0</v>
      </c>
      <c r="AD390" s="181">
        <f>'Key Inputs_BY Techs'!V$219</f>
        <v>0</v>
      </c>
      <c r="AE390" s="181">
        <f>'Key Inputs_BY Techs'!W$219</f>
        <v>0</v>
      </c>
      <c r="AF390" s="181">
        <f>'Key Inputs_BY Techs'!X$219</f>
        <v>0</v>
      </c>
      <c r="AG390" s="181">
        <f>'Key Inputs_BY Techs'!Y$219</f>
        <v>0</v>
      </c>
      <c r="AH390" s="181">
        <f>'Key Inputs_BY Techs'!Z$219</f>
        <v>0</v>
      </c>
      <c r="AI390" s="181">
        <f>'Key Inputs_BY Techs'!AA$219</f>
        <v>0</v>
      </c>
      <c r="AJ390" s="181">
        <f>'Key Inputs_BY Techs'!AB$219</f>
        <v>0</v>
      </c>
      <c r="AK390" s="181">
        <f>'Key Inputs_BY Techs'!AC$219</f>
        <v>0</v>
      </c>
      <c r="AL390" s="181">
        <f>'Key Inputs_BY Techs'!AD$219</f>
        <v>0</v>
      </c>
      <c r="AM390" s="181">
        <f>'Key Inputs_BY Techs'!AE$219</f>
        <v>0</v>
      </c>
      <c r="AN390" s="181">
        <f>'Key Inputs_BY Techs'!AF$219</f>
        <v>0</v>
      </c>
      <c r="AO390" s="181">
        <f>'Key Inputs_BY Techs'!AG$219</f>
        <v>0</v>
      </c>
      <c r="AP390" s="181">
        <f>'Key Inputs_BY Techs'!AH$219</f>
        <v>0</v>
      </c>
      <c r="AQ390" s="181">
        <f>'Key Inputs_BY Techs'!AI$219</f>
        <v>0</v>
      </c>
      <c r="AR390" s="181">
        <f>'Key Inputs_BY Techs'!AJ$219</f>
        <v>0</v>
      </c>
    </row>
    <row r="391" spans="4:44" ht="15.75" x14ac:dyDescent="0.25">
      <c r="D391" s="245" t="str">
        <f>Legend!B$72</f>
        <v>RSDGAM</v>
      </c>
      <c r="K391" s="201" t="str">
        <f>IF('Commodities &amp; Processes'!L$68="",'Commodities &amp; Processes'!K$68,'Commodities &amp; Processes'!L$68)</f>
        <v>R-THL-BLR_GAS04</v>
      </c>
      <c r="L391" s="109" t="str">
        <f>IF('Commodities &amp; Processes'!M$68="",'Commodities &amp; Processes'!L$68,'Commodities &amp; Processes'!M$68)</f>
        <v>RSD Thermal uses technology: Natural gas,Biogas Boiler cond. (Imp.) -New</v>
      </c>
      <c r="M391" s="109" t="str">
        <f t="shared" si="82"/>
        <v>RSDGAM</v>
      </c>
      <c r="O391" s="114" t="s">
        <v>203</v>
      </c>
      <c r="P391" s="120" t="s">
        <v>174</v>
      </c>
      <c r="Q391" s="181">
        <f>'Key Inputs_BY Techs'!I$219</f>
        <v>0</v>
      </c>
      <c r="R391" s="181">
        <f>'Key Inputs_BY Techs'!J$219</f>
        <v>0</v>
      </c>
      <c r="S391" s="181">
        <f>'Key Inputs_BY Techs'!K$219</f>
        <v>0</v>
      </c>
      <c r="T391" s="181">
        <f>'Key Inputs_BY Techs'!L$219</f>
        <v>0</v>
      </c>
      <c r="U391" s="181">
        <f>'Key Inputs_BY Techs'!M$219</f>
        <v>0</v>
      </c>
      <c r="V391" s="181">
        <f>'Key Inputs_BY Techs'!N$219</f>
        <v>0</v>
      </c>
      <c r="W391" s="181">
        <f>'Key Inputs_BY Techs'!O$219</f>
        <v>0</v>
      </c>
      <c r="X391" s="181">
        <f>'Key Inputs_BY Techs'!P$219</f>
        <v>0</v>
      </c>
      <c r="Y391" s="181">
        <f>'Key Inputs_BY Techs'!Q$219</f>
        <v>0</v>
      </c>
      <c r="Z391" s="181">
        <f>'Key Inputs_BY Techs'!R$219</f>
        <v>0</v>
      </c>
      <c r="AA391" s="181">
        <f>'Key Inputs_BY Techs'!S$219</f>
        <v>0</v>
      </c>
      <c r="AB391" s="181">
        <f>'Key Inputs_BY Techs'!T$219</f>
        <v>7.2837675474756117E-3</v>
      </c>
      <c r="AC391" s="181">
        <f>'Key Inputs_BY Techs'!U$219</f>
        <v>0</v>
      </c>
      <c r="AD391" s="181">
        <f>'Key Inputs_BY Techs'!V$219</f>
        <v>0</v>
      </c>
      <c r="AE391" s="181">
        <f>'Key Inputs_BY Techs'!W$219</f>
        <v>0</v>
      </c>
      <c r="AF391" s="181">
        <f>'Key Inputs_BY Techs'!X$219</f>
        <v>0</v>
      </c>
      <c r="AG391" s="181">
        <f>'Key Inputs_BY Techs'!Y$219</f>
        <v>0</v>
      </c>
      <c r="AH391" s="181">
        <f>'Key Inputs_BY Techs'!Z$219</f>
        <v>0</v>
      </c>
      <c r="AI391" s="181">
        <f>'Key Inputs_BY Techs'!AA$219</f>
        <v>0</v>
      </c>
      <c r="AJ391" s="181">
        <f>'Key Inputs_BY Techs'!AB$219</f>
        <v>0</v>
      </c>
      <c r="AK391" s="181">
        <f>'Key Inputs_BY Techs'!AC$219</f>
        <v>0</v>
      </c>
      <c r="AL391" s="181">
        <f>'Key Inputs_BY Techs'!AD$219</f>
        <v>0</v>
      </c>
      <c r="AM391" s="181">
        <f>'Key Inputs_BY Techs'!AE$219</f>
        <v>0</v>
      </c>
      <c r="AN391" s="181">
        <f>'Key Inputs_BY Techs'!AF$219</f>
        <v>0</v>
      </c>
      <c r="AO391" s="181">
        <f>'Key Inputs_BY Techs'!AG$219</f>
        <v>0</v>
      </c>
      <c r="AP391" s="181">
        <f>'Key Inputs_BY Techs'!AH$219</f>
        <v>0</v>
      </c>
      <c r="AQ391" s="181">
        <f>'Key Inputs_BY Techs'!AI$219</f>
        <v>0</v>
      </c>
      <c r="AR391" s="181">
        <f>'Key Inputs_BY Techs'!AJ$219</f>
        <v>0</v>
      </c>
    </row>
    <row r="392" spans="4:44" ht="15.75" x14ac:dyDescent="0.25">
      <c r="D392" s="245" t="str">
        <f>Legend!B$72</f>
        <v>RSDGAM</v>
      </c>
      <c r="K392" s="201" t="str">
        <f>IF('Commodities &amp; Processes'!L$69="",'Commodities &amp; Processes'!K$69,'Commodities &amp; Processes'!L$69)</f>
        <v>R-THL-HPA_GAS05</v>
      </c>
      <c r="L392" s="109" t="str">
        <f>IF('Commodities &amp; Processes'!M$69="","",'Commodities &amp; Processes'!M$69)</f>
        <v>RSD Thermal uses technology: Natural gas,Biogas Heat Pump (Ord.) -New</v>
      </c>
      <c r="M392" s="109" t="str">
        <f t="shared" si="82"/>
        <v>RSDGAM</v>
      </c>
      <c r="O392" s="114" t="s">
        <v>203</v>
      </c>
      <c r="P392" s="120" t="s">
        <v>174</v>
      </c>
      <c r="Q392" s="181">
        <f>'Key Inputs_BY Techs'!I$219</f>
        <v>0</v>
      </c>
      <c r="R392" s="181">
        <f>'Key Inputs_BY Techs'!J$219</f>
        <v>0</v>
      </c>
      <c r="S392" s="181">
        <f>'Key Inputs_BY Techs'!K$219</f>
        <v>0</v>
      </c>
      <c r="T392" s="181">
        <f>'Key Inputs_BY Techs'!L$219</f>
        <v>0</v>
      </c>
      <c r="U392" s="181">
        <f>'Key Inputs_BY Techs'!M$219</f>
        <v>0</v>
      </c>
      <c r="V392" s="181">
        <f>'Key Inputs_BY Techs'!N$219</f>
        <v>0</v>
      </c>
      <c r="W392" s="181">
        <f>'Key Inputs_BY Techs'!O$219</f>
        <v>0</v>
      </c>
      <c r="X392" s="181">
        <f>'Key Inputs_BY Techs'!P$219</f>
        <v>0</v>
      </c>
      <c r="Y392" s="181">
        <f>'Key Inputs_BY Techs'!Q$219</f>
        <v>0</v>
      </c>
      <c r="Z392" s="181">
        <f>'Key Inputs_BY Techs'!R$219</f>
        <v>0</v>
      </c>
      <c r="AA392" s="181">
        <f>'Key Inputs_BY Techs'!S$219</f>
        <v>0</v>
      </c>
      <c r="AB392" s="181">
        <f>'Key Inputs_BY Techs'!T$219</f>
        <v>7.2837675474756117E-3</v>
      </c>
      <c r="AC392" s="181">
        <f>'Key Inputs_BY Techs'!U$219</f>
        <v>0</v>
      </c>
      <c r="AD392" s="181">
        <f>'Key Inputs_BY Techs'!V$219</f>
        <v>0</v>
      </c>
      <c r="AE392" s="181">
        <f>'Key Inputs_BY Techs'!W$219</f>
        <v>0</v>
      </c>
      <c r="AF392" s="181">
        <f>'Key Inputs_BY Techs'!X$219</f>
        <v>0</v>
      </c>
      <c r="AG392" s="181">
        <f>'Key Inputs_BY Techs'!Y$219</f>
        <v>0</v>
      </c>
      <c r="AH392" s="181">
        <f>'Key Inputs_BY Techs'!Z$219</f>
        <v>0</v>
      </c>
      <c r="AI392" s="181">
        <f>'Key Inputs_BY Techs'!AA$219</f>
        <v>0</v>
      </c>
      <c r="AJ392" s="181">
        <f>'Key Inputs_BY Techs'!AB$219</f>
        <v>0</v>
      </c>
      <c r="AK392" s="181">
        <f>'Key Inputs_BY Techs'!AC$219</f>
        <v>0</v>
      </c>
      <c r="AL392" s="181">
        <f>'Key Inputs_BY Techs'!AD$219</f>
        <v>0</v>
      </c>
      <c r="AM392" s="181">
        <f>'Key Inputs_BY Techs'!AE$219</f>
        <v>0</v>
      </c>
      <c r="AN392" s="181">
        <f>'Key Inputs_BY Techs'!AF$219</f>
        <v>0</v>
      </c>
      <c r="AO392" s="181">
        <f>'Key Inputs_BY Techs'!AG$219</f>
        <v>0</v>
      </c>
      <c r="AP392" s="181">
        <f>'Key Inputs_BY Techs'!AH$219</f>
        <v>0</v>
      </c>
      <c r="AQ392" s="181">
        <f>'Key Inputs_BY Techs'!AI$219</f>
        <v>0</v>
      </c>
      <c r="AR392" s="181">
        <f>'Key Inputs_BY Techs'!AJ$219</f>
        <v>0</v>
      </c>
    </row>
    <row r="393" spans="4:44" ht="15.75" x14ac:dyDescent="0.25">
      <c r="D393" s="245" t="str">
        <f>Legend!B$72</f>
        <v>RSDGAM</v>
      </c>
      <c r="K393" s="201" t="str">
        <f>IF('Commodities &amp; Processes'!L$70="",'Commodities &amp; Processes'!K$70,'Commodities &amp; Processes'!L$70)</f>
        <v>R-THL-HPA_GAS06</v>
      </c>
      <c r="L393" s="109" t="str">
        <f>IF('Commodities &amp; Processes'!M$70="","",'Commodities &amp; Processes'!M$70)</f>
        <v>RSD Thermal uses technology: Natural gas,Biogas Heat Pump (Imp.) -New</v>
      </c>
      <c r="M393" s="109" t="str">
        <f>IF(D392="","",D392)</f>
        <v>RSDGAM</v>
      </c>
      <c r="O393" s="114" t="s">
        <v>203</v>
      </c>
      <c r="P393" s="120" t="s">
        <v>174</v>
      </c>
      <c r="Q393" s="181">
        <f>'Key Inputs_BY Techs'!I$219</f>
        <v>0</v>
      </c>
      <c r="R393" s="181">
        <f>'Key Inputs_BY Techs'!J$219</f>
        <v>0</v>
      </c>
      <c r="S393" s="181">
        <f>'Key Inputs_BY Techs'!K$219</f>
        <v>0</v>
      </c>
      <c r="T393" s="181">
        <f>'Key Inputs_BY Techs'!L$219</f>
        <v>0</v>
      </c>
      <c r="U393" s="181">
        <f>'Key Inputs_BY Techs'!M$219</f>
        <v>0</v>
      </c>
      <c r="V393" s="181">
        <f>'Key Inputs_BY Techs'!N$219</f>
        <v>0</v>
      </c>
      <c r="W393" s="181">
        <f>'Key Inputs_BY Techs'!O$219</f>
        <v>0</v>
      </c>
      <c r="X393" s="181">
        <f>'Key Inputs_BY Techs'!P$219</f>
        <v>0</v>
      </c>
      <c r="Y393" s="181">
        <f>'Key Inputs_BY Techs'!Q$219</f>
        <v>0</v>
      </c>
      <c r="Z393" s="181">
        <f>'Key Inputs_BY Techs'!R$219</f>
        <v>0</v>
      </c>
      <c r="AA393" s="181">
        <f>'Key Inputs_BY Techs'!S$219</f>
        <v>0</v>
      </c>
      <c r="AB393" s="181">
        <f>'Key Inputs_BY Techs'!T$219</f>
        <v>7.2837675474756117E-3</v>
      </c>
      <c r="AC393" s="181">
        <f>'Key Inputs_BY Techs'!U$219</f>
        <v>0</v>
      </c>
      <c r="AD393" s="181">
        <f>'Key Inputs_BY Techs'!V$219</f>
        <v>0</v>
      </c>
      <c r="AE393" s="181">
        <f>'Key Inputs_BY Techs'!W$219</f>
        <v>0</v>
      </c>
      <c r="AF393" s="181">
        <f>'Key Inputs_BY Techs'!X$219</f>
        <v>0</v>
      </c>
      <c r="AG393" s="181">
        <f>'Key Inputs_BY Techs'!Y$219</f>
        <v>0</v>
      </c>
      <c r="AH393" s="181">
        <f>'Key Inputs_BY Techs'!Z$219</f>
        <v>0</v>
      </c>
      <c r="AI393" s="181">
        <f>'Key Inputs_BY Techs'!AA$219</f>
        <v>0</v>
      </c>
      <c r="AJ393" s="181">
        <f>'Key Inputs_BY Techs'!AB$219</f>
        <v>0</v>
      </c>
      <c r="AK393" s="181">
        <f>'Key Inputs_BY Techs'!AC$219</f>
        <v>0</v>
      </c>
      <c r="AL393" s="181">
        <f>'Key Inputs_BY Techs'!AD$219</f>
        <v>0</v>
      </c>
      <c r="AM393" s="181">
        <f>'Key Inputs_BY Techs'!AE$219</f>
        <v>0</v>
      </c>
      <c r="AN393" s="181">
        <f>'Key Inputs_BY Techs'!AF$219</f>
        <v>0</v>
      </c>
      <c r="AO393" s="181">
        <f>'Key Inputs_BY Techs'!AG$219</f>
        <v>0</v>
      </c>
      <c r="AP393" s="181">
        <f>'Key Inputs_BY Techs'!AH$219</f>
        <v>0</v>
      </c>
      <c r="AQ393" s="181">
        <f>'Key Inputs_BY Techs'!AI$219</f>
        <v>0</v>
      </c>
      <c r="AR393" s="181">
        <f>'Key Inputs_BY Techs'!AJ$219</f>
        <v>0</v>
      </c>
    </row>
    <row r="394" spans="4:44" ht="15.75" x14ac:dyDescent="0.25">
      <c r="D394" s="245" t="str">
        <f>Legend!B$72</f>
        <v>RSDGAM</v>
      </c>
      <c r="K394" s="201" t="str">
        <f>IF('Commodities &amp; Processes'!L$71="",'Commodities &amp; Processes'!K$71,'Commodities &amp; Processes'!L$71)</f>
        <v>R-THL-HPA_GAS07</v>
      </c>
      <c r="L394" s="109" t="str">
        <f>IF('Commodities &amp; Processes'!M$71="","",'Commodities &amp; Processes'!M$71)</f>
        <v>RSD Thermal uses technology: Natural gas,Biogas Heat Pump (Adv.) -New</v>
      </c>
      <c r="M394" s="109" t="str">
        <f>IF(D394="","",D394)</f>
        <v>RSDGAM</v>
      </c>
      <c r="O394" s="114" t="s">
        <v>203</v>
      </c>
      <c r="P394" s="120" t="s">
        <v>174</v>
      </c>
      <c r="Q394" s="181">
        <f>'Key Inputs_BY Techs'!I$219</f>
        <v>0</v>
      </c>
      <c r="R394" s="181">
        <f>'Key Inputs_BY Techs'!J$219</f>
        <v>0</v>
      </c>
      <c r="S394" s="181">
        <f>'Key Inputs_BY Techs'!K$219</f>
        <v>0</v>
      </c>
      <c r="T394" s="181">
        <f>'Key Inputs_BY Techs'!L$219</f>
        <v>0</v>
      </c>
      <c r="U394" s="181">
        <f>'Key Inputs_BY Techs'!M$219</f>
        <v>0</v>
      </c>
      <c r="V394" s="181">
        <f>'Key Inputs_BY Techs'!N$219</f>
        <v>0</v>
      </c>
      <c r="W394" s="181">
        <f>'Key Inputs_BY Techs'!O$219</f>
        <v>0</v>
      </c>
      <c r="X394" s="181">
        <f>'Key Inputs_BY Techs'!P$219</f>
        <v>0</v>
      </c>
      <c r="Y394" s="181">
        <f>'Key Inputs_BY Techs'!Q$219</f>
        <v>0</v>
      </c>
      <c r="Z394" s="181">
        <f>'Key Inputs_BY Techs'!R$219</f>
        <v>0</v>
      </c>
      <c r="AA394" s="181">
        <f>'Key Inputs_BY Techs'!S$219</f>
        <v>0</v>
      </c>
      <c r="AB394" s="181">
        <f>'Key Inputs_BY Techs'!T$219</f>
        <v>7.2837675474756117E-3</v>
      </c>
      <c r="AC394" s="181">
        <f>'Key Inputs_BY Techs'!U$219</f>
        <v>0</v>
      </c>
      <c r="AD394" s="181">
        <f>'Key Inputs_BY Techs'!V$219</f>
        <v>0</v>
      </c>
      <c r="AE394" s="181">
        <f>'Key Inputs_BY Techs'!W$219</f>
        <v>0</v>
      </c>
      <c r="AF394" s="181">
        <f>'Key Inputs_BY Techs'!X$219</f>
        <v>0</v>
      </c>
      <c r="AG394" s="181">
        <f>'Key Inputs_BY Techs'!Y$219</f>
        <v>0</v>
      </c>
      <c r="AH394" s="181">
        <f>'Key Inputs_BY Techs'!Z$219</f>
        <v>0</v>
      </c>
      <c r="AI394" s="181">
        <f>'Key Inputs_BY Techs'!AA$219</f>
        <v>0</v>
      </c>
      <c r="AJ394" s="181">
        <f>'Key Inputs_BY Techs'!AB$219</f>
        <v>0</v>
      </c>
      <c r="AK394" s="181">
        <f>'Key Inputs_BY Techs'!AC$219</f>
        <v>0</v>
      </c>
      <c r="AL394" s="181">
        <f>'Key Inputs_BY Techs'!AD$219</f>
        <v>0</v>
      </c>
      <c r="AM394" s="181">
        <f>'Key Inputs_BY Techs'!AE$219</f>
        <v>0</v>
      </c>
      <c r="AN394" s="181">
        <f>'Key Inputs_BY Techs'!AF$219</f>
        <v>0</v>
      </c>
      <c r="AO394" s="181">
        <f>'Key Inputs_BY Techs'!AG$219</f>
        <v>0</v>
      </c>
      <c r="AP394" s="181">
        <f>'Key Inputs_BY Techs'!AH$219</f>
        <v>0</v>
      </c>
      <c r="AQ394" s="181">
        <f>'Key Inputs_BY Techs'!AI$219</f>
        <v>0</v>
      </c>
      <c r="AR394" s="181">
        <f>'Key Inputs_BY Techs'!AJ$219</f>
        <v>0</v>
      </c>
    </row>
    <row r="395" spans="4:44" ht="15.75" x14ac:dyDescent="0.25">
      <c r="D395" s="245" t="str">
        <f>Legend!B$69</f>
        <v>RSDBLQ</v>
      </c>
      <c r="K395" s="201" t="str">
        <f>IF('Commodities &amp; Processes'!L$75="",'Commodities &amp; Processes'!K$75,'Commodities &amp; Processes'!L$75)</f>
        <v>R-THL-BLR_OIL01</v>
      </c>
      <c r="L395" s="109" t="str">
        <f>IF('Commodities &amp; Processes'!M$75="","",'Commodities &amp; Processes'!M$75)</f>
        <v>RSD Thermal uses technology: Oil, Liquid biofuels Boiler (Ord.) -New</v>
      </c>
      <c r="M395" s="109" t="str">
        <f t="shared" ref="M395" si="83">IF(D395="","",D395)</f>
        <v>RSDBLQ</v>
      </c>
      <c r="O395" s="114" t="s">
        <v>203</v>
      </c>
      <c r="P395" s="120" t="s">
        <v>174</v>
      </c>
      <c r="Q395" s="181">
        <f>'Key Inputs_BY Techs'!I$220</f>
        <v>0</v>
      </c>
      <c r="R395" s="181">
        <f>'Key Inputs_BY Techs'!J$220</f>
        <v>0</v>
      </c>
      <c r="S395" s="181">
        <f>'Key Inputs_BY Techs'!K$220</f>
        <v>0</v>
      </c>
      <c r="T395" s="181">
        <f>'Key Inputs_BY Techs'!L$220</f>
        <v>0</v>
      </c>
      <c r="U395" s="181">
        <f>'Key Inputs_BY Techs'!M$220</f>
        <v>0</v>
      </c>
      <c r="V395" s="181">
        <f>'Key Inputs_BY Techs'!N$220</f>
        <v>0</v>
      </c>
      <c r="W395" s="181">
        <f>'Key Inputs_BY Techs'!O$220</f>
        <v>0</v>
      </c>
      <c r="X395" s="181">
        <f>'Key Inputs_BY Techs'!P$220</f>
        <v>0</v>
      </c>
      <c r="Y395" s="181">
        <f>'Key Inputs_BY Techs'!Q$220</f>
        <v>0</v>
      </c>
      <c r="Z395" s="181">
        <f>'Key Inputs_BY Techs'!R$220</f>
        <v>0</v>
      </c>
      <c r="AA395" s="181">
        <f>'Key Inputs_BY Techs'!S$220</f>
        <v>0</v>
      </c>
      <c r="AB395" s="181">
        <f>'Key Inputs_BY Techs'!T$220</f>
        <v>2.1995103143777766E-2</v>
      </c>
      <c r="AC395" s="181">
        <f>'Key Inputs_BY Techs'!U$220</f>
        <v>0</v>
      </c>
      <c r="AD395" s="181">
        <f>'Key Inputs_BY Techs'!V$220</f>
        <v>0</v>
      </c>
      <c r="AE395" s="181">
        <f>'Key Inputs_BY Techs'!W$220</f>
        <v>0</v>
      </c>
      <c r="AF395" s="181">
        <f>'Key Inputs_BY Techs'!X$220</f>
        <v>0</v>
      </c>
      <c r="AG395" s="181">
        <f>'Key Inputs_BY Techs'!Y$220</f>
        <v>1.0084240841615767E-3</v>
      </c>
      <c r="AH395" s="181">
        <f>'Key Inputs_BY Techs'!Z$220</f>
        <v>0</v>
      </c>
      <c r="AI395" s="181">
        <f>'Key Inputs_BY Techs'!AA$220</f>
        <v>0</v>
      </c>
      <c r="AJ395" s="181">
        <f>'Key Inputs_BY Techs'!AB$220</f>
        <v>0</v>
      </c>
      <c r="AK395" s="181">
        <f>'Key Inputs_BY Techs'!AC$220</f>
        <v>3.4642460170433494E-2</v>
      </c>
      <c r="AL395" s="181">
        <f>'Key Inputs_BY Techs'!AD$220</f>
        <v>0</v>
      </c>
      <c r="AM395" s="181">
        <f>'Key Inputs_BY Techs'!AE$220</f>
        <v>0</v>
      </c>
      <c r="AN395" s="181">
        <f>'Key Inputs_BY Techs'!AF$220</f>
        <v>0</v>
      </c>
      <c r="AO395" s="181">
        <f>'Key Inputs_BY Techs'!AG$220</f>
        <v>0</v>
      </c>
      <c r="AP395" s="181">
        <f>'Key Inputs_BY Techs'!AH$220</f>
        <v>0</v>
      </c>
      <c r="AQ395" s="181">
        <f>'Key Inputs_BY Techs'!AI$220</f>
        <v>0</v>
      </c>
      <c r="AR395" s="181">
        <f>'Key Inputs_BY Techs'!AJ$220</f>
        <v>1.9109558794010197E-2</v>
      </c>
    </row>
    <row r="396" spans="4:44" ht="15.75" x14ac:dyDescent="0.25">
      <c r="D396" s="245" t="str">
        <f>Legend!B$69</f>
        <v>RSDBLQ</v>
      </c>
      <c r="K396" s="201" t="str">
        <f>IF('Commodities &amp; Processes'!L$76="",'Commodities &amp; Processes'!K$76,'Commodities &amp; Processes'!L$76)</f>
        <v>R-THL-BLR_OIL02</v>
      </c>
      <c r="L396" s="109" t="str">
        <f>IF('Commodities &amp; Processes'!M$76="","",'Commodities &amp; Processes'!M$76)</f>
        <v>RSD Thermal uses technology: Oil, Liquid biofuels Boiler cond. (Ord.) -New</v>
      </c>
      <c r="M396" s="109" t="str">
        <f t="shared" ref="M396:M416" si="84">IF(D396="","",D396)</f>
        <v>RSDBLQ</v>
      </c>
      <c r="O396" s="114" t="s">
        <v>203</v>
      </c>
      <c r="P396" s="120" t="s">
        <v>174</v>
      </c>
      <c r="Q396" s="181">
        <f>'Key Inputs_BY Techs'!I$220</f>
        <v>0</v>
      </c>
      <c r="R396" s="181">
        <f>'Key Inputs_BY Techs'!J$220</f>
        <v>0</v>
      </c>
      <c r="S396" s="181">
        <f>'Key Inputs_BY Techs'!K$220</f>
        <v>0</v>
      </c>
      <c r="T396" s="181">
        <f>'Key Inputs_BY Techs'!L$220</f>
        <v>0</v>
      </c>
      <c r="U396" s="181">
        <f>'Key Inputs_BY Techs'!M$220</f>
        <v>0</v>
      </c>
      <c r="V396" s="181">
        <f>'Key Inputs_BY Techs'!N$220</f>
        <v>0</v>
      </c>
      <c r="W396" s="181">
        <f>'Key Inputs_BY Techs'!O$220</f>
        <v>0</v>
      </c>
      <c r="X396" s="181">
        <f>'Key Inputs_BY Techs'!P$220</f>
        <v>0</v>
      </c>
      <c r="Y396" s="181">
        <f>'Key Inputs_BY Techs'!Q$220</f>
        <v>0</v>
      </c>
      <c r="Z396" s="181">
        <f>'Key Inputs_BY Techs'!R$220</f>
        <v>0</v>
      </c>
      <c r="AA396" s="181">
        <f>'Key Inputs_BY Techs'!S$220</f>
        <v>0</v>
      </c>
      <c r="AB396" s="181">
        <f>'Key Inputs_BY Techs'!T$220</f>
        <v>2.1995103143777766E-2</v>
      </c>
      <c r="AC396" s="181">
        <f>'Key Inputs_BY Techs'!U$220</f>
        <v>0</v>
      </c>
      <c r="AD396" s="181">
        <f>'Key Inputs_BY Techs'!V$220</f>
        <v>0</v>
      </c>
      <c r="AE396" s="181">
        <f>'Key Inputs_BY Techs'!W$220</f>
        <v>0</v>
      </c>
      <c r="AF396" s="181">
        <f>'Key Inputs_BY Techs'!X$220</f>
        <v>0</v>
      </c>
      <c r="AG396" s="181">
        <f>'Key Inputs_BY Techs'!Y$220</f>
        <v>1.0084240841615767E-3</v>
      </c>
      <c r="AH396" s="181">
        <f>'Key Inputs_BY Techs'!Z$220</f>
        <v>0</v>
      </c>
      <c r="AI396" s="181">
        <f>'Key Inputs_BY Techs'!AA$220</f>
        <v>0</v>
      </c>
      <c r="AJ396" s="181">
        <f>'Key Inputs_BY Techs'!AB$220</f>
        <v>0</v>
      </c>
      <c r="AK396" s="181">
        <f>'Key Inputs_BY Techs'!AC$220</f>
        <v>3.4642460170433494E-2</v>
      </c>
      <c r="AL396" s="181">
        <f>'Key Inputs_BY Techs'!AD$220</f>
        <v>0</v>
      </c>
      <c r="AM396" s="181">
        <f>'Key Inputs_BY Techs'!AE$220</f>
        <v>0</v>
      </c>
      <c r="AN396" s="181">
        <f>'Key Inputs_BY Techs'!AF$220</f>
        <v>0</v>
      </c>
      <c r="AO396" s="181">
        <f>'Key Inputs_BY Techs'!AG$220</f>
        <v>0</v>
      </c>
      <c r="AP396" s="181">
        <f>'Key Inputs_BY Techs'!AH$220</f>
        <v>0</v>
      </c>
      <c r="AQ396" s="181">
        <f>'Key Inputs_BY Techs'!AI$220</f>
        <v>0</v>
      </c>
      <c r="AR396" s="181">
        <f>'Key Inputs_BY Techs'!AJ$220</f>
        <v>1.9109558794010197E-2</v>
      </c>
    </row>
    <row r="397" spans="4:44" ht="15.75" x14ac:dyDescent="0.25">
      <c r="D397" s="245" t="str">
        <f>Legend!B$69</f>
        <v>RSDBLQ</v>
      </c>
      <c r="K397" s="201" t="str">
        <f>IF('Commodities &amp; Processes'!L$77="",'Commodities &amp; Processes'!K$79,'Commodities &amp; Processes'!L$77)</f>
        <v>R-THL-BLR_OIL03</v>
      </c>
      <c r="L397" s="109" t="str">
        <f>IF('Commodities &amp; Processes'!M$79="","",'Commodities &amp; Processes'!M$79)</f>
        <v>RSD Thermal uses technology: Solar Thermal (Ord.) -New</v>
      </c>
      <c r="M397" s="109" t="str">
        <f t="shared" si="84"/>
        <v>RSDBLQ</v>
      </c>
      <c r="O397" s="114" t="s">
        <v>203</v>
      </c>
      <c r="P397" s="120" t="s">
        <v>174</v>
      </c>
      <c r="Q397" s="181">
        <f>'Key Inputs_BY Techs'!I$220</f>
        <v>0</v>
      </c>
      <c r="R397" s="181">
        <f>'Key Inputs_BY Techs'!J$220</f>
        <v>0</v>
      </c>
      <c r="S397" s="181">
        <f>'Key Inputs_BY Techs'!K$220</f>
        <v>0</v>
      </c>
      <c r="T397" s="181">
        <f>'Key Inputs_BY Techs'!L$220</f>
        <v>0</v>
      </c>
      <c r="U397" s="181">
        <f>'Key Inputs_BY Techs'!M$220</f>
        <v>0</v>
      </c>
      <c r="V397" s="181">
        <f>'Key Inputs_BY Techs'!N$220</f>
        <v>0</v>
      </c>
      <c r="W397" s="181">
        <f>'Key Inputs_BY Techs'!O$220</f>
        <v>0</v>
      </c>
      <c r="X397" s="181">
        <f>'Key Inputs_BY Techs'!P$220</f>
        <v>0</v>
      </c>
      <c r="Y397" s="181">
        <f>'Key Inputs_BY Techs'!Q$220</f>
        <v>0</v>
      </c>
      <c r="Z397" s="181">
        <f>'Key Inputs_BY Techs'!R$220</f>
        <v>0</v>
      </c>
      <c r="AA397" s="181">
        <f>'Key Inputs_BY Techs'!S$220</f>
        <v>0</v>
      </c>
      <c r="AB397" s="181">
        <f>'Key Inputs_BY Techs'!T$220</f>
        <v>2.1995103143777766E-2</v>
      </c>
      <c r="AC397" s="181">
        <f>'Key Inputs_BY Techs'!U$220</f>
        <v>0</v>
      </c>
      <c r="AD397" s="181">
        <f>'Key Inputs_BY Techs'!V$220</f>
        <v>0</v>
      </c>
      <c r="AE397" s="181">
        <f>'Key Inputs_BY Techs'!W$220</f>
        <v>0</v>
      </c>
      <c r="AF397" s="181">
        <f>'Key Inputs_BY Techs'!X$220</f>
        <v>0</v>
      </c>
      <c r="AG397" s="181">
        <f>'Key Inputs_BY Techs'!Y$220</f>
        <v>1.0084240841615767E-3</v>
      </c>
      <c r="AH397" s="181">
        <f>'Key Inputs_BY Techs'!Z$220</f>
        <v>0</v>
      </c>
      <c r="AI397" s="181">
        <f>'Key Inputs_BY Techs'!AA$220</f>
        <v>0</v>
      </c>
      <c r="AJ397" s="181">
        <f>'Key Inputs_BY Techs'!AB$220</f>
        <v>0</v>
      </c>
      <c r="AK397" s="181">
        <f>'Key Inputs_BY Techs'!AC$220</f>
        <v>3.4642460170433494E-2</v>
      </c>
      <c r="AL397" s="181">
        <f>'Key Inputs_BY Techs'!AD$220</f>
        <v>0</v>
      </c>
      <c r="AM397" s="181">
        <f>'Key Inputs_BY Techs'!AE$220</f>
        <v>0</v>
      </c>
      <c r="AN397" s="181">
        <f>'Key Inputs_BY Techs'!AF$220</f>
        <v>0</v>
      </c>
      <c r="AO397" s="181">
        <f>'Key Inputs_BY Techs'!AG$220</f>
        <v>0</v>
      </c>
      <c r="AP397" s="181">
        <f>'Key Inputs_BY Techs'!AH$220</f>
        <v>0</v>
      </c>
      <c r="AQ397" s="181">
        <f>'Key Inputs_BY Techs'!AI$220</f>
        <v>0</v>
      </c>
      <c r="AR397" s="181">
        <f>'Key Inputs_BY Techs'!AJ$220</f>
        <v>1.9109558794010197E-2</v>
      </c>
    </row>
    <row r="398" spans="4:44" ht="15.75" x14ac:dyDescent="0.25">
      <c r="D398" s="245" t="str">
        <f>Legend!B$63</f>
        <v>RSDBGS</v>
      </c>
      <c r="K398" s="201" t="str">
        <f>IF('Commodities &amp; Processes'!L$90="",'Commodities &amp; Processes'!K$90,'Commodities &amp; Processes'!L$90)</f>
        <v>R-THH-BLR_GAS01</v>
      </c>
      <c r="L398" s="204" t="str">
        <f>IF('Commodities &amp; Processes'!M$90="",'Commodities &amp; Processes'!L$90,'Commodities &amp; Processes'!M$90)</f>
        <v>RSD Thermal uses technology: Natural gas,Biogas Boiler (Ord.) -New</v>
      </c>
      <c r="M398" s="109" t="str">
        <f t="shared" si="84"/>
        <v>RSDBGS</v>
      </c>
      <c r="O398" s="114" t="s">
        <v>203</v>
      </c>
      <c r="P398" s="120" t="s">
        <v>174</v>
      </c>
      <c r="Q398" s="181">
        <f>'Key Inputs_BY Techs'!I$218</f>
        <v>0</v>
      </c>
      <c r="R398" s="181">
        <f>'Key Inputs_BY Techs'!J$218</f>
        <v>0</v>
      </c>
      <c r="S398" s="181">
        <f>'Key Inputs_BY Techs'!K$218</f>
        <v>0</v>
      </c>
      <c r="T398" s="181">
        <f>'Key Inputs_BY Techs'!L$218</f>
        <v>0</v>
      </c>
      <c r="U398" s="181">
        <f>'Key Inputs_BY Techs'!M$218</f>
        <v>0</v>
      </c>
      <c r="V398" s="181">
        <f>'Key Inputs_BY Techs'!N$218</f>
        <v>0</v>
      </c>
      <c r="W398" s="181">
        <f>'Key Inputs_BY Techs'!O$218</f>
        <v>3.1210986267166043E-4</v>
      </c>
      <c r="X398" s="181">
        <f>'Key Inputs_BY Techs'!P$218</f>
        <v>1.5788763536334832E-2</v>
      </c>
      <c r="Y398" s="181">
        <f>'Key Inputs_BY Techs'!Q$218</f>
        <v>0</v>
      </c>
      <c r="Z398" s="181">
        <f>'Key Inputs_BY Techs'!R$218</f>
        <v>0</v>
      </c>
      <c r="AA398" s="181">
        <f>'Key Inputs_BY Techs'!S$218</f>
        <v>5.7200057200057204E-4</v>
      </c>
      <c r="AB398" s="181">
        <f>'Key Inputs_BY Techs'!T$218</f>
        <v>0</v>
      </c>
      <c r="AC398" s="181">
        <f>'Key Inputs_BY Techs'!U$218</f>
        <v>0</v>
      </c>
      <c r="AD398" s="181">
        <f>'Key Inputs_BY Techs'!V$218</f>
        <v>0</v>
      </c>
      <c r="AE398" s="181">
        <f>'Key Inputs_BY Techs'!W$218</f>
        <v>0</v>
      </c>
      <c r="AF398" s="181">
        <f>'Key Inputs_BY Techs'!X$218</f>
        <v>0</v>
      </c>
      <c r="AG398" s="181">
        <f>'Key Inputs_BY Techs'!Y$218</f>
        <v>5.4885009113709495E-3</v>
      </c>
      <c r="AH398" s="181">
        <f>'Key Inputs_BY Techs'!Z$218</f>
        <v>0.35714285714285715</v>
      </c>
      <c r="AI398" s="181">
        <f>'Key Inputs_BY Techs'!AA$218</f>
        <v>0</v>
      </c>
      <c r="AJ398" s="181">
        <f>'Key Inputs_BY Techs'!AB$218</f>
        <v>0</v>
      </c>
      <c r="AK398" s="181">
        <f>'Key Inputs_BY Techs'!AC$218</f>
        <v>5.222150272596244E-6</v>
      </c>
      <c r="AL398" s="181">
        <f>'Key Inputs_BY Techs'!AD$218</f>
        <v>0</v>
      </c>
      <c r="AM398" s="181">
        <f>'Key Inputs_BY Techs'!AE$218</f>
        <v>0</v>
      </c>
      <c r="AN398" s="181">
        <f>'Key Inputs_BY Techs'!AF$218</f>
        <v>0</v>
      </c>
      <c r="AO398" s="181">
        <f>'Key Inputs_BY Techs'!AG$218</f>
        <v>0</v>
      </c>
      <c r="AP398" s="181">
        <f>'Key Inputs_BY Techs'!AH$218</f>
        <v>0</v>
      </c>
      <c r="AQ398" s="181">
        <f>'Key Inputs_BY Techs'!AI$218</f>
        <v>0</v>
      </c>
      <c r="AR398" s="181">
        <f>'Key Inputs_BY Techs'!AJ$218</f>
        <v>0</v>
      </c>
    </row>
    <row r="399" spans="4:44" ht="15.75" x14ac:dyDescent="0.25">
      <c r="D399" s="245" t="str">
        <f>Legend!B$63</f>
        <v>RSDBGS</v>
      </c>
      <c r="K399" s="201" t="str">
        <f>IF('Commodities &amp; Processes'!L$91="",'Commodities &amp; Processes'!K$91,'Commodities &amp; Processes'!L$91)</f>
        <v>R-THH-BLR_GAS02</v>
      </c>
      <c r="L399" s="204" t="str">
        <f>IF('Commodities &amp; Processes'!M$91="",'Commodities &amp; Processes'!L$91,'Commodities &amp; Processes'!M$91)</f>
        <v>RSD Thermal uses technology: Natural gas,Biogas Boiler cond. (Ord.) -New</v>
      </c>
      <c r="M399" s="109" t="str">
        <f t="shared" si="84"/>
        <v>RSDBGS</v>
      </c>
      <c r="O399" s="114" t="s">
        <v>203</v>
      </c>
      <c r="P399" s="120" t="s">
        <v>174</v>
      </c>
      <c r="Q399" s="181">
        <f>'Key Inputs_BY Techs'!I$218</f>
        <v>0</v>
      </c>
      <c r="R399" s="181">
        <f>'Key Inputs_BY Techs'!J$218</f>
        <v>0</v>
      </c>
      <c r="S399" s="181">
        <f>'Key Inputs_BY Techs'!K$218</f>
        <v>0</v>
      </c>
      <c r="T399" s="181">
        <f>'Key Inputs_BY Techs'!L$218</f>
        <v>0</v>
      </c>
      <c r="U399" s="181">
        <f>'Key Inputs_BY Techs'!M$218</f>
        <v>0</v>
      </c>
      <c r="V399" s="181">
        <f>'Key Inputs_BY Techs'!N$218</f>
        <v>0</v>
      </c>
      <c r="W399" s="181">
        <f>'Key Inputs_BY Techs'!O$218</f>
        <v>3.1210986267166043E-4</v>
      </c>
      <c r="X399" s="181">
        <f>'Key Inputs_BY Techs'!P$218</f>
        <v>1.5788763536334832E-2</v>
      </c>
      <c r="Y399" s="181">
        <f>'Key Inputs_BY Techs'!Q$218</f>
        <v>0</v>
      </c>
      <c r="Z399" s="181">
        <f>'Key Inputs_BY Techs'!R$218</f>
        <v>0</v>
      </c>
      <c r="AA399" s="181">
        <f>'Key Inputs_BY Techs'!S$218</f>
        <v>5.7200057200057204E-4</v>
      </c>
      <c r="AB399" s="181">
        <f>'Key Inputs_BY Techs'!T$218</f>
        <v>0</v>
      </c>
      <c r="AC399" s="181">
        <f>'Key Inputs_BY Techs'!U$218</f>
        <v>0</v>
      </c>
      <c r="AD399" s="181">
        <f>'Key Inputs_BY Techs'!V$218</f>
        <v>0</v>
      </c>
      <c r="AE399" s="181">
        <f>'Key Inputs_BY Techs'!W$218</f>
        <v>0</v>
      </c>
      <c r="AF399" s="181">
        <f>'Key Inputs_BY Techs'!X$218</f>
        <v>0</v>
      </c>
      <c r="AG399" s="181">
        <f>'Key Inputs_BY Techs'!Y$218</f>
        <v>5.4885009113709495E-3</v>
      </c>
      <c r="AH399" s="181">
        <f>'Key Inputs_BY Techs'!Z$218</f>
        <v>0.35714285714285715</v>
      </c>
      <c r="AI399" s="181">
        <f>'Key Inputs_BY Techs'!AA$218</f>
        <v>0</v>
      </c>
      <c r="AJ399" s="181">
        <f>'Key Inputs_BY Techs'!AB$218</f>
        <v>0</v>
      </c>
      <c r="AK399" s="181">
        <f>'Key Inputs_BY Techs'!AC$218</f>
        <v>5.222150272596244E-6</v>
      </c>
      <c r="AL399" s="181">
        <f>'Key Inputs_BY Techs'!AD$218</f>
        <v>0</v>
      </c>
      <c r="AM399" s="181">
        <f>'Key Inputs_BY Techs'!AE$218</f>
        <v>0</v>
      </c>
      <c r="AN399" s="181">
        <f>'Key Inputs_BY Techs'!AF$218</f>
        <v>0</v>
      </c>
      <c r="AO399" s="181">
        <f>'Key Inputs_BY Techs'!AG$218</f>
        <v>0</v>
      </c>
      <c r="AP399" s="181">
        <f>'Key Inputs_BY Techs'!AH$218</f>
        <v>0</v>
      </c>
      <c r="AQ399" s="181">
        <f>'Key Inputs_BY Techs'!AI$218</f>
        <v>0</v>
      </c>
      <c r="AR399" s="181">
        <f>'Key Inputs_BY Techs'!AJ$218</f>
        <v>0</v>
      </c>
    </row>
    <row r="400" spans="4:44" ht="15.75" x14ac:dyDescent="0.25">
      <c r="D400" s="245" t="str">
        <f>Legend!B$63</f>
        <v>RSDBGS</v>
      </c>
      <c r="K400" s="201" t="str">
        <f>IF('Commodities &amp; Processes'!L$92="",'Commodities &amp; Processes'!K$92,'Commodities &amp; Processes'!L$92)</f>
        <v>R-THH-BLR_GAS03</v>
      </c>
      <c r="L400" s="204" t="str">
        <f>IF('Commodities &amp; Processes'!M$92="",'Commodities &amp; Processes'!L$92,'Commodities &amp; Processes'!M$92)</f>
        <v>RSD Thermal uses technology: Natural gas,Biogas Boiler (Imp.) -New</v>
      </c>
      <c r="M400" s="109" t="str">
        <f t="shared" si="84"/>
        <v>RSDBGS</v>
      </c>
      <c r="O400" s="114" t="s">
        <v>203</v>
      </c>
      <c r="P400" s="120" t="s">
        <v>174</v>
      </c>
      <c r="Q400" s="181">
        <f>'Key Inputs_BY Techs'!I$218</f>
        <v>0</v>
      </c>
      <c r="R400" s="181">
        <f>'Key Inputs_BY Techs'!J$218</f>
        <v>0</v>
      </c>
      <c r="S400" s="181">
        <f>'Key Inputs_BY Techs'!K$218</f>
        <v>0</v>
      </c>
      <c r="T400" s="181">
        <f>'Key Inputs_BY Techs'!L$218</f>
        <v>0</v>
      </c>
      <c r="U400" s="181">
        <f>'Key Inputs_BY Techs'!M$218</f>
        <v>0</v>
      </c>
      <c r="V400" s="181">
        <f>'Key Inputs_BY Techs'!N$218</f>
        <v>0</v>
      </c>
      <c r="W400" s="181">
        <f>'Key Inputs_BY Techs'!O$218</f>
        <v>3.1210986267166043E-4</v>
      </c>
      <c r="X400" s="181">
        <f>'Key Inputs_BY Techs'!P$218</f>
        <v>1.5788763536334832E-2</v>
      </c>
      <c r="Y400" s="181">
        <f>'Key Inputs_BY Techs'!Q$218</f>
        <v>0</v>
      </c>
      <c r="Z400" s="181">
        <f>'Key Inputs_BY Techs'!R$218</f>
        <v>0</v>
      </c>
      <c r="AA400" s="181">
        <f>'Key Inputs_BY Techs'!S$218</f>
        <v>5.7200057200057204E-4</v>
      </c>
      <c r="AB400" s="181">
        <f>'Key Inputs_BY Techs'!T$218</f>
        <v>0</v>
      </c>
      <c r="AC400" s="181">
        <f>'Key Inputs_BY Techs'!U$218</f>
        <v>0</v>
      </c>
      <c r="AD400" s="181">
        <f>'Key Inputs_BY Techs'!V$218</f>
        <v>0</v>
      </c>
      <c r="AE400" s="181">
        <f>'Key Inputs_BY Techs'!W$218</f>
        <v>0</v>
      </c>
      <c r="AF400" s="181">
        <f>'Key Inputs_BY Techs'!X$218</f>
        <v>0</v>
      </c>
      <c r="AG400" s="181">
        <f>'Key Inputs_BY Techs'!Y$218</f>
        <v>5.4885009113709495E-3</v>
      </c>
      <c r="AH400" s="181">
        <f>'Key Inputs_BY Techs'!Z$218</f>
        <v>0.35714285714285715</v>
      </c>
      <c r="AI400" s="181">
        <f>'Key Inputs_BY Techs'!AA$218</f>
        <v>0</v>
      </c>
      <c r="AJ400" s="181">
        <f>'Key Inputs_BY Techs'!AB$218</f>
        <v>0</v>
      </c>
      <c r="AK400" s="181">
        <f>'Key Inputs_BY Techs'!AC$218</f>
        <v>5.222150272596244E-6</v>
      </c>
      <c r="AL400" s="181">
        <f>'Key Inputs_BY Techs'!AD$218</f>
        <v>0</v>
      </c>
      <c r="AM400" s="181">
        <f>'Key Inputs_BY Techs'!AE$218</f>
        <v>0</v>
      </c>
      <c r="AN400" s="181">
        <f>'Key Inputs_BY Techs'!AF$218</f>
        <v>0</v>
      </c>
      <c r="AO400" s="181">
        <f>'Key Inputs_BY Techs'!AG$218</f>
        <v>0</v>
      </c>
      <c r="AP400" s="181">
        <f>'Key Inputs_BY Techs'!AH$218</f>
        <v>0</v>
      </c>
      <c r="AQ400" s="181">
        <f>'Key Inputs_BY Techs'!AI$218</f>
        <v>0</v>
      </c>
      <c r="AR400" s="181">
        <f>'Key Inputs_BY Techs'!AJ$218</f>
        <v>0</v>
      </c>
    </row>
    <row r="401" spans="4:44" ht="15.75" x14ac:dyDescent="0.25">
      <c r="D401" s="245" t="str">
        <f>Legend!B$63</f>
        <v>RSDBGS</v>
      </c>
      <c r="K401" s="201" t="str">
        <f>IF('Commodities &amp; Processes'!L$93="",'Commodities &amp; Processes'!K$93,'Commodities &amp; Processes'!L$93)</f>
        <v>R-THH-BLR_GAS04</v>
      </c>
      <c r="L401" s="204" t="str">
        <f>IF('Commodities &amp; Processes'!M$93="",'Commodities &amp; Processes'!L$93,'Commodities &amp; Processes'!M$93)</f>
        <v>RSD Thermal uses technology: Natural gas,Biogas Boiler cond. (Imp.) -New</v>
      </c>
      <c r="M401" s="109" t="str">
        <f t="shared" si="84"/>
        <v>RSDBGS</v>
      </c>
      <c r="O401" s="114" t="s">
        <v>203</v>
      </c>
      <c r="P401" s="120" t="s">
        <v>174</v>
      </c>
      <c r="Q401" s="181">
        <f>'Key Inputs_BY Techs'!I$218</f>
        <v>0</v>
      </c>
      <c r="R401" s="181">
        <f>'Key Inputs_BY Techs'!J$218</f>
        <v>0</v>
      </c>
      <c r="S401" s="181">
        <f>'Key Inputs_BY Techs'!K$218</f>
        <v>0</v>
      </c>
      <c r="T401" s="181">
        <f>'Key Inputs_BY Techs'!L$218</f>
        <v>0</v>
      </c>
      <c r="U401" s="181">
        <f>'Key Inputs_BY Techs'!M$218</f>
        <v>0</v>
      </c>
      <c r="V401" s="181">
        <f>'Key Inputs_BY Techs'!N$218</f>
        <v>0</v>
      </c>
      <c r="W401" s="181">
        <f>'Key Inputs_BY Techs'!O$218</f>
        <v>3.1210986267166043E-4</v>
      </c>
      <c r="X401" s="181">
        <f>'Key Inputs_BY Techs'!P$218</f>
        <v>1.5788763536334832E-2</v>
      </c>
      <c r="Y401" s="181">
        <f>'Key Inputs_BY Techs'!Q$218</f>
        <v>0</v>
      </c>
      <c r="Z401" s="181">
        <f>'Key Inputs_BY Techs'!R$218</f>
        <v>0</v>
      </c>
      <c r="AA401" s="181">
        <f>'Key Inputs_BY Techs'!S$218</f>
        <v>5.7200057200057204E-4</v>
      </c>
      <c r="AB401" s="181">
        <f>'Key Inputs_BY Techs'!T$218</f>
        <v>0</v>
      </c>
      <c r="AC401" s="181">
        <f>'Key Inputs_BY Techs'!U$218</f>
        <v>0</v>
      </c>
      <c r="AD401" s="181">
        <f>'Key Inputs_BY Techs'!V$218</f>
        <v>0</v>
      </c>
      <c r="AE401" s="181">
        <f>'Key Inputs_BY Techs'!W$218</f>
        <v>0</v>
      </c>
      <c r="AF401" s="181">
        <f>'Key Inputs_BY Techs'!X$218</f>
        <v>0</v>
      </c>
      <c r="AG401" s="181">
        <f>'Key Inputs_BY Techs'!Y$218</f>
        <v>5.4885009113709495E-3</v>
      </c>
      <c r="AH401" s="181">
        <f>'Key Inputs_BY Techs'!Z$218</f>
        <v>0.35714285714285715</v>
      </c>
      <c r="AI401" s="181">
        <f>'Key Inputs_BY Techs'!AA$218</f>
        <v>0</v>
      </c>
      <c r="AJ401" s="181">
        <f>'Key Inputs_BY Techs'!AB$218</f>
        <v>0</v>
      </c>
      <c r="AK401" s="181">
        <f>'Key Inputs_BY Techs'!AC$218</f>
        <v>5.222150272596244E-6</v>
      </c>
      <c r="AL401" s="181">
        <f>'Key Inputs_BY Techs'!AD$218</f>
        <v>0</v>
      </c>
      <c r="AM401" s="181">
        <f>'Key Inputs_BY Techs'!AE$218</f>
        <v>0</v>
      </c>
      <c r="AN401" s="181">
        <f>'Key Inputs_BY Techs'!AF$218</f>
        <v>0</v>
      </c>
      <c r="AO401" s="181">
        <f>'Key Inputs_BY Techs'!AG$218</f>
        <v>0</v>
      </c>
      <c r="AP401" s="181">
        <f>'Key Inputs_BY Techs'!AH$218</f>
        <v>0</v>
      </c>
      <c r="AQ401" s="181">
        <f>'Key Inputs_BY Techs'!AI$218</f>
        <v>0</v>
      </c>
      <c r="AR401" s="181">
        <f>'Key Inputs_BY Techs'!AJ$218</f>
        <v>0</v>
      </c>
    </row>
    <row r="402" spans="4:44" ht="15.75" x14ac:dyDescent="0.25">
      <c r="D402" s="245" t="str">
        <f>Legend!B$63</f>
        <v>RSDBGS</v>
      </c>
      <c r="K402" s="201" t="str">
        <f>IF('Commodities &amp; Processes'!L$94="",'Commodities &amp; Processes'!K$94,'Commodities &amp; Processes'!L$94)</f>
        <v>R-THH-HPA_GAS05</v>
      </c>
      <c r="L402" s="204" t="str">
        <f>IF('Commodities &amp; Processes'!M$94="",'Commodities &amp; Processes'!L$94,'Commodities &amp; Processes'!M$94)</f>
        <v>RSD Thermal uses technology: Natural gas,Biogas Heat Pump (Ord.) -New</v>
      </c>
      <c r="M402" s="109" t="str">
        <f t="shared" si="84"/>
        <v>RSDBGS</v>
      </c>
      <c r="O402" s="114" t="s">
        <v>203</v>
      </c>
      <c r="P402" s="120" t="s">
        <v>174</v>
      </c>
      <c r="Q402" s="181">
        <f>'Key Inputs_BY Techs'!I$218</f>
        <v>0</v>
      </c>
      <c r="R402" s="181">
        <f>'Key Inputs_BY Techs'!J$218</f>
        <v>0</v>
      </c>
      <c r="S402" s="181">
        <f>'Key Inputs_BY Techs'!K$218</f>
        <v>0</v>
      </c>
      <c r="T402" s="181">
        <f>'Key Inputs_BY Techs'!L$218</f>
        <v>0</v>
      </c>
      <c r="U402" s="181">
        <f>'Key Inputs_BY Techs'!M$218</f>
        <v>0</v>
      </c>
      <c r="V402" s="181">
        <f>'Key Inputs_BY Techs'!N$218</f>
        <v>0</v>
      </c>
      <c r="W402" s="181">
        <f>'Key Inputs_BY Techs'!O$218</f>
        <v>3.1210986267166043E-4</v>
      </c>
      <c r="X402" s="181">
        <f>'Key Inputs_BY Techs'!P$218</f>
        <v>1.5788763536334832E-2</v>
      </c>
      <c r="Y402" s="181">
        <f>'Key Inputs_BY Techs'!Q$218</f>
        <v>0</v>
      </c>
      <c r="Z402" s="181">
        <f>'Key Inputs_BY Techs'!R$218</f>
        <v>0</v>
      </c>
      <c r="AA402" s="181">
        <f>'Key Inputs_BY Techs'!S$218</f>
        <v>5.7200057200057204E-4</v>
      </c>
      <c r="AB402" s="181">
        <f>'Key Inputs_BY Techs'!T$218</f>
        <v>0</v>
      </c>
      <c r="AC402" s="181">
        <f>'Key Inputs_BY Techs'!U$218</f>
        <v>0</v>
      </c>
      <c r="AD402" s="181">
        <f>'Key Inputs_BY Techs'!V$218</f>
        <v>0</v>
      </c>
      <c r="AE402" s="181">
        <f>'Key Inputs_BY Techs'!W$218</f>
        <v>0</v>
      </c>
      <c r="AF402" s="181">
        <f>'Key Inputs_BY Techs'!X$218</f>
        <v>0</v>
      </c>
      <c r="AG402" s="181">
        <f>'Key Inputs_BY Techs'!Y$218</f>
        <v>5.4885009113709495E-3</v>
      </c>
      <c r="AH402" s="181">
        <f>'Key Inputs_BY Techs'!Z$218</f>
        <v>0.35714285714285715</v>
      </c>
      <c r="AI402" s="181">
        <f>'Key Inputs_BY Techs'!AA$218</f>
        <v>0</v>
      </c>
      <c r="AJ402" s="181">
        <f>'Key Inputs_BY Techs'!AB$218</f>
        <v>0</v>
      </c>
      <c r="AK402" s="181">
        <f>'Key Inputs_BY Techs'!AC$218</f>
        <v>5.222150272596244E-6</v>
      </c>
      <c r="AL402" s="181">
        <f>'Key Inputs_BY Techs'!AD$218</f>
        <v>0</v>
      </c>
      <c r="AM402" s="181">
        <f>'Key Inputs_BY Techs'!AE$218</f>
        <v>0</v>
      </c>
      <c r="AN402" s="181">
        <f>'Key Inputs_BY Techs'!AF$218</f>
        <v>0</v>
      </c>
      <c r="AO402" s="181">
        <f>'Key Inputs_BY Techs'!AG$218</f>
        <v>0</v>
      </c>
      <c r="AP402" s="181">
        <f>'Key Inputs_BY Techs'!AH$218</f>
        <v>0</v>
      </c>
      <c r="AQ402" s="181">
        <f>'Key Inputs_BY Techs'!AI$218</f>
        <v>0</v>
      </c>
      <c r="AR402" s="181">
        <f>'Key Inputs_BY Techs'!AJ$218</f>
        <v>0</v>
      </c>
    </row>
    <row r="403" spans="4:44" ht="15.75" x14ac:dyDescent="0.25">
      <c r="D403" s="245" t="str">
        <f>Legend!B$63</f>
        <v>RSDBGS</v>
      </c>
      <c r="K403" s="201" t="str">
        <f>IF('Commodities &amp; Processes'!L$95="",'Commodities &amp; Processes'!K$95,'Commodities &amp; Processes'!L$95)</f>
        <v>R-THH-HPA_GAS06</v>
      </c>
      <c r="L403" s="204" t="str">
        <f>IF('Commodities &amp; Processes'!M$95="",'Commodities &amp; Processes'!L$95,'Commodities &amp; Processes'!M$95)</f>
        <v>RSD Thermal uses technology: Natural gas,Biogas Heat Pump (Imp.) -New</v>
      </c>
      <c r="M403" s="109" t="str">
        <f t="shared" si="84"/>
        <v>RSDBGS</v>
      </c>
      <c r="O403" s="114" t="s">
        <v>203</v>
      </c>
      <c r="P403" s="120" t="s">
        <v>174</v>
      </c>
      <c r="Q403" s="181">
        <f>'Key Inputs_BY Techs'!I$218</f>
        <v>0</v>
      </c>
      <c r="R403" s="181">
        <f>'Key Inputs_BY Techs'!J$218</f>
        <v>0</v>
      </c>
      <c r="S403" s="181">
        <f>'Key Inputs_BY Techs'!K$218</f>
        <v>0</v>
      </c>
      <c r="T403" s="181">
        <f>'Key Inputs_BY Techs'!L$218</f>
        <v>0</v>
      </c>
      <c r="U403" s="181">
        <f>'Key Inputs_BY Techs'!M$218</f>
        <v>0</v>
      </c>
      <c r="V403" s="181">
        <f>'Key Inputs_BY Techs'!N$218</f>
        <v>0</v>
      </c>
      <c r="W403" s="181">
        <f>'Key Inputs_BY Techs'!O$218</f>
        <v>3.1210986267166043E-4</v>
      </c>
      <c r="X403" s="181">
        <f>'Key Inputs_BY Techs'!P$218</f>
        <v>1.5788763536334832E-2</v>
      </c>
      <c r="Y403" s="181">
        <f>'Key Inputs_BY Techs'!Q$218</f>
        <v>0</v>
      </c>
      <c r="Z403" s="181">
        <f>'Key Inputs_BY Techs'!R$218</f>
        <v>0</v>
      </c>
      <c r="AA403" s="181">
        <f>'Key Inputs_BY Techs'!S$218</f>
        <v>5.7200057200057204E-4</v>
      </c>
      <c r="AB403" s="181">
        <f>'Key Inputs_BY Techs'!T$218</f>
        <v>0</v>
      </c>
      <c r="AC403" s="181">
        <f>'Key Inputs_BY Techs'!U$218</f>
        <v>0</v>
      </c>
      <c r="AD403" s="181">
        <f>'Key Inputs_BY Techs'!V$218</f>
        <v>0</v>
      </c>
      <c r="AE403" s="181">
        <f>'Key Inputs_BY Techs'!W$218</f>
        <v>0</v>
      </c>
      <c r="AF403" s="181">
        <f>'Key Inputs_BY Techs'!X$218</f>
        <v>0</v>
      </c>
      <c r="AG403" s="181">
        <f>'Key Inputs_BY Techs'!Y$218</f>
        <v>5.4885009113709495E-3</v>
      </c>
      <c r="AH403" s="181">
        <f>'Key Inputs_BY Techs'!Z$218</f>
        <v>0.35714285714285715</v>
      </c>
      <c r="AI403" s="181">
        <f>'Key Inputs_BY Techs'!AA$218</f>
        <v>0</v>
      </c>
      <c r="AJ403" s="181">
        <f>'Key Inputs_BY Techs'!AB$218</f>
        <v>0</v>
      </c>
      <c r="AK403" s="181">
        <f>'Key Inputs_BY Techs'!AC$218</f>
        <v>5.222150272596244E-6</v>
      </c>
      <c r="AL403" s="181">
        <f>'Key Inputs_BY Techs'!AD$218</f>
        <v>0</v>
      </c>
      <c r="AM403" s="181">
        <f>'Key Inputs_BY Techs'!AE$218</f>
        <v>0</v>
      </c>
      <c r="AN403" s="181">
        <f>'Key Inputs_BY Techs'!AF$218</f>
        <v>0</v>
      </c>
      <c r="AO403" s="181">
        <f>'Key Inputs_BY Techs'!AG$218</f>
        <v>0</v>
      </c>
      <c r="AP403" s="181">
        <f>'Key Inputs_BY Techs'!AH$218</f>
        <v>0</v>
      </c>
      <c r="AQ403" s="181">
        <f>'Key Inputs_BY Techs'!AI$218</f>
        <v>0</v>
      </c>
      <c r="AR403" s="181">
        <f>'Key Inputs_BY Techs'!AJ$218</f>
        <v>0</v>
      </c>
    </row>
    <row r="404" spans="4:44" ht="15.75" x14ac:dyDescent="0.25">
      <c r="D404" s="245" t="str">
        <f>Legend!B$63</f>
        <v>RSDBGS</v>
      </c>
      <c r="K404" s="201" t="str">
        <f>IF('Commodities &amp; Processes'!L$96="",'Commodities &amp; Processes'!K$96,'Commodities &amp; Processes'!L$96)</f>
        <v>R-THH-HPA_GAS07</v>
      </c>
      <c r="L404" s="204" t="str">
        <f>IF('Commodities &amp; Processes'!M$96="",'Commodities &amp; Processes'!L$96,'Commodities &amp; Processes'!M$96)</f>
        <v>RSD Thermal uses technology: Natural gas,Biogas Heat Pump (Adv.) -New</v>
      </c>
      <c r="M404" s="109" t="str">
        <f t="shared" si="84"/>
        <v>RSDBGS</v>
      </c>
      <c r="O404" s="114" t="s">
        <v>203</v>
      </c>
      <c r="P404" s="120" t="s">
        <v>174</v>
      </c>
      <c r="Q404" s="181">
        <f>'Key Inputs_BY Techs'!I$218</f>
        <v>0</v>
      </c>
      <c r="R404" s="181">
        <f>'Key Inputs_BY Techs'!J$218</f>
        <v>0</v>
      </c>
      <c r="S404" s="181">
        <f>'Key Inputs_BY Techs'!K$218</f>
        <v>0</v>
      </c>
      <c r="T404" s="181">
        <f>'Key Inputs_BY Techs'!L$218</f>
        <v>0</v>
      </c>
      <c r="U404" s="181">
        <f>'Key Inputs_BY Techs'!M$218</f>
        <v>0</v>
      </c>
      <c r="V404" s="181">
        <f>'Key Inputs_BY Techs'!N$218</f>
        <v>0</v>
      </c>
      <c r="W404" s="181">
        <f>'Key Inputs_BY Techs'!O$218</f>
        <v>3.1210986267166043E-4</v>
      </c>
      <c r="X404" s="181">
        <f>'Key Inputs_BY Techs'!P$218</f>
        <v>1.5788763536334832E-2</v>
      </c>
      <c r="Y404" s="181">
        <f>'Key Inputs_BY Techs'!Q$218</f>
        <v>0</v>
      </c>
      <c r="Z404" s="181">
        <f>'Key Inputs_BY Techs'!R$218</f>
        <v>0</v>
      </c>
      <c r="AA404" s="181">
        <f>'Key Inputs_BY Techs'!S$218</f>
        <v>5.7200057200057204E-4</v>
      </c>
      <c r="AB404" s="181">
        <f>'Key Inputs_BY Techs'!T$218</f>
        <v>0</v>
      </c>
      <c r="AC404" s="181">
        <f>'Key Inputs_BY Techs'!U$218</f>
        <v>0</v>
      </c>
      <c r="AD404" s="181">
        <f>'Key Inputs_BY Techs'!V$218</f>
        <v>0</v>
      </c>
      <c r="AE404" s="181">
        <f>'Key Inputs_BY Techs'!W$218</f>
        <v>0</v>
      </c>
      <c r="AF404" s="181">
        <f>'Key Inputs_BY Techs'!X$218</f>
        <v>0</v>
      </c>
      <c r="AG404" s="181">
        <f>'Key Inputs_BY Techs'!Y$218</f>
        <v>5.4885009113709495E-3</v>
      </c>
      <c r="AH404" s="181">
        <f>'Key Inputs_BY Techs'!Z$218</f>
        <v>0.35714285714285715</v>
      </c>
      <c r="AI404" s="181">
        <f>'Key Inputs_BY Techs'!AA$218</f>
        <v>0</v>
      </c>
      <c r="AJ404" s="181">
        <f>'Key Inputs_BY Techs'!AB$218</f>
        <v>0</v>
      </c>
      <c r="AK404" s="181">
        <f>'Key Inputs_BY Techs'!AC$218</f>
        <v>5.222150272596244E-6</v>
      </c>
      <c r="AL404" s="181">
        <f>'Key Inputs_BY Techs'!AD$218</f>
        <v>0</v>
      </c>
      <c r="AM404" s="181">
        <f>'Key Inputs_BY Techs'!AE$218</f>
        <v>0</v>
      </c>
      <c r="AN404" s="181">
        <f>'Key Inputs_BY Techs'!AF$218</f>
        <v>0</v>
      </c>
      <c r="AO404" s="181">
        <f>'Key Inputs_BY Techs'!AG$218</f>
        <v>0</v>
      </c>
      <c r="AP404" s="181">
        <f>'Key Inputs_BY Techs'!AH$218</f>
        <v>0</v>
      </c>
      <c r="AQ404" s="181">
        <f>'Key Inputs_BY Techs'!AI$218</f>
        <v>0</v>
      </c>
      <c r="AR404" s="181">
        <f>'Key Inputs_BY Techs'!AJ$218</f>
        <v>0</v>
      </c>
    </row>
    <row r="405" spans="4:44" ht="15.75" x14ac:dyDescent="0.25">
      <c r="D405" s="245" t="str">
        <f>Legend!B$72</f>
        <v>RSDGAM</v>
      </c>
      <c r="K405" s="201" t="str">
        <f>IF('Commodities &amp; Processes'!L$90="",'Commodities &amp; Processes'!K$90,'Commodities &amp; Processes'!L$90)</f>
        <v>R-THH-BLR_GAS01</v>
      </c>
      <c r="L405" s="204" t="str">
        <f>IF('Commodities &amp; Processes'!M$90="",'Commodities &amp; Processes'!L$90,'Commodities &amp; Processes'!M$90)</f>
        <v>RSD Thermal uses technology: Natural gas,Biogas Boiler (Ord.) -New</v>
      </c>
      <c r="M405" s="109" t="str">
        <f t="shared" ref="M405:M411" si="85">IF(D405="","",D405)</f>
        <v>RSDGAM</v>
      </c>
      <c r="O405" s="114" t="s">
        <v>203</v>
      </c>
      <c r="P405" s="120" t="s">
        <v>174</v>
      </c>
      <c r="Q405" s="181">
        <f>'Key Inputs_BY Techs'!I$219</f>
        <v>0</v>
      </c>
      <c r="R405" s="181">
        <f>'Key Inputs_BY Techs'!J$219</f>
        <v>0</v>
      </c>
      <c r="S405" s="181">
        <f>'Key Inputs_BY Techs'!K$219</f>
        <v>0</v>
      </c>
      <c r="T405" s="181">
        <f>'Key Inputs_BY Techs'!L$219</f>
        <v>0</v>
      </c>
      <c r="U405" s="181">
        <f>'Key Inputs_BY Techs'!M$219</f>
        <v>0</v>
      </c>
      <c r="V405" s="181">
        <f>'Key Inputs_BY Techs'!N$219</f>
        <v>0</v>
      </c>
      <c r="W405" s="181">
        <f>'Key Inputs_BY Techs'!O$219</f>
        <v>0</v>
      </c>
      <c r="X405" s="181">
        <f>'Key Inputs_BY Techs'!P$219</f>
        <v>0</v>
      </c>
      <c r="Y405" s="181">
        <f>'Key Inputs_BY Techs'!Q$219</f>
        <v>0</v>
      </c>
      <c r="Z405" s="181">
        <f>'Key Inputs_BY Techs'!R$219</f>
        <v>0</v>
      </c>
      <c r="AA405" s="181">
        <f>'Key Inputs_BY Techs'!S$219</f>
        <v>0</v>
      </c>
      <c r="AB405" s="181">
        <f>'Key Inputs_BY Techs'!T$219</f>
        <v>7.2837675474756117E-3</v>
      </c>
      <c r="AC405" s="181">
        <f>'Key Inputs_BY Techs'!U$219</f>
        <v>0</v>
      </c>
      <c r="AD405" s="181">
        <f>'Key Inputs_BY Techs'!V$219</f>
        <v>0</v>
      </c>
      <c r="AE405" s="181">
        <f>'Key Inputs_BY Techs'!W$219</f>
        <v>0</v>
      </c>
      <c r="AF405" s="181">
        <f>'Key Inputs_BY Techs'!X$219</f>
        <v>0</v>
      </c>
      <c r="AG405" s="181">
        <f>'Key Inputs_BY Techs'!Y$219</f>
        <v>0</v>
      </c>
      <c r="AH405" s="181">
        <f>'Key Inputs_BY Techs'!Z$219</f>
        <v>0</v>
      </c>
      <c r="AI405" s="181">
        <f>'Key Inputs_BY Techs'!AA$219</f>
        <v>0</v>
      </c>
      <c r="AJ405" s="181">
        <f>'Key Inputs_BY Techs'!AB$219</f>
        <v>0</v>
      </c>
      <c r="AK405" s="181">
        <f>'Key Inputs_BY Techs'!AC$219</f>
        <v>0</v>
      </c>
      <c r="AL405" s="181">
        <f>'Key Inputs_BY Techs'!AD$219</f>
        <v>0</v>
      </c>
      <c r="AM405" s="181">
        <f>'Key Inputs_BY Techs'!AE$219</f>
        <v>0</v>
      </c>
      <c r="AN405" s="181">
        <f>'Key Inputs_BY Techs'!AF$219</f>
        <v>0</v>
      </c>
      <c r="AO405" s="181">
        <f>'Key Inputs_BY Techs'!AG$219</f>
        <v>0</v>
      </c>
      <c r="AP405" s="181">
        <f>'Key Inputs_BY Techs'!AH$219</f>
        <v>0</v>
      </c>
      <c r="AQ405" s="181">
        <f>'Key Inputs_BY Techs'!AI$219</f>
        <v>0</v>
      </c>
      <c r="AR405" s="181">
        <f>'Key Inputs_BY Techs'!AJ$219</f>
        <v>0</v>
      </c>
    </row>
    <row r="406" spans="4:44" ht="15.75" x14ac:dyDescent="0.25">
      <c r="D406" s="245" t="str">
        <f>Legend!B$72</f>
        <v>RSDGAM</v>
      </c>
      <c r="K406" s="201" t="str">
        <f>IF('Commodities &amp; Processes'!L$91="",'Commodities &amp; Processes'!K$91,'Commodities &amp; Processes'!L$91)</f>
        <v>R-THH-BLR_GAS02</v>
      </c>
      <c r="L406" s="204" t="str">
        <f>IF('Commodities &amp; Processes'!M$91="",'Commodities &amp; Processes'!L$91,'Commodities &amp; Processes'!M$91)</f>
        <v>RSD Thermal uses technology: Natural gas,Biogas Boiler cond. (Ord.) -New</v>
      </c>
      <c r="M406" s="109" t="str">
        <f t="shared" si="85"/>
        <v>RSDGAM</v>
      </c>
      <c r="O406" s="114" t="s">
        <v>203</v>
      </c>
      <c r="P406" s="120" t="s">
        <v>174</v>
      </c>
      <c r="Q406" s="181">
        <f>'Key Inputs_BY Techs'!I$219</f>
        <v>0</v>
      </c>
      <c r="R406" s="181">
        <f>'Key Inputs_BY Techs'!J$219</f>
        <v>0</v>
      </c>
      <c r="S406" s="181">
        <f>'Key Inputs_BY Techs'!K$219</f>
        <v>0</v>
      </c>
      <c r="T406" s="181">
        <f>'Key Inputs_BY Techs'!L$219</f>
        <v>0</v>
      </c>
      <c r="U406" s="181">
        <f>'Key Inputs_BY Techs'!M$219</f>
        <v>0</v>
      </c>
      <c r="V406" s="181">
        <f>'Key Inputs_BY Techs'!N$219</f>
        <v>0</v>
      </c>
      <c r="W406" s="181">
        <f>'Key Inputs_BY Techs'!O$219</f>
        <v>0</v>
      </c>
      <c r="X406" s="181">
        <f>'Key Inputs_BY Techs'!P$219</f>
        <v>0</v>
      </c>
      <c r="Y406" s="181">
        <f>'Key Inputs_BY Techs'!Q$219</f>
        <v>0</v>
      </c>
      <c r="Z406" s="181">
        <f>'Key Inputs_BY Techs'!R$219</f>
        <v>0</v>
      </c>
      <c r="AA406" s="181">
        <f>'Key Inputs_BY Techs'!S$219</f>
        <v>0</v>
      </c>
      <c r="AB406" s="181">
        <f>'Key Inputs_BY Techs'!T$219</f>
        <v>7.2837675474756117E-3</v>
      </c>
      <c r="AC406" s="181">
        <f>'Key Inputs_BY Techs'!U$219</f>
        <v>0</v>
      </c>
      <c r="AD406" s="181">
        <f>'Key Inputs_BY Techs'!V$219</f>
        <v>0</v>
      </c>
      <c r="AE406" s="181">
        <f>'Key Inputs_BY Techs'!W$219</f>
        <v>0</v>
      </c>
      <c r="AF406" s="181">
        <f>'Key Inputs_BY Techs'!X$219</f>
        <v>0</v>
      </c>
      <c r="AG406" s="181">
        <f>'Key Inputs_BY Techs'!Y$219</f>
        <v>0</v>
      </c>
      <c r="AH406" s="181">
        <f>'Key Inputs_BY Techs'!Z$219</f>
        <v>0</v>
      </c>
      <c r="AI406" s="181">
        <f>'Key Inputs_BY Techs'!AA$219</f>
        <v>0</v>
      </c>
      <c r="AJ406" s="181">
        <f>'Key Inputs_BY Techs'!AB$219</f>
        <v>0</v>
      </c>
      <c r="AK406" s="181">
        <f>'Key Inputs_BY Techs'!AC$219</f>
        <v>0</v>
      </c>
      <c r="AL406" s="181">
        <f>'Key Inputs_BY Techs'!AD$219</f>
        <v>0</v>
      </c>
      <c r="AM406" s="181">
        <f>'Key Inputs_BY Techs'!AE$219</f>
        <v>0</v>
      </c>
      <c r="AN406" s="181">
        <f>'Key Inputs_BY Techs'!AF$219</f>
        <v>0</v>
      </c>
      <c r="AO406" s="181">
        <f>'Key Inputs_BY Techs'!AG$219</f>
        <v>0</v>
      </c>
      <c r="AP406" s="181">
        <f>'Key Inputs_BY Techs'!AH$219</f>
        <v>0</v>
      </c>
      <c r="AQ406" s="181">
        <f>'Key Inputs_BY Techs'!AI$219</f>
        <v>0</v>
      </c>
      <c r="AR406" s="181">
        <f>'Key Inputs_BY Techs'!AJ$219</f>
        <v>0</v>
      </c>
    </row>
    <row r="407" spans="4:44" ht="15.75" x14ac:dyDescent="0.25">
      <c r="D407" s="245" t="str">
        <f>Legend!B$72</f>
        <v>RSDGAM</v>
      </c>
      <c r="K407" s="201" t="str">
        <f>IF('Commodities &amp; Processes'!L$92="",'Commodities &amp; Processes'!K$92,'Commodities &amp; Processes'!L$92)</f>
        <v>R-THH-BLR_GAS03</v>
      </c>
      <c r="L407" s="204" t="str">
        <f>IF('Commodities &amp; Processes'!M$92="",'Commodities &amp; Processes'!L$92,'Commodities &amp; Processes'!M$92)</f>
        <v>RSD Thermal uses technology: Natural gas,Biogas Boiler (Imp.) -New</v>
      </c>
      <c r="M407" s="109" t="str">
        <f t="shared" si="85"/>
        <v>RSDGAM</v>
      </c>
      <c r="O407" s="114" t="s">
        <v>203</v>
      </c>
      <c r="P407" s="120" t="s">
        <v>174</v>
      </c>
      <c r="Q407" s="181">
        <f>'Key Inputs_BY Techs'!I$219</f>
        <v>0</v>
      </c>
      <c r="R407" s="181">
        <f>'Key Inputs_BY Techs'!J$219</f>
        <v>0</v>
      </c>
      <c r="S407" s="181">
        <f>'Key Inputs_BY Techs'!K$219</f>
        <v>0</v>
      </c>
      <c r="T407" s="181">
        <f>'Key Inputs_BY Techs'!L$219</f>
        <v>0</v>
      </c>
      <c r="U407" s="181">
        <f>'Key Inputs_BY Techs'!M$219</f>
        <v>0</v>
      </c>
      <c r="V407" s="181">
        <f>'Key Inputs_BY Techs'!N$219</f>
        <v>0</v>
      </c>
      <c r="W407" s="181">
        <f>'Key Inputs_BY Techs'!O$219</f>
        <v>0</v>
      </c>
      <c r="X407" s="181">
        <f>'Key Inputs_BY Techs'!P$219</f>
        <v>0</v>
      </c>
      <c r="Y407" s="181">
        <f>'Key Inputs_BY Techs'!Q$219</f>
        <v>0</v>
      </c>
      <c r="Z407" s="181">
        <f>'Key Inputs_BY Techs'!R$219</f>
        <v>0</v>
      </c>
      <c r="AA407" s="181">
        <f>'Key Inputs_BY Techs'!S$219</f>
        <v>0</v>
      </c>
      <c r="AB407" s="181">
        <f>'Key Inputs_BY Techs'!T$219</f>
        <v>7.2837675474756117E-3</v>
      </c>
      <c r="AC407" s="181">
        <f>'Key Inputs_BY Techs'!U$219</f>
        <v>0</v>
      </c>
      <c r="AD407" s="181">
        <f>'Key Inputs_BY Techs'!V$219</f>
        <v>0</v>
      </c>
      <c r="AE407" s="181">
        <f>'Key Inputs_BY Techs'!W$219</f>
        <v>0</v>
      </c>
      <c r="AF407" s="181">
        <f>'Key Inputs_BY Techs'!X$219</f>
        <v>0</v>
      </c>
      <c r="AG407" s="181">
        <f>'Key Inputs_BY Techs'!Y$219</f>
        <v>0</v>
      </c>
      <c r="AH407" s="181">
        <f>'Key Inputs_BY Techs'!Z$219</f>
        <v>0</v>
      </c>
      <c r="AI407" s="181">
        <f>'Key Inputs_BY Techs'!AA$219</f>
        <v>0</v>
      </c>
      <c r="AJ407" s="181">
        <f>'Key Inputs_BY Techs'!AB$219</f>
        <v>0</v>
      </c>
      <c r="AK407" s="181">
        <f>'Key Inputs_BY Techs'!AC$219</f>
        <v>0</v>
      </c>
      <c r="AL407" s="181">
        <f>'Key Inputs_BY Techs'!AD$219</f>
        <v>0</v>
      </c>
      <c r="AM407" s="181">
        <f>'Key Inputs_BY Techs'!AE$219</f>
        <v>0</v>
      </c>
      <c r="AN407" s="181">
        <f>'Key Inputs_BY Techs'!AF$219</f>
        <v>0</v>
      </c>
      <c r="AO407" s="181">
        <f>'Key Inputs_BY Techs'!AG$219</f>
        <v>0</v>
      </c>
      <c r="AP407" s="181">
        <f>'Key Inputs_BY Techs'!AH$219</f>
        <v>0</v>
      </c>
      <c r="AQ407" s="181">
        <f>'Key Inputs_BY Techs'!AI$219</f>
        <v>0</v>
      </c>
      <c r="AR407" s="181">
        <f>'Key Inputs_BY Techs'!AJ$219</f>
        <v>0</v>
      </c>
    </row>
    <row r="408" spans="4:44" ht="15.75" x14ac:dyDescent="0.25">
      <c r="D408" s="245" t="str">
        <f>Legend!B$72</f>
        <v>RSDGAM</v>
      </c>
      <c r="K408" s="201" t="str">
        <f>IF('Commodities &amp; Processes'!L$93="",'Commodities &amp; Processes'!K$93,'Commodities &amp; Processes'!L$93)</f>
        <v>R-THH-BLR_GAS04</v>
      </c>
      <c r="L408" s="204" t="str">
        <f>IF('Commodities &amp; Processes'!M$93="",'Commodities &amp; Processes'!L$93,'Commodities &amp; Processes'!M$93)</f>
        <v>RSD Thermal uses technology: Natural gas,Biogas Boiler cond. (Imp.) -New</v>
      </c>
      <c r="M408" s="109" t="str">
        <f t="shared" si="85"/>
        <v>RSDGAM</v>
      </c>
      <c r="O408" s="114" t="s">
        <v>203</v>
      </c>
      <c r="P408" s="120" t="s">
        <v>174</v>
      </c>
      <c r="Q408" s="181">
        <f>'Key Inputs_BY Techs'!I$219</f>
        <v>0</v>
      </c>
      <c r="R408" s="181">
        <f>'Key Inputs_BY Techs'!J$219</f>
        <v>0</v>
      </c>
      <c r="S408" s="181">
        <f>'Key Inputs_BY Techs'!K$219</f>
        <v>0</v>
      </c>
      <c r="T408" s="181">
        <f>'Key Inputs_BY Techs'!L$219</f>
        <v>0</v>
      </c>
      <c r="U408" s="181">
        <f>'Key Inputs_BY Techs'!M$219</f>
        <v>0</v>
      </c>
      <c r="V408" s="181">
        <f>'Key Inputs_BY Techs'!N$219</f>
        <v>0</v>
      </c>
      <c r="W408" s="181">
        <f>'Key Inputs_BY Techs'!O$219</f>
        <v>0</v>
      </c>
      <c r="X408" s="181">
        <f>'Key Inputs_BY Techs'!P$219</f>
        <v>0</v>
      </c>
      <c r="Y408" s="181">
        <f>'Key Inputs_BY Techs'!Q$219</f>
        <v>0</v>
      </c>
      <c r="Z408" s="181">
        <f>'Key Inputs_BY Techs'!R$219</f>
        <v>0</v>
      </c>
      <c r="AA408" s="181">
        <f>'Key Inputs_BY Techs'!S$219</f>
        <v>0</v>
      </c>
      <c r="AB408" s="181">
        <f>'Key Inputs_BY Techs'!T$219</f>
        <v>7.2837675474756117E-3</v>
      </c>
      <c r="AC408" s="181">
        <f>'Key Inputs_BY Techs'!U$219</f>
        <v>0</v>
      </c>
      <c r="AD408" s="181">
        <f>'Key Inputs_BY Techs'!V$219</f>
        <v>0</v>
      </c>
      <c r="AE408" s="181">
        <f>'Key Inputs_BY Techs'!W$219</f>
        <v>0</v>
      </c>
      <c r="AF408" s="181">
        <f>'Key Inputs_BY Techs'!X$219</f>
        <v>0</v>
      </c>
      <c r="AG408" s="181">
        <f>'Key Inputs_BY Techs'!Y$219</f>
        <v>0</v>
      </c>
      <c r="AH408" s="181">
        <f>'Key Inputs_BY Techs'!Z$219</f>
        <v>0</v>
      </c>
      <c r="AI408" s="181">
        <f>'Key Inputs_BY Techs'!AA$219</f>
        <v>0</v>
      </c>
      <c r="AJ408" s="181">
        <f>'Key Inputs_BY Techs'!AB$219</f>
        <v>0</v>
      </c>
      <c r="AK408" s="181">
        <f>'Key Inputs_BY Techs'!AC$219</f>
        <v>0</v>
      </c>
      <c r="AL408" s="181">
        <f>'Key Inputs_BY Techs'!AD$219</f>
        <v>0</v>
      </c>
      <c r="AM408" s="181">
        <f>'Key Inputs_BY Techs'!AE$219</f>
        <v>0</v>
      </c>
      <c r="AN408" s="181">
        <f>'Key Inputs_BY Techs'!AF$219</f>
        <v>0</v>
      </c>
      <c r="AO408" s="181">
        <f>'Key Inputs_BY Techs'!AG$219</f>
        <v>0</v>
      </c>
      <c r="AP408" s="181">
        <f>'Key Inputs_BY Techs'!AH$219</f>
        <v>0</v>
      </c>
      <c r="AQ408" s="181">
        <f>'Key Inputs_BY Techs'!AI$219</f>
        <v>0</v>
      </c>
      <c r="AR408" s="181">
        <f>'Key Inputs_BY Techs'!AJ$219</f>
        <v>0</v>
      </c>
    </row>
    <row r="409" spans="4:44" ht="15.75" x14ac:dyDescent="0.25">
      <c r="D409" s="245" t="str">
        <f>Legend!B$72</f>
        <v>RSDGAM</v>
      </c>
      <c r="K409" s="201" t="str">
        <f>IF('Commodities &amp; Processes'!L$94="",'Commodities &amp; Processes'!K$94,'Commodities &amp; Processes'!L$94)</f>
        <v>R-THH-HPA_GAS05</v>
      </c>
      <c r="L409" s="204" t="str">
        <f>IF('Commodities &amp; Processes'!M$94="",'Commodities &amp; Processes'!L$94,'Commodities &amp; Processes'!M$94)</f>
        <v>RSD Thermal uses technology: Natural gas,Biogas Heat Pump (Ord.) -New</v>
      </c>
      <c r="M409" s="109" t="str">
        <f t="shared" si="85"/>
        <v>RSDGAM</v>
      </c>
      <c r="O409" s="114" t="s">
        <v>203</v>
      </c>
      <c r="P409" s="120" t="s">
        <v>174</v>
      </c>
      <c r="Q409" s="181">
        <f>'Key Inputs_BY Techs'!I$219</f>
        <v>0</v>
      </c>
      <c r="R409" s="181">
        <f>'Key Inputs_BY Techs'!J$219</f>
        <v>0</v>
      </c>
      <c r="S409" s="181">
        <f>'Key Inputs_BY Techs'!K$219</f>
        <v>0</v>
      </c>
      <c r="T409" s="181">
        <f>'Key Inputs_BY Techs'!L$219</f>
        <v>0</v>
      </c>
      <c r="U409" s="181">
        <f>'Key Inputs_BY Techs'!M$219</f>
        <v>0</v>
      </c>
      <c r="V409" s="181">
        <f>'Key Inputs_BY Techs'!N$219</f>
        <v>0</v>
      </c>
      <c r="W409" s="181">
        <f>'Key Inputs_BY Techs'!O$219</f>
        <v>0</v>
      </c>
      <c r="X409" s="181">
        <f>'Key Inputs_BY Techs'!P$219</f>
        <v>0</v>
      </c>
      <c r="Y409" s="181">
        <f>'Key Inputs_BY Techs'!Q$219</f>
        <v>0</v>
      </c>
      <c r="Z409" s="181">
        <f>'Key Inputs_BY Techs'!R$219</f>
        <v>0</v>
      </c>
      <c r="AA409" s="181">
        <f>'Key Inputs_BY Techs'!S$219</f>
        <v>0</v>
      </c>
      <c r="AB409" s="181">
        <f>'Key Inputs_BY Techs'!T$219</f>
        <v>7.2837675474756117E-3</v>
      </c>
      <c r="AC409" s="181">
        <f>'Key Inputs_BY Techs'!U$219</f>
        <v>0</v>
      </c>
      <c r="AD409" s="181">
        <f>'Key Inputs_BY Techs'!V$219</f>
        <v>0</v>
      </c>
      <c r="AE409" s="181">
        <f>'Key Inputs_BY Techs'!W$219</f>
        <v>0</v>
      </c>
      <c r="AF409" s="181">
        <f>'Key Inputs_BY Techs'!X$219</f>
        <v>0</v>
      </c>
      <c r="AG409" s="181">
        <f>'Key Inputs_BY Techs'!Y$219</f>
        <v>0</v>
      </c>
      <c r="AH409" s="181">
        <f>'Key Inputs_BY Techs'!Z$219</f>
        <v>0</v>
      </c>
      <c r="AI409" s="181">
        <f>'Key Inputs_BY Techs'!AA$219</f>
        <v>0</v>
      </c>
      <c r="AJ409" s="181">
        <f>'Key Inputs_BY Techs'!AB$219</f>
        <v>0</v>
      </c>
      <c r="AK409" s="181">
        <f>'Key Inputs_BY Techs'!AC$219</f>
        <v>0</v>
      </c>
      <c r="AL409" s="181">
        <f>'Key Inputs_BY Techs'!AD$219</f>
        <v>0</v>
      </c>
      <c r="AM409" s="181">
        <f>'Key Inputs_BY Techs'!AE$219</f>
        <v>0</v>
      </c>
      <c r="AN409" s="181">
        <f>'Key Inputs_BY Techs'!AF$219</f>
        <v>0</v>
      </c>
      <c r="AO409" s="181">
        <f>'Key Inputs_BY Techs'!AG$219</f>
        <v>0</v>
      </c>
      <c r="AP409" s="181">
        <f>'Key Inputs_BY Techs'!AH$219</f>
        <v>0</v>
      </c>
      <c r="AQ409" s="181">
        <f>'Key Inputs_BY Techs'!AI$219</f>
        <v>0</v>
      </c>
      <c r="AR409" s="181">
        <f>'Key Inputs_BY Techs'!AJ$219</f>
        <v>0</v>
      </c>
    </row>
    <row r="410" spans="4:44" ht="15.75" x14ac:dyDescent="0.25">
      <c r="D410" s="245" t="str">
        <f>Legend!B$72</f>
        <v>RSDGAM</v>
      </c>
      <c r="K410" s="201" t="str">
        <f>IF('Commodities &amp; Processes'!L$95="",'Commodities &amp; Processes'!K$95,'Commodities &amp; Processes'!L$95)</f>
        <v>R-THH-HPA_GAS06</v>
      </c>
      <c r="L410" s="204" t="str">
        <f>IF('Commodities &amp; Processes'!M$95="",'Commodities &amp; Processes'!L$95,'Commodities &amp; Processes'!M$95)</f>
        <v>RSD Thermal uses technology: Natural gas,Biogas Heat Pump (Imp.) -New</v>
      </c>
      <c r="M410" s="109" t="str">
        <f t="shared" si="85"/>
        <v>RSDGAM</v>
      </c>
      <c r="O410" s="114" t="s">
        <v>203</v>
      </c>
      <c r="P410" s="120" t="s">
        <v>174</v>
      </c>
      <c r="Q410" s="181">
        <f>'Key Inputs_BY Techs'!I$219</f>
        <v>0</v>
      </c>
      <c r="R410" s="181">
        <f>'Key Inputs_BY Techs'!J$219</f>
        <v>0</v>
      </c>
      <c r="S410" s="181">
        <f>'Key Inputs_BY Techs'!K$219</f>
        <v>0</v>
      </c>
      <c r="T410" s="181">
        <f>'Key Inputs_BY Techs'!L$219</f>
        <v>0</v>
      </c>
      <c r="U410" s="181">
        <f>'Key Inputs_BY Techs'!M$219</f>
        <v>0</v>
      </c>
      <c r="V410" s="181">
        <f>'Key Inputs_BY Techs'!N$219</f>
        <v>0</v>
      </c>
      <c r="W410" s="181">
        <f>'Key Inputs_BY Techs'!O$219</f>
        <v>0</v>
      </c>
      <c r="X410" s="181">
        <f>'Key Inputs_BY Techs'!P$219</f>
        <v>0</v>
      </c>
      <c r="Y410" s="181">
        <f>'Key Inputs_BY Techs'!Q$219</f>
        <v>0</v>
      </c>
      <c r="Z410" s="181">
        <f>'Key Inputs_BY Techs'!R$219</f>
        <v>0</v>
      </c>
      <c r="AA410" s="181">
        <f>'Key Inputs_BY Techs'!S$219</f>
        <v>0</v>
      </c>
      <c r="AB410" s="181">
        <f>'Key Inputs_BY Techs'!T$219</f>
        <v>7.2837675474756117E-3</v>
      </c>
      <c r="AC410" s="181">
        <f>'Key Inputs_BY Techs'!U$219</f>
        <v>0</v>
      </c>
      <c r="AD410" s="181">
        <f>'Key Inputs_BY Techs'!V$219</f>
        <v>0</v>
      </c>
      <c r="AE410" s="181">
        <f>'Key Inputs_BY Techs'!W$219</f>
        <v>0</v>
      </c>
      <c r="AF410" s="181">
        <f>'Key Inputs_BY Techs'!X$219</f>
        <v>0</v>
      </c>
      <c r="AG410" s="181">
        <f>'Key Inputs_BY Techs'!Y$219</f>
        <v>0</v>
      </c>
      <c r="AH410" s="181">
        <f>'Key Inputs_BY Techs'!Z$219</f>
        <v>0</v>
      </c>
      <c r="AI410" s="181">
        <f>'Key Inputs_BY Techs'!AA$219</f>
        <v>0</v>
      </c>
      <c r="AJ410" s="181">
        <f>'Key Inputs_BY Techs'!AB$219</f>
        <v>0</v>
      </c>
      <c r="AK410" s="181">
        <f>'Key Inputs_BY Techs'!AC$219</f>
        <v>0</v>
      </c>
      <c r="AL410" s="181">
        <f>'Key Inputs_BY Techs'!AD$219</f>
        <v>0</v>
      </c>
      <c r="AM410" s="181">
        <f>'Key Inputs_BY Techs'!AE$219</f>
        <v>0</v>
      </c>
      <c r="AN410" s="181">
        <f>'Key Inputs_BY Techs'!AF$219</f>
        <v>0</v>
      </c>
      <c r="AO410" s="181">
        <f>'Key Inputs_BY Techs'!AG$219</f>
        <v>0</v>
      </c>
      <c r="AP410" s="181">
        <f>'Key Inputs_BY Techs'!AH$219</f>
        <v>0</v>
      </c>
      <c r="AQ410" s="181">
        <f>'Key Inputs_BY Techs'!AI$219</f>
        <v>0</v>
      </c>
      <c r="AR410" s="181">
        <f>'Key Inputs_BY Techs'!AJ$219</f>
        <v>0</v>
      </c>
    </row>
    <row r="411" spans="4:44" ht="15.75" x14ac:dyDescent="0.25">
      <c r="D411" s="245" t="str">
        <f>Legend!B$72</f>
        <v>RSDGAM</v>
      </c>
      <c r="K411" s="201" t="str">
        <f>IF('Commodities &amp; Processes'!L$96="",'Commodities &amp; Processes'!K$96,'Commodities &amp; Processes'!L$96)</f>
        <v>R-THH-HPA_GAS07</v>
      </c>
      <c r="L411" s="204" t="str">
        <f>IF('Commodities &amp; Processes'!M$96="",'Commodities &amp; Processes'!L$96,'Commodities &amp; Processes'!M$96)</f>
        <v>RSD Thermal uses technology: Natural gas,Biogas Heat Pump (Adv.) -New</v>
      </c>
      <c r="M411" s="109" t="str">
        <f t="shared" si="85"/>
        <v>RSDGAM</v>
      </c>
      <c r="O411" s="114" t="s">
        <v>203</v>
      </c>
      <c r="P411" s="120" t="s">
        <v>174</v>
      </c>
      <c r="Q411" s="181">
        <f>'Key Inputs_BY Techs'!I$219</f>
        <v>0</v>
      </c>
      <c r="R411" s="181">
        <f>'Key Inputs_BY Techs'!J$219</f>
        <v>0</v>
      </c>
      <c r="S411" s="181">
        <f>'Key Inputs_BY Techs'!K$219</f>
        <v>0</v>
      </c>
      <c r="T411" s="181">
        <f>'Key Inputs_BY Techs'!L$219</f>
        <v>0</v>
      </c>
      <c r="U411" s="181">
        <f>'Key Inputs_BY Techs'!M$219</f>
        <v>0</v>
      </c>
      <c r="V411" s="181">
        <f>'Key Inputs_BY Techs'!N$219</f>
        <v>0</v>
      </c>
      <c r="W411" s="181">
        <f>'Key Inputs_BY Techs'!O$219</f>
        <v>0</v>
      </c>
      <c r="X411" s="181">
        <f>'Key Inputs_BY Techs'!P$219</f>
        <v>0</v>
      </c>
      <c r="Y411" s="181">
        <f>'Key Inputs_BY Techs'!Q$219</f>
        <v>0</v>
      </c>
      <c r="Z411" s="181">
        <f>'Key Inputs_BY Techs'!R$219</f>
        <v>0</v>
      </c>
      <c r="AA411" s="181">
        <f>'Key Inputs_BY Techs'!S$219</f>
        <v>0</v>
      </c>
      <c r="AB411" s="181">
        <f>'Key Inputs_BY Techs'!T$219</f>
        <v>7.2837675474756117E-3</v>
      </c>
      <c r="AC411" s="181">
        <f>'Key Inputs_BY Techs'!U$219</f>
        <v>0</v>
      </c>
      <c r="AD411" s="181">
        <f>'Key Inputs_BY Techs'!V$219</f>
        <v>0</v>
      </c>
      <c r="AE411" s="181">
        <f>'Key Inputs_BY Techs'!W$219</f>
        <v>0</v>
      </c>
      <c r="AF411" s="181">
        <f>'Key Inputs_BY Techs'!X$219</f>
        <v>0</v>
      </c>
      <c r="AG411" s="181">
        <f>'Key Inputs_BY Techs'!Y$219</f>
        <v>0</v>
      </c>
      <c r="AH411" s="181">
        <f>'Key Inputs_BY Techs'!Z$219</f>
        <v>0</v>
      </c>
      <c r="AI411" s="181">
        <f>'Key Inputs_BY Techs'!AA$219</f>
        <v>0</v>
      </c>
      <c r="AJ411" s="181">
        <f>'Key Inputs_BY Techs'!AB$219</f>
        <v>0</v>
      </c>
      <c r="AK411" s="181">
        <f>'Key Inputs_BY Techs'!AC$219</f>
        <v>0</v>
      </c>
      <c r="AL411" s="181">
        <f>'Key Inputs_BY Techs'!AD$219</f>
        <v>0</v>
      </c>
      <c r="AM411" s="181">
        <f>'Key Inputs_BY Techs'!AE$219</f>
        <v>0</v>
      </c>
      <c r="AN411" s="181">
        <f>'Key Inputs_BY Techs'!AF$219</f>
        <v>0</v>
      </c>
      <c r="AO411" s="181">
        <f>'Key Inputs_BY Techs'!AG$219</f>
        <v>0</v>
      </c>
      <c r="AP411" s="181">
        <f>'Key Inputs_BY Techs'!AH$219</f>
        <v>0</v>
      </c>
      <c r="AQ411" s="181">
        <f>'Key Inputs_BY Techs'!AI$219</f>
        <v>0</v>
      </c>
      <c r="AR411" s="181">
        <f>'Key Inputs_BY Techs'!AJ$219</f>
        <v>0</v>
      </c>
    </row>
    <row r="412" spans="4:44" ht="15.75" x14ac:dyDescent="0.25">
      <c r="D412" s="245" t="str">
        <f>Legend!B$69</f>
        <v>RSDBLQ</v>
      </c>
      <c r="K412" s="201" t="str">
        <f>IF('Commodities &amp; Processes'!L$102="",'Commodities &amp; Processes'!K$102,'Commodities &amp; Processes'!L$102)</f>
        <v>R-THH-BLR_OIL01</v>
      </c>
      <c r="L412" s="204" t="str">
        <f>IF('Commodities &amp; Processes'!M$102="",'Commodities &amp; Processes'!L$102,'Commodities &amp; Processes'!M$102)</f>
        <v>RSD Thermal uses technology: Oil, Liquid biofuels Boiler (Ord.) -New</v>
      </c>
      <c r="M412" s="109" t="str">
        <f t="shared" si="84"/>
        <v>RSDBLQ</v>
      </c>
      <c r="O412" s="114" t="s">
        <v>203</v>
      </c>
      <c r="P412" s="120" t="s">
        <v>174</v>
      </c>
      <c r="Q412" s="181">
        <f>'Key Inputs_BY Techs'!I$220</f>
        <v>0</v>
      </c>
      <c r="R412" s="181">
        <f>'Key Inputs_BY Techs'!J$220</f>
        <v>0</v>
      </c>
      <c r="S412" s="181">
        <f>'Key Inputs_BY Techs'!K$220</f>
        <v>0</v>
      </c>
      <c r="T412" s="181">
        <f>'Key Inputs_BY Techs'!L$220</f>
        <v>0</v>
      </c>
      <c r="U412" s="181">
        <f>'Key Inputs_BY Techs'!M$220</f>
        <v>0</v>
      </c>
      <c r="V412" s="181">
        <f>'Key Inputs_BY Techs'!N$220</f>
        <v>0</v>
      </c>
      <c r="W412" s="181">
        <f>'Key Inputs_BY Techs'!O$220</f>
        <v>0</v>
      </c>
      <c r="X412" s="181">
        <f>'Key Inputs_BY Techs'!P$220</f>
        <v>0</v>
      </c>
      <c r="Y412" s="181">
        <f>'Key Inputs_BY Techs'!Q$220</f>
        <v>0</v>
      </c>
      <c r="Z412" s="181">
        <f>'Key Inputs_BY Techs'!R$220</f>
        <v>0</v>
      </c>
      <c r="AA412" s="181">
        <f>'Key Inputs_BY Techs'!S$220</f>
        <v>0</v>
      </c>
      <c r="AB412" s="181">
        <f>'Key Inputs_BY Techs'!T$220</f>
        <v>2.1995103143777766E-2</v>
      </c>
      <c r="AC412" s="181">
        <f>'Key Inputs_BY Techs'!U$220</f>
        <v>0</v>
      </c>
      <c r="AD412" s="181">
        <f>'Key Inputs_BY Techs'!V$220</f>
        <v>0</v>
      </c>
      <c r="AE412" s="181">
        <f>'Key Inputs_BY Techs'!W$220</f>
        <v>0</v>
      </c>
      <c r="AF412" s="181">
        <f>'Key Inputs_BY Techs'!X$220</f>
        <v>0</v>
      </c>
      <c r="AG412" s="181">
        <f>'Key Inputs_BY Techs'!Y$220</f>
        <v>1.0084240841615767E-3</v>
      </c>
      <c r="AH412" s="181">
        <f>'Key Inputs_BY Techs'!Z$220</f>
        <v>0</v>
      </c>
      <c r="AI412" s="181">
        <f>'Key Inputs_BY Techs'!AA$220</f>
        <v>0</v>
      </c>
      <c r="AJ412" s="181">
        <f>'Key Inputs_BY Techs'!AB$220</f>
        <v>0</v>
      </c>
      <c r="AK412" s="181">
        <f>'Key Inputs_BY Techs'!AC$220</f>
        <v>3.4642460170433494E-2</v>
      </c>
      <c r="AL412" s="181">
        <f>'Key Inputs_BY Techs'!AD$220</f>
        <v>0</v>
      </c>
      <c r="AM412" s="181">
        <f>'Key Inputs_BY Techs'!AE$220</f>
        <v>0</v>
      </c>
      <c r="AN412" s="181">
        <f>'Key Inputs_BY Techs'!AF$220</f>
        <v>0</v>
      </c>
      <c r="AO412" s="181">
        <f>'Key Inputs_BY Techs'!AG$220</f>
        <v>0</v>
      </c>
      <c r="AP412" s="181">
        <f>'Key Inputs_BY Techs'!AH$220</f>
        <v>0</v>
      </c>
      <c r="AQ412" s="181">
        <f>'Key Inputs_BY Techs'!AI$220</f>
        <v>0</v>
      </c>
      <c r="AR412" s="181">
        <f>'Key Inputs_BY Techs'!AJ$220</f>
        <v>1.9109558794010197E-2</v>
      </c>
    </row>
    <row r="413" spans="4:44" ht="15.75" x14ac:dyDescent="0.25">
      <c r="D413" s="245" t="str">
        <f>Legend!B$69</f>
        <v>RSDBLQ</v>
      </c>
      <c r="K413" s="201" t="str">
        <f>IF('Commodities &amp; Processes'!L$103="",'Commodities &amp; Processes'!K$103,'Commodities &amp; Processes'!L$103)</f>
        <v>R-THH-BLR_OIL02</v>
      </c>
      <c r="L413" s="204" t="str">
        <f>IF('Commodities &amp; Processes'!M$103="",'Commodities &amp; Processes'!L$103,'Commodities &amp; Processes'!M$103)</f>
        <v>RSD Thermal uses technology: Oil, Liquid biofuels Boiler cond. (Ord.) -New</v>
      </c>
      <c r="M413" s="109" t="str">
        <f t="shared" si="84"/>
        <v>RSDBLQ</v>
      </c>
      <c r="O413" s="114" t="s">
        <v>203</v>
      </c>
      <c r="P413" s="120" t="s">
        <v>174</v>
      </c>
      <c r="Q413" s="181">
        <f>'Key Inputs_BY Techs'!I$220</f>
        <v>0</v>
      </c>
      <c r="R413" s="181">
        <f>'Key Inputs_BY Techs'!J$220</f>
        <v>0</v>
      </c>
      <c r="S413" s="181">
        <f>'Key Inputs_BY Techs'!K$220</f>
        <v>0</v>
      </c>
      <c r="T413" s="181">
        <f>'Key Inputs_BY Techs'!L$220</f>
        <v>0</v>
      </c>
      <c r="U413" s="181">
        <f>'Key Inputs_BY Techs'!M$220</f>
        <v>0</v>
      </c>
      <c r="V413" s="181">
        <f>'Key Inputs_BY Techs'!N$220</f>
        <v>0</v>
      </c>
      <c r="W413" s="181">
        <f>'Key Inputs_BY Techs'!O$220</f>
        <v>0</v>
      </c>
      <c r="X413" s="181">
        <f>'Key Inputs_BY Techs'!P$220</f>
        <v>0</v>
      </c>
      <c r="Y413" s="181">
        <f>'Key Inputs_BY Techs'!Q$220</f>
        <v>0</v>
      </c>
      <c r="Z413" s="181">
        <f>'Key Inputs_BY Techs'!R$220</f>
        <v>0</v>
      </c>
      <c r="AA413" s="181">
        <f>'Key Inputs_BY Techs'!S$220</f>
        <v>0</v>
      </c>
      <c r="AB413" s="181">
        <f>'Key Inputs_BY Techs'!T$220</f>
        <v>2.1995103143777766E-2</v>
      </c>
      <c r="AC413" s="181">
        <f>'Key Inputs_BY Techs'!U$220</f>
        <v>0</v>
      </c>
      <c r="AD413" s="181">
        <f>'Key Inputs_BY Techs'!V$220</f>
        <v>0</v>
      </c>
      <c r="AE413" s="181">
        <f>'Key Inputs_BY Techs'!W$220</f>
        <v>0</v>
      </c>
      <c r="AF413" s="181">
        <f>'Key Inputs_BY Techs'!X$220</f>
        <v>0</v>
      </c>
      <c r="AG413" s="181">
        <f>'Key Inputs_BY Techs'!Y$220</f>
        <v>1.0084240841615767E-3</v>
      </c>
      <c r="AH413" s="181">
        <f>'Key Inputs_BY Techs'!Z$220</f>
        <v>0</v>
      </c>
      <c r="AI413" s="181">
        <f>'Key Inputs_BY Techs'!AA$220</f>
        <v>0</v>
      </c>
      <c r="AJ413" s="181">
        <f>'Key Inputs_BY Techs'!AB$220</f>
        <v>0</v>
      </c>
      <c r="AK413" s="181">
        <f>'Key Inputs_BY Techs'!AC$220</f>
        <v>3.4642460170433494E-2</v>
      </c>
      <c r="AL413" s="181">
        <f>'Key Inputs_BY Techs'!AD$220</f>
        <v>0</v>
      </c>
      <c r="AM413" s="181">
        <f>'Key Inputs_BY Techs'!AE$220</f>
        <v>0</v>
      </c>
      <c r="AN413" s="181">
        <f>'Key Inputs_BY Techs'!AF$220</f>
        <v>0</v>
      </c>
      <c r="AO413" s="181">
        <f>'Key Inputs_BY Techs'!AG$220</f>
        <v>0</v>
      </c>
      <c r="AP413" s="181">
        <f>'Key Inputs_BY Techs'!AH$220</f>
        <v>0</v>
      </c>
      <c r="AQ413" s="181">
        <f>'Key Inputs_BY Techs'!AI$220</f>
        <v>0</v>
      </c>
      <c r="AR413" s="181">
        <f>'Key Inputs_BY Techs'!AJ$220</f>
        <v>1.9109558794010197E-2</v>
      </c>
    </row>
    <row r="414" spans="4:44" ht="15.75" x14ac:dyDescent="0.25">
      <c r="D414" s="245" t="str">
        <f>Legend!B$69</f>
        <v>RSDBLQ</v>
      </c>
      <c r="K414" s="201" t="str">
        <f>IF('Commodities &amp; Processes'!L$104="",'Commodities &amp; Processes'!K$104,'Commodities &amp; Processes'!L$104)</f>
        <v>R-THH-BLR_OIL03</v>
      </c>
      <c r="L414" s="204" t="str">
        <f>IF('Commodities &amp; Processes'!M$104="",'Commodities &amp; Processes'!L$104,'Commodities &amp; Processes'!M$104)</f>
        <v>RSD Thermal uses technology: Oil, Liquid biofuels Boiler cond. (Imp.) -New</v>
      </c>
      <c r="M414" s="109" t="str">
        <f t="shared" si="84"/>
        <v>RSDBLQ</v>
      </c>
      <c r="O414" s="114" t="s">
        <v>203</v>
      </c>
      <c r="P414" s="120" t="s">
        <v>174</v>
      </c>
      <c r="Q414" s="181">
        <f>'Key Inputs_BY Techs'!I$220</f>
        <v>0</v>
      </c>
      <c r="R414" s="181">
        <f>'Key Inputs_BY Techs'!J$220</f>
        <v>0</v>
      </c>
      <c r="S414" s="181">
        <f>'Key Inputs_BY Techs'!K$220</f>
        <v>0</v>
      </c>
      <c r="T414" s="181">
        <f>'Key Inputs_BY Techs'!L$220</f>
        <v>0</v>
      </c>
      <c r="U414" s="181">
        <f>'Key Inputs_BY Techs'!M$220</f>
        <v>0</v>
      </c>
      <c r="V414" s="181">
        <f>'Key Inputs_BY Techs'!N$220</f>
        <v>0</v>
      </c>
      <c r="W414" s="181">
        <f>'Key Inputs_BY Techs'!O$220</f>
        <v>0</v>
      </c>
      <c r="X414" s="181">
        <f>'Key Inputs_BY Techs'!P$220</f>
        <v>0</v>
      </c>
      <c r="Y414" s="181">
        <f>'Key Inputs_BY Techs'!Q$220</f>
        <v>0</v>
      </c>
      <c r="Z414" s="181">
        <f>'Key Inputs_BY Techs'!R$220</f>
        <v>0</v>
      </c>
      <c r="AA414" s="181">
        <f>'Key Inputs_BY Techs'!S$220</f>
        <v>0</v>
      </c>
      <c r="AB414" s="181">
        <f>'Key Inputs_BY Techs'!T$220</f>
        <v>2.1995103143777766E-2</v>
      </c>
      <c r="AC414" s="181">
        <f>'Key Inputs_BY Techs'!U$220</f>
        <v>0</v>
      </c>
      <c r="AD414" s="181">
        <f>'Key Inputs_BY Techs'!V$220</f>
        <v>0</v>
      </c>
      <c r="AE414" s="181">
        <f>'Key Inputs_BY Techs'!W$220</f>
        <v>0</v>
      </c>
      <c r="AF414" s="181">
        <f>'Key Inputs_BY Techs'!X$220</f>
        <v>0</v>
      </c>
      <c r="AG414" s="181">
        <f>'Key Inputs_BY Techs'!Y$220</f>
        <v>1.0084240841615767E-3</v>
      </c>
      <c r="AH414" s="181">
        <f>'Key Inputs_BY Techs'!Z$220</f>
        <v>0</v>
      </c>
      <c r="AI414" s="181">
        <f>'Key Inputs_BY Techs'!AA$220</f>
        <v>0</v>
      </c>
      <c r="AJ414" s="181">
        <f>'Key Inputs_BY Techs'!AB$220</f>
        <v>0</v>
      </c>
      <c r="AK414" s="181">
        <f>'Key Inputs_BY Techs'!AC$220</f>
        <v>3.4642460170433494E-2</v>
      </c>
      <c r="AL414" s="181">
        <f>'Key Inputs_BY Techs'!AD$220</f>
        <v>0</v>
      </c>
      <c r="AM414" s="181">
        <f>'Key Inputs_BY Techs'!AE$220</f>
        <v>0</v>
      </c>
      <c r="AN414" s="181">
        <f>'Key Inputs_BY Techs'!AF$220</f>
        <v>0</v>
      </c>
      <c r="AO414" s="181">
        <f>'Key Inputs_BY Techs'!AG$220</f>
        <v>0</v>
      </c>
      <c r="AP414" s="181">
        <f>'Key Inputs_BY Techs'!AH$220</f>
        <v>0</v>
      </c>
      <c r="AQ414" s="181">
        <f>'Key Inputs_BY Techs'!AI$220</f>
        <v>0</v>
      </c>
      <c r="AR414" s="181">
        <f>'Key Inputs_BY Techs'!AJ$220</f>
        <v>1.9109558794010197E-2</v>
      </c>
    </row>
    <row r="415" spans="4:44" ht="15.75" x14ac:dyDescent="0.25">
      <c r="D415" s="245" t="str">
        <f>Legend!B$72</f>
        <v>RSDGAM</v>
      </c>
      <c r="K415" s="201" t="str">
        <f>IF('Commodities &amp; Processes'!L$114="",'Commodities &amp; Processes'!K$114,'Commodities &amp; Processes'!L$114)</f>
        <v>R-CK_GAS01</v>
      </c>
      <c r="L415" s="109" t="str">
        <f>IF('Commodities &amp; Processes'!M$114="","",'Commodities &amp; Processes'!M$114)</f>
        <v>RSD Cooking technology: Natural gas,Biogas Cooking system (Ord.) -New</v>
      </c>
      <c r="M415" s="109" t="str">
        <f t="shared" ref="M415" si="86">IF(D415="","",D415)</f>
        <v>RSDGAM</v>
      </c>
      <c r="O415" s="114" t="s">
        <v>203</v>
      </c>
      <c r="P415" s="120" t="s">
        <v>174</v>
      </c>
      <c r="Q415" s="181">
        <f>'Key Inputs_BY Techs'!I$219</f>
        <v>0</v>
      </c>
      <c r="R415" s="181">
        <f>'Key Inputs_BY Techs'!J$219</f>
        <v>0</v>
      </c>
      <c r="S415" s="181">
        <f>'Key Inputs_BY Techs'!K$219</f>
        <v>0</v>
      </c>
      <c r="T415" s="181">
        <f>'Key Inputs_BY Techs'!L$219</f>
        <v>0</v>
      </c>
      <c r="U415" s="181">
        <f>'Key Inputs_BY Techs'!M$219</f>
        <v>0</v>
      </c>
      <c r="V415" s="181">
        <f>'Key Inputs_BY Techs'!N$219</f>
        <v>0</v>
      </c>
      <c r="W415" s="181">
        <f>'Key Inputs_BY Techs'!O$219</f>
        <v>0</v>
      </c>
      <c r="X415" s="181">
        <f>'Key Inputs_BY Techs'!P$219</f>
        <v>0</v>
      </c>
      <c r="Y415" s="181">
        <f>'Key Inputs_BY Techs'!Q$219</f>
        <v>0</v>
      </c>
      <c r="Z415" s="181">
        <f>'Key Inputs_BY Techs'!R$219</f>
        <v>0</v>
      </c>
      <c r="AA415" s="181">
        <f>'Key Inputs_BY Techs'!S$219</f>
        <v>0</v>
      </c>
      <c r="AB415" s="181">
        <f>'Key Inputs_BY Techs'!T$219</f>
        <v>7.2837675474756117E-3</v>
      </c>
      <c r="AC415" s="181">
        <f>'Key Inputs_BY Techs'!U$219</f>
        <v>0</v>
      </c>
      <c r="AD415" s="181">
        <f>'Key Inputs_BY Techs'!V$219</f>
        <v>0</v>
      </c>
      <c r="AE415" s="181">
        <f>'Key Inputs_BY Techs'!W$219</f>
        <v>0</v>
      </c>
      <c r="AF415" s="181">
        <f>'Key Inputs_BY Techs'!X$219</f>
        <v>0</v>
      </c>
      <c r="AG415" s="181">
        <f>'Key Inputs_BY Techs'!Y$219</f>
        <v>0</v>
      </c>
      <c r="AH415" s="181">
        <f>'Key Inputs_BY Techs'!Z$219</f>
        <v>0</v>
      </c>
      <c r="AI415" s="181">
        <f>'Key Inputs_BY Techs'!AA$219</f>
        <v>0</v>
      </c>
      <c r="AJ415" s="181">
        <f>'Key Inputs_BY Techs'!AB$219</f>
        <v>0</v>
      </c>
      <c r="AK415" s="181">
        <f>'Key Inputs_BY Techs'!AC$219</f>
        <v>0</v>
      </c>
      <c r="AL415" s="181">
        <f>'Key Inputs_BY Techs'!AD$219</f>
        <v>0</v>
      </c>
      <c r="AM415" s="181">
        <f>'Key Inputs_BY Techs'!AE$219</f>
        <v>0</v>
      </c>
      <c r="AN415" s="181">
        <f>'Key Inputs_BY Techs'!AF$219</f>
        <v>0</v>
      </c>
      <c r="AO415" s="181">
        <f>'Key Inputs_BY Techs'!AG$219</f>
        <v>0</v>
      </c>
      <c r="AP415" s="181">
        <f>'Key Inputs_BY Techs'!AH$219</f>
        <v>0</v>
      </c>
      <c r="AQ415" s="181">
        <f>'Key Inputs_BY Techs'!AI$219</f>
        <v>0</v>
      </c>
      <c r="AR415" s="181">
        <f>'Key Inputs_BY Techs'!AJ$219</f>
        <v>0</v>
      </c>
    </row>
    <row r="416" spans="4:44" ht="15.75" x14ac:dyDescent="0.25">
      <c r="D416" s="245" t="str">
        <f>Legend!B$63</f>
        <v>RSDBGS</v>
      </c>
      <c r="K416" s="205" t="str">
        <f>IF('Commodities &amp; Processes'!L$114="",'Commodities &amp; Processes'!K$114,'Commodities &amp; Processes'!L$114)</f>
        <v>R-CK_GAS01</v>
      </c>
      <c r="L416" s="128" t="str">
        <f>IF('Commodities &amp; Processes'!M$114="","",'Commodities &amp; Processes'!M$114)</f>
        <v>RSD Cooking technology: Natural gas,Biogas Cooking system (Ord.) -New</v>
      </c>
      <c r="M416" s="128" t="str">
        <f t="shared" si="84"/>
        <v>RSDBGS</v>
      </c>
      <c r="N416" s="128"/>
      <c r="O416" s="185" t="s">
        <v>203</v>
      </c>
      <c r="P416" s="129" t="s">
        <v>174</v>
      </c>
      <c r="Q416" s="186">
        <f>'Key Inputs_BY Techs'!I$218</f>
        <v>0</v>
      </c>
      <c r="R416" s="186">
        <f>'Key Inputs_BY Techs'!J$218</f>
        <v>0</v>
      </c>
      <c r="S416" s="186">
        <f>'Key Inputs_BY Techs'!K$218</f>
        <v>0</v>
      </c>
      <c r="T416" s="186">
        <f>'Key Inputs_BY Techs'!L$218</f>
        <v>0</v>
      </c>
      <c r="U416" s="186">
        <f>'Key Inputs_BY Techs'!M$218</f>
        <v>0</v>
      </c>
      <c r="V416" s="186">
        <f>'Key Inputs_BY Techs'!N$218</f>
        <v>0</v>
      </c>
      <c r="W416" s="186">
        <f>'Key Inputs_BY Techs'!O$218</f>
        <v>3.1210986267166043E-4</v>
      </c>
      <c r="X416" s="186">
        <f>'Key Inputs_BY Techs'!P$218</f>
        <v>1.5788763536334832E-2</v>
      </c>
      <c r="Y416" s="186">
        <f>'Key Inputs_BY Techs'!Q$218</f>
        <v>0</v>
      </c>
      <c r="Z416" s="186">
        <f>'Key Inputs_BY Techs'!R$218</f>
        <v>0</v>
      </c>
      <c r="AA416" s="186">
        <f>'Key Inputs_BY Techs'!S$218</f>
        <v>5.7200057200057204E-4</v>
      </c>
      <c r="AB416" s="186">
        <f>'Key Inputs_BY Techs'!T$218</f>
        <v>0</v>
      </c>
      <c r="AC416" s="186">
        <f>'Key Inputs_BY Techs'!U$218</f>
        <v>0</v>
      </c>
      <c r="AD416" s="186">
        <f>'Key Inputs_BY Techs'!V$218</f>
        <v>0</v>
      </c>
      <c r="AE416" s="186">
        <f>'Key Inputs_BY Techs'!W$218</f>
        <v>0</v>
      </c>
      <c r="AF416" s="186">
        <f>'Key Inputs_BY Techs'!X$218</f>
        <v>0</v>
      </c>
      <c r="AG416" s="186">
        <f>'Key Inputs_BY Techs'!Y$218</f>
        <v>5.4885009113709495E-3</v>
      </c>
      <c r="AH416" s="186">
        <f>'Key Inputs_BY Techs'!Z$218</f>
        <v>0.35714285714285715</v>
      </c>
      <c r="AI416" s="186">
        <f>'Key Inputs_BY Techs'!AA$218</f>
        <v>0</v>
      </c>
      <c r="AJ416" s="186">
        <f>'Key Inputs_BY Techs'!AB$218</f>
        <v>0</v>
      </c>
      <c r="AK416" s="186">
        <f>'Key Inputs_BY Techs'!AC$218</f>
        <v>5.222150272596244E-6</v>
      </c>
      <c r="AL416" s="186">
        <f>'Key Inputs_BY Techs'!AD$218</f>
        <v>0</v>
      </c>
      <c r="AM416" s="186">
        <f>'Key Inputs_BY Techs'!AE$218</f>
        <v>0</v>
      </c>
      <c r="AN416" s="186">
        <f>'Key Inputs_BY Techs'!AF$218</f>
        <v>0</v>
      </c>
      <c r="AO416" s="186">
        <f>'Key Inputs_BY Techs'!AG$218</f>
        <v>0</v>
      </c>
      <c r="AP416" s="186">
        <f>'Key Inputs_BY Techs'!AH$218</f>
        <v>0</v>
      </c>
      <c r="AQ416" s="186">
        <f>'Key Inputs_BY Techs'!AI$218</f>
        <v>0</v>
      </c>
      <c r="AR416" s="186">
        <f>'Key Inputs_BY Techs'!AJ$218</f>
        <v>0</v>
      </c>
    </row>
    <row r="417" spans="38:39" x14ac:dyDescent="0.25">
      <c r="AL417" s="113"/>
      <c r="AM417" s="109"/>
    </row>
    <row r="418" spans="38:39" x14ac:dyDescent="0.25">
      <c r="AL418" s="113"/>
      <c r="AM418" s="109"/>
    </row>
    <row r="419" spans="38:39" x14ac:dyDescent="0.25">
      <c r="AL419" s="113"/>
      <c r="AM419" s="109"/>
    </row>
    <row r="420" spans="38:39" x14ac:dyDescent="0.25">
      <c r="AL420" s="113"/>
      <c r="AM420" s="109"/>
    </row>
    <row r="514" ht="14.1" customHeight="1" x14ac:dyDescent="0.25"/>
    <row r="515" ht="14.1" customHeight="1" x14ac:dyDescent="0.25"/>
  </sheetData>
  <mergeCells count="4">
    <mergeCell ref="A4:B4"/>
    <mergeCell ref="C4:E4"/>
    <mergeCell ref="A77:B77"/>
    <mergeCell ref="C77:E77"/>
  </mergeCells>
  <phoneticPr fontId="80"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8BBFB-2CE1-4025-9334-330D891C4D21}">
  <sheetPr codeName="Sheet9">
    <tabColor theme="9" tint="0.59999389629810485"/>
  </sheetPr>
  <dimension ref="A1:AG13"/>
  <sheetViews>
    <sheetView showGridLines="0" topLeftCell="AA1" workbookViewId="0">
      <pane ySplit="1" topLeftCell="A2" activePane="bottomLeft" state="frozen"/>
      <selection pane="bottomLeft" activeCell="AF5" sqref="AF5"/>
    </sheetView>
  </sheetViews>
  <sheetFormatPr defaultColWidth="9" defaultRowHeight="15.75" x14ac:dyDescent="0.25"/>
  <cols>
    <col min="1" max="1" width="11.625" style="8" customWidth="1"/>
    <col min="2" max="2" width="31.875" style="8" bestFit="1" customWidth="1"/>
    <col min="3" max="3" width="10.125" style="8" bestFit="1" customWidth="1"/>
    <col min="4" max="32" width="9" style="8"/>
    <col min="33" max="33" width="9.875" style="8" customWidth="1"/>
    <col min="34" max="16384" width="9" style="8"/>
  </cols>
  <sheetData>
    <row r="1" spans="1:33" ht="18.75" x14ac:dyDescent="0.25">
      <c r="A1" s="37" t="s">
        <v>204</v>
      </c>
    </row>
    <row r="3" spans="1:33" x14ac:dyDescent="0.25">
      <c r="A3" s="82" t="s">
        <v>34</v>
      </c>
    </row>
    <row r="4" spans="1:33" ht="16.5" thickBot="1" x14ac:dyDescent="0.3">
      <c r="A4" s="77" t="s">
        <v>38</v>
      </c>
      <c r="B4" s="77" t="s">
        <v>205</v>
      </c>
      <c r="C4" s="77" t="s">
        <v>40</v>
      </c>
      <c r="D4" s="77" t="s">
        <v>113</v>
      </c>
      <c r="E4" s="77" t="s">
        <v>195</v>
      </c>
      <c r="F4" s="77" t="s">
        <v>314</v>
      </c>
      <c r="G4" s="77" t="s">
        <v>315</v>
      </c>
      <c r="H4" s="77" t="s">
        <v>317</v>
      </c>
      <c r="I4" s="77" t="s">
        <v>316</v>
      </c>
      <c r="J4" s="77" t="s">
        <v>318</v>
      </c>
      <c r="K4" s="77" t="s">
        <v>319</v>
      </c>
      <c r="L4" s="77" t="s">
        <v>320</v>
      </c>
      <c r="M4" s="77" t="s">
        <v>321</v>
      </c>
      <c r="N4" s="77" t="s">
        <v>1</v>
      </c>
      <c r="O4" s="77" t="s">
        <v>2</v>
      </c>
      <c r="P4" s="77" t="s">
        <v>416</v>
      </c>
      <c r="Q4" s="77" t="s">
        <v>3</v>
      </c>
      <c r="R4" s="77" t="s">
        <v>322</v>
      </c>
      <c r="S4" s="77" t="s">
        <v>323</v>
      </c>
      <c r="T4" s="77" t="s">
        <v>324</v>
      </c>
      <c r="U4" s="77" t="s">
        <v>417</v>
      </c>
      <c r="V4" s="77" t="s">
        <v>325</v>
      </c>
      <c r="W4" s="77" t="s">
        <v>4</v>
      </c>
      <c r="X4" s="77" t="s">
        <v>5</v>
      </c>
      <c r="Y4" s="77" t="s">
        <v>6</v>
      </c>
      <c r="Z4" s="77" t="s">
        <v>7</v>
      </c>
      <c r="AA4" s="77" t="s">
        <v>418</v>
      </c>
      <c r="AB4" s="77" t="s">
        <v>8</v>
      </c>
      <c r="AC4" s="77" t="s">
        <v>9</v>
      </c>
      <c r="AD4" s="77" t="s">
        <v>419</v>
      </c>
      <c r="AE4" s="77" t="s">
        <v>10</v>
      </c>
      <c r="AF4" s="77" t="s">
        <v>420</v>
      </c>
      <c r="AG4" s="77" t="s">
        <v>11</v>
      </c>
    </row>
    <row r="5" spans="1:33" ht="38.25" x14ac:dyDescent="0.25">
      <c r="A5" s="2" t="s">
        <v>206</v>
      </c>
      <c r="B5" s="2" t="s">
        <v>27</v>
      </c>
      <c r="C5" s="6" t="s">
        <v>40</v>
      </c>
      <c r="D5" s="6" t="s">
        <v>207</v>
      </c>
      <c r="E5" s="6" t="s">
        <v>46</v>
      </c>
      <c r="F5" s="2" t="s">
        <v>327</v>
      </c>
      <c r="G5" s="2" t="s">
        <v>328</v>
      </c>
      <c r="H5" s="2" t="s">
        <v>330</v>
      </c>
      <c r="I5" s="2" t="s">
        <v>329</v>
      </c>
      <c r="J5" s="2" t="s">
        <v>331</v>
      </c>
      <c r="K5" s="2" t="s">
        <v>332</v>
      </c>
      <c r="L5" s="2" t="s">
        <v>333</v>
      </c>
      <c r="M5" s="2" t="s">
        <v>334</v>
      </c>
      <c r="N5" s="2" t="s">
        <v>87</v>
      </c>
      <c r="O5" s="2" t="s">
        <v>88</v>
      </c>
      <c r="P5" s="2" t="s">
        <v>425</v>
      </c>
      <c r="Q5" s="2" t="s">
        <v>426</v>
      </c>
      <c r="R5" s="2" t="s">
        <v>335</v>
      </c>
      <c r="S5" s="2" t="s">
        <v>336</v>
      </c>
      <c r="T5" s="2" t="s">
        <v>337</v>
      </c>
      <c r="U5" s="2" t="s">
        <v>427</v>
      </c>
      <c r="V5" s="2" t="s">
        <v>338</v>
      </c>
      <c r="W5" s="2" t="s">
        <v>428</v>
      </c>
      <c r="X5" s="2" t="s">
        <v>89</v>
      </c>
      <c r="Y5" s="2" t="s">
        <v>90</v>
      </c>
      <c r="Z5" s="2" t="s">
        <v>91</v>
      </c>
      <c r="AA5" s="2" t="s">
        <v>429</v>
      </c>
      <c r="AB5" s="2" t="s">
        <v>430</v>
      </c>
      <c r="AC5" s="2" t="s">
        <v>92</v>
      </c>
      <c r="AD5" s="2" t="s">
        <v>431</v>
      </c>
      <c r="AE5" s="2" t="s">
        <v>432</v>
      </c>
      <c r="AF5" s="2" t="s">
        <v>587</v>
      </c>
      <c r="AG5" s="2" t="s">
        <v>339</v>
      </c>
    </row>
    <row r="6" spans="1:33" x14ac:dyDescent="0.25">
      <c r="A6" s="8" t="str">
        <f>'Commodities &amp; Processes'!C23</f>
        <v>R-THL</v>
      </c>
      <c r="B6" s="8" t="str">
        <f>'Commodities &amp; Processes'!D23</f>
        <v>Demand for Thermal uses in Low Thermal Energy Intensity Zone (RSD)</v>
      </c>
      <c r="C6" s="8" t="str">
        <f>IF($A6="","","COM_PROJ")</f>
        <v>COM_PROJ</v>
      </c>
      <c r="D6" s="8">
        <f>IF($A6="","",Legend!$B$5)</f>
        <v>2019</v>
      </c>
      <c r="E6" s="8" t="str">
        <f>'Commodities &amp; Processes'!E23</f>
        <v>PJ</v>
      </c>
      <c r="F6" s="291">
        <f>SUMIFS('Key Inputs_BY Techs'!I:I,'Key Inputs_BY Techs'!$A:$A,"DMD",'Key Inputs_BY Techs'!$C:$C,$A6)</f>
        <v>424.68250686676549</v>
      </c>
      <c r="G6" s="291">
        <f>SUMIFS('Key Inputs_BY Techs'!J:J,'Key Inputs_BY Techs'!$A:$A,"DMD",'Key Inputs_BY Techs'!$C:$C,$A6)</f>
        <v>449.04325651734035</v>
      </c>
      <c r="H6" s="291">
        <f>SUMIFS('Key Inputs_BY Techs'!K:K,'Key Inputs_BY Techs'!$A:$A,"DMD",'Key Inputs_BY Techs'!$C:$C,$A6)</f>
        <v>305.80027930785275</v>
      </c>
      <c r="I6" s="291">
        <f>SUMIFS('Key Inputs_BY Techs'!L:L,'Key Inputs_BY Techs'!$A:$A,"DMD",'Key Inputs_BY Techs'!$C:$C,$A6)</f>
        <v>288.15890002479216</v>
      </c>
      <c r="J6" s="291">
        <f>SUMIFS('Key Inputs_BY Techs'!M:M,'Key Inputs_BY Techs'!$A:$A,"DMD",'Key Inputs_BY Techs'!$C:$C,$A6)</f>
        <v>258.973638391284</v>
      </c>
      <c r="K6" s="291">
        <f>SUMIFS('Key Inputs_BY Techs'!N:N,'Key Inputs_BY Techs'!$A:$A,"DMD",'Key Inputs_BY Techs'!$C:$C,$A6)</f>
        <v>690.13360982231484</v>
      </c>
      <c r="L6" s="291">
        <f>SUMIFS('Key Inputs_BY Techs'!O:O,'Key Inputs_BY Techs'!$A:$A,"DMD",'Key Inputs_BY Techs'!$C:$C,$A6)</f>
        <v>697.58464013268679</v>
      </c>
      <c r="M6" s="291">
        <f>SUMIFS('Key Inputs_BY Techs'!P:P,'Key Inputs_BY Techs'!$A:$A,"DMD",'Key Inputs_BY Techs'!$C:$C,$A6)</f>
        <v>1411.3356778597904</v>
      </c>
      <c r="N6" s="291">
        <f>SUMIFS('Key Inputs_BY Techs'!Q:Q,'Key Inputs_BY Techs'!$A:$A,"DMD",'Key Inputs_BY Techs'!$C:$C,$A6)</f>
        <v>115.82710484659977</v>
      </c>
      <c r="O6" s="291">
        <f>SUMIFS('Key Inputs_BY Techs'!R:R,'Key Inputs_BY Techs'!$A:$A,"DMD",'Key Inputs_BY Techs'!$C:$C,$A6)</f>
        <v>963.45279410494049</v>
      </c>
      <c r="P6" s="291">
        <f>SUMIFS('Key Inputs_BY Techs'!S:S,'Key Inputs_BY Techs'!$A:$A,"DMD",'Key Inputs_BY Techs'!$C:$C,$A6)</f>
        <v>102.59718263592691</v>
      </c>
      <c r="Q6" s="291">
        <f>SUMIFS('Key Inputs_BY Techs'!T:T,'Key Inputs_BY Techs'!$A:$A,"DMD",'Key Inputs_BY Techs'!$C:$C,$A6)</f>
        <v>4329.9281568858769</v>
      </c>
      <c r="R6" s="291">
        <f>SUMIFS('Key Inputs_BY Techs'!U:U,'Key Inputs_BY Techs'!$A:$A,"DMD",'Key Inputs_BY Techs'!$C:$C,$A6)</f>
        <v>668.14329167380549</v>
      </c>
      <c r="S6" s="291">
        <f>SUMIFS('Key Inputs_BY Techs'!V:V,'Key Inputs_BY Techs'!$A:$A,"DMD",'Key Inputs_BY Techs'!$C:$C,$A6)</f>
        <v>1091.3157943452704</v>
      </c>
      <c r="T6" s="291">
        <f>SUMIFS('Key Inputs_BY Techs'!W:W,'Key Inputs_BY Techs'!$A:$A,"DMD",'Key Inputs_BY Techs'!$C:$C,$A6)</f>
        <v>1348.5731929709664</v>
      </c>
      <c r="U6" s="291">
        <f>SUMIFS('Key Inputs_BY Techs'!X:X,'Key Inputs_BY Techs'!$A:$A,"DMD",'Key Inputs_BY Techs'!$C:$C,$A6)</f>
        <v>2077.566714382061</v>
      </c>
      <c r="V6" s="291">
        <f>SUMIFS('Key Inputs_BY Techs'!Y:Y,'Key Inputs_BY Techs'!$A:$A,"DMD",'Key Inputs_BY Techs'!$C:$C,$A6)</f>
        <v>2759.7972952867012</v>
      </c>
      <c r="W6" s="291">
        <f>SUMIFS('Key Inputs_BY Techs'!Z:Z,'Key Inputs_BY Techs'!$A:$A,"DMD",'Key Inputs_BY Techs'!$C:$C,$A6)</f>
        <v>935.17769554516678</v>
      </c>
      <c r="X6" s="291">
        <f>SUMIFS('Key Inputs_BY Techs'!AA:AA,'Key Inputs_BY Techs'!$A:$A,"DMD",'Key Inputs_BY Techs'!$C:$C,$A6)</f>
        <v>3024.9269898478528</v>
      </c>
      <c r="Y6" s="291">
        <f>SUMIFS('Key Inputs_BY Techs'!AB:AB,'Key Inputs_BY Techs'!$A:$A,"DMD",'Key Inputs_BY Techs'!$C:$C,$A6)</f>
        <v>896.8340681672164</v>
      </c>
      <c r="Z6" s="291">
        <f>SUMIFS('Key Inputs_BY Techs'!AC:AC,'Key Inputs_BY Techs'!$A:$A,"DMD",'Key Inputs_BY Techs'!$C:$C,$A6)</f>
        <v>412.40635691252515</v>
      </c>
      <c r="AA6" s="291">
        <f>SUMIFS('Key Inputs_BY Techs'!AD:AD,'Key Inputs_BY Techs'!$A:$A,"DMD",'Key Inputs_BY Techs'!$C:$C,$A6)</f>
        <v>646.18876605469882</v>
      </c>
      <c r="AB6" s="291">
        <f>SUMIFS('Key Inputs_BY Techs'!AE:AE,'Key Inputs_BY Techs'!$A:$A,"DMD",'Key Inputs_BY Techs'!$C:$C,$A6)</f>
        <v>1835.6223344145849</v>
      </c>
      <c r="AC6" s="291">
        <f>SUMIFS('Key Inputs_BY Techs'!AF:AF,'Key Inputs_BY Techs'!$A:$A,"DMD",'Key Inputs_BY Techs'!$C:$C,$A6)</f>
        <v>462.39558317052308</v>
      </c>
      <c r="AD6" s="291">
        <f>SUMIFS('Key Inputs_BY Techs'!AG:AG,'Key Inputs_BY Techs'!$A:$A,"DMD",'Key Inputs_BY Techs'!$C:$C,$A6)</f>
        <v>601.73985239433171</v>
      </c>
      <c r="AE6" s="291">
        <f>SUMIFS('Key Inputs_BY Techs'!AH:AH,'Key Inputs_BY Techs'!$A:$A,"DMD",'Key Inputs_BY Techs'!$C:$C,$A6)</f>
        <v>3116.5771574384416</v>
      </c>
      <c r="AF6" s="291">
        <f>SUMIFS('Key Inputs_BY Techs'!AI:AI,'Key Inputs_BY Techs'!$A:$A,"DMD",'Key Inputs_BY Techs'!$C:$C,$A6)</f>
        <v>347.25796691154648</v>
      </c>
      <c r="AG6" s="291">
        <f>SUMIFS('Key Inputs_BY Techs'!AJ:AJ,'Key Inputs_BY Techs'!$A:$A,"DMD",'Key Inputs_BY Techs'!$C:$C,$A6)</f>
        <v>4850.5736670561073</v>
      </c>
    </row>
    <row r="7" spans="1:33" x14ac:dyDescent="0.25">
      <c r="A7" s="8" t="str">
        <f>'Commodities &amp; Processes'!C24</f>
        <v>R-THH</v>
      </c>
      <c r="B7" s="8" t="str">
        <f>'Commodities &amp; Processes'!D24</f>
        <v>Demand for Thermal uses in High Thermal Energy Intensity Zone (RSD)</v>
      </c>
      <c r="C7" s="8" t="str">
        <f>IF($A7="","","COM_PROJ")</f>
        <v>COM_PROJ</v>
      </c>
      <c r="D7" s="8">
        <f>IF($A7="","",Legend!$B$5)</f>
        <v>2019</v>
      </c>
      <c r="E7" s="8" t="str">
        <f>'Commodities &amp; Processes'!E24</f>
        <v>PJ</v>
      </c>
      <c r="F7" s="487">
        <f>SUMIFS('Key Inputs_BY Techs'!I:I,'Key Inputs_BY Techs'!$A:$A,"DMD",'Key Inputs_BY Techs'!$C:$C,$A7)</f>
        <v>3.1134803430557429</v>
      </c>
      <c r="G7" s="487">
        <f>SUMIFS('Key Inputs_BY Techs'!J:J,'Key Inputs_BY Techs'!$A:$A,"DMD",'Key Inputs_BY Techs'!$C:$C,$A7)</f>
        <v>0</v>
      </c>
      <c r="H7" s="487">
        <f>SUMIFS('Key Inputs_BY Techs'!K:K,'Key Inputs_BY Techs'!$A:$A,"DMD",'Key Inputs_BY Techs'!$C:$C,$A7)</f>
        <v>10.40711808001333</v>
      </c>
      <c r="I7" s="487">
        <f>SUMIFS('Key Inputs_BY Techs'!L:L,'Key Inputs_BY Techs'!$A:$A,"DMD",'Key Inputs_BY Techs'!$C:$C,$A7)</f>
        <v>0</v>
      </c>
      <c r="J7" s="487">
        <f>SUMIFS('Key Inputs_BY Techs'!M:M,'Key Inputs_BY Techs'!$A:$A,"DMD",'Key Inputs_BY Techs'!$C:$C,$A7)</f>
        <v>0.19484922824866832</v>
      </c>
      <c r="K7" s="487">
        <f>SUMIFS('Key Inputs_BY Techs'!N:N,'Key Inputs_BY Techs'!$A:$A,"DMD",'Key Inputs_BY Techs'!$C:$C,$A7)</f>
        <v>0</v>
      </c>
      <c r="L7" s="487">
        <f>SUMIFS('Key Inputs_BY Techs'!O:O,'Key Inputs_BY Techs'!$A:$A,"DMD",'Key Inputs_BY Techs'!$C:$C,$A7)</f>
        <v>13.797186020319112</v>
      </c>
      <c r="M7" s="487">
        <f>SUMIFS('Key Inputs_BY Techs'!P:P,'Key Inputs_BY Techs'!$A:$A,"DMD",'Key Inputs_BY Techs'!$C:$C,$A7)</f>
        <v>0</v>
      </c>
      <c r="N7" s="487">
        <f>SUMIFS('Key Inputs_BY Techs'!Q:Q,'Key Inputs_BY Techs'!$A:$A,"DMD",'Key Inputs_BY Techs'!$C:$C,$A7)</f>
        <v>0.49666051978880382</v>
      </c>
      <c r="O7" s="487">
        <f>SUMIFS('Key Inputs_BY Techs'!R:R,'Key Inputs_BY Techs'!$A:$A,"DMD",'Key Inputs_BY Techs'!$C:$C,$A7)</f>
        <v>108.10449369926407</v>
      </c>
      <c r="P7" s="487">
        <f>SUMIFS('Key Inputs_BY Techs'!S:S,'Key Inputs_BY Techs'!$A:$A,"DMD",'Key Inputs_BY Techs'!$C:$C,$A7)</f>
        <v>0</v>
      </c>
      <c r="Q7" s="487">
        <f>SUMIFS('Key Inputs_BY Techs'!T:T,'Key Inputs_BY Techs'!$A:$A,"DMD",'Key Inputs_BY Techs'!$C:$C,$A7)</f>
        <v>415.52793247508242</v>
      </c>
      <c r="R7" s="487">
        <f>SUMIFS('Key Inputs_BY Techs'!U:U,'Key Inputs_BY Techs'!$A:$A,"DMD",'Key Inputs_BY Techs'!$C:$C,$A7)</f>
        <v>1.3051868138248099</v>
      </c>
      <c r="S7" s="487">
        <f>SUMIFS('Key Inputs_BY Techs'!V:V,'Key Inputs_BY Techs'!$A:$A,"DMD",'Key Inputs_BY Techs'!$C:$C,$A7)</f>
        <v>179.24046293392405</v>
      </c>
      <c r="T7" s="487">
        <f>SUMIFS('Key Inputs_BY Techs'!W:W,'Key Inputs_BY Techs'!$A:$A,"DMD",'Key Inputs_BY Techs'!$C:$C,$A7)</f>
        <v>5.3221374445692797</v>
      </c>
      <c r="U7" s="487">
        <f>SUMIFS('Key Inputs_BY Techs'!X:X,'Key Inputs_BY Techs'!$A:$A,"DMD",'Key Inputs_BY Techs'!$C:$C,$A7)</f>
        <v>132.44626893429538</v>
      </c>
      <c r="V7" s="487">
        <f>SUMIFS('Key Inputs_BY Techs'!Y:Y,'Key Inputs_BY Techs'!$A:$A,"DMD",'Key Inputs_BY Techs'!$C:$C,$A7)</f>
        <v>39.325414920713953</v>
      </c>
      <c r="W7" s="487">
        <f>SUMIFS('Key Inputs_BY Techs'!Z:Z,'Key Inputs_BY Techs'!$A:$A,"DMD",'Key Inputs_BY Techs'!$C:$C,$A7)</f>
        <v>0</v>
      </c>
      <c r="X7" s="487">
        <f>SUMIFS('Key Inputs_BY Techs'!AA:AA,'Key Inputs_BY Techs'!$A:$A,"DMD",'Key Inputs_BY Techs'!$C:$C,$A7)</f>
        <v>0</v>
      </c>
      <c r="Y7" s="487">
        <f>SUMIFS('Key Inputs_BY Techs'!AB:AB,'Key Inputs_BY Techs'!$A:$A,"DMD",'Key Inputs_BY Techs'!$C:$C,$A7)</f>
        <v>28.735936555051477</v>
      </c>
      <c r="Z7" s="487">
        <f>SUMIFS('Key Inputs_BY Techs'!AC:AC,'Key Inputs_BY Techs'!$A:$A,"DMD",'Key Inputs_BY Techs'!$C:$C,$A7)</f>
        <v>5.5112298633740844</v>
      </c>
      <c r="AA7" s="487">
        <f>SUMIFS('Key Inputs_BY Techs'!AD:AD,'Key Inputs_BY Techs'!$A:$A,"DMD",'Key Inputs_BY Techs'!$C:$C,$A7)</f>
        <v>21.778582551971173</v>
      </c>
      <c r="AB7" s="487">
        <f>SUMIFS('Key Inputs_BY Techs'!AE:AE,'Key Inputs_BY Techs'!$A:$A,"DMD",'Key Inputs_BY Techs'!$C:$C,$A7)</f>
        <v>0.86554837534448603</v>
      </c>
      <c r="AC7" s="487">
        <f>SUMIFS('Key Inputs_BY Techs'!AF:AF,'Key Inputs_BY Techs'!$A:$A,"DMD",'Key Inputs_BY Techs'!$C:$C,$A7)</f>
        <v>9.853938566716451</v>
      </c>
      <c r="AD7" s="487">
        <f>SUMIFS('Key Inputs_BY Techs'!AG:AG,'Key Inputs_BY Techs'!$A:$A,"DMD",'Key Inputs_BY Techs'!$C:$C,$A7)</f>
        <v>20.728292263645727</v>
      </c>
      <c r="AE7" s="487">
        <f>SUMIFS('Key Inputs_BY Techs'!AH:AH,'Key Inputs_BY Techs'!$A:$A,"DMD",'Key Inputs_BY Techs'!$C:$C,$A7)</f>
        <v>310.18212819105668</v>
      </c>
      <c r="AF7" s="487">
        <f>SUMIFS('Key Inputs_BY Techs'!AI:AI,'Key Inputs_BY Techs'!$A:$A,"DMD",'Key Inputs_BY Techs'!$C:$C,$A7)</f>
        <v>107.2136848994227</v>
      </c>
      <c r="AG7" s="487">
        <f>SUMIFS('Key Inputs_BY Techs'!AJ:AJ,'Key Inputs_BY Techs'!$A:$A,"DMD",'Key Inputs_BY Techs'!$C:$C,$A7)</f>
        <v>1614.2725633471241</v>
      </c>
    </row>
    <row r="8" spans="1:33" x14ac:dyDescent="0.25">
      <c r="A8" s="8" t="str">
        <f>'Commodities &amp; Processes'!C25</f>
        <v>R-ACL</v>
      </c>
      <c r="B8" s="8" t="str">
        <f>'Commodities &amp; Processes'!D25</f>
        <v>Demand for Air conditioning in Low Thermal Energy Intensity Zone (RSD)</v>
      </c>
      <c r="C8" s="8" t="str">
        <f t="shared" ref="C8:C13" si="0">IF($A8="","","COM_PROJ")</f>
        <v>COM_PROJ</v>
      </c>
      <c r="D8" s="8">
        <f>IF($A8="","",Legend!$B$5)</f>
        <v>2019</v>
      </c>
      <c r="E8" s="8" t="str">
        <f>'Commodities &amp; Processes'!E25</f>
        <v>PJ</v>
      </c>
      <c r="F8" s="487">
        <f>SUMIFS('Key Inputs_BY Techs'!I:I,'Key Inputs_BY Techs'!$A:$A,"DMD",'Key Inputs_BY Techs'!$C:$C,$A8)</f>
        <v>1.4243625399935056</v>
      </c>
      <c r="G8" s="487">
        <f>SUMIFS('Key Inputs_BY Techs'!J:J,'Key Inputs_BY Techs'!$A:$A,"DMD",'Key Inputs_BY Techs'!$C:$C,$A8)</f>
        <v>6.7225520846968472</v>
      </c>
      <c r="H8" s="487">
        <f>SUMIFS('Key Inputs_BY Techs'!K:K,'Key Inputs_BY Techs'!$A:$A,"DMD",'Key Inputs_BY Techs'!$C:$C,$A8)</f>
        <v>1.345704171652037</v>
      </c>
      <c r="I8" s="487">
        <f>SUMIFS('Key Inputs_BY Techs'!L:L,'Key Inputs_BY Techs'!$A:$A,"DMD",'Key Inputs_BY Techs'!$C:$C,$A8)</f>
        <v>3.5237503429827002</v>
      </c>
      <c r="J8" s="487">
        <f>SUMIFS('Key Inputs_BY Techs'!M:M,'Key Inputs_BY Techs'!$A:$A,"DMD",'Key Inputs_BY Techs'!$C:$C,$A8)</f>
        <v>37.287681082023276</v>
      </c>
      <c r="K8" s="487">
        <f>SUMIFS('Key Inputs_BY Techs'!N:N,'Key Inputs_BY Techs'!$A:$A,"DMD",'Key Inputs_BY Techs'!$C:$C,$A8)</f>
        <v>10.191964681579938</v>
      </c>
      <c r="L8" s="487">
        <f>SUMIFS('Key Inputs_BY Techs'!O:O,'Key Inputs_BY Techs'!$A:$A,"DMD",'Key Inputs_BY Techs'!$C:$C,$A8)</f>
        <v>18.425827613640042</v>
      </c>
      <c r="M8" s="487">
        <f>SUMIFS('Key Inputs_BY Techs'!P:P,'Key Inputs_BY Techs'!$A:$A,"DMD",'Key Inputs_BY Techs'!$C:$C,$A8)</f>
        <v>16.802946646760173</v>
      </c>
      <c r="N8" s="487">
        <f>SUMIFS('Key Inputs_BY Techs'!Q:Q,'Key Inputs_BY Techs'!$A:$A,"DMD",'Key Inputs_BY Techs'!$C:$C,$A8)</f>
        <v>211.97984409660856</v>
      </c>
      <c r="O8" s="487">
        <f>SUMIFS('Key Inputs_BY Techs'!R:R,'Key Inputs_BY Techs'!$A:$A,"DMD",'Key Inputs_BY Techs'!$C:$C,$A8)</f>
        <v>18.561033242292911</v>
      </c>
      <c r="P8" s="487">
        <f>SUMIFS('Key Inputs_BY Techs'!S:S,'Key Inputs_BY Techs'!$A:$A,"DMD",'Key Inputs_BY Techs'!$C:$C,$A8)</f>
        <v>0.58223369746567477</v>
      </c>
      <c r="Q8" s="487">
        <f>SUMIFS('Key Inputs_BY Techs'!T:T,'Key Inputs_BY Techs'!$A:$A,"DMD",'Key Inputs_BY Techs'!$C:$C,$A8)</f>
        <v>875.80093895254151</v>
      </c>
      <c r="R8" s="487">
        <f>SUMIFS('Key Inputs_BY Techs'!U:U,'Key Inputs_BY Techs'!$A:$A,"DMD",'Key Inputs_BY Techs'!$C:$C,$A8)</f>
        <v>4.8502169864261928</v>
      </c>
      <c r="S8" s="487">
        <f>SUMIFS('Key Inputs_BY Techs'!V:V,'Key Inputs_BY Techs'!$A:$A,"DMD",'Key Inputs_BY Techs'!$C:$C,$A8)</f>
        <v>1.0992097873088148E-2</v>
      </c>
      <c r="T8" s="487">
        <f>SUMIFS('Key Inputs_BY Techs'!W:W,'Key Inputs_BY Techs'!$A:$A,"DMD",'Key Inputs_BY Techs'!$C:$C,$A8)</f>
        <v>8.0192678492277221</v>
      </c>
      <c r="U8" s="487">
        <f>SUMIFS('Key Inputs_BY Techs'!X:X,'Key Inputs_BY Techs'!$A:$A,"DMD",'Key Inputs_BY Techs'!$C:$C,$A8)</f>
        <v>48.885317602951574</v>
      </c>
      <c r="V8" s="487">
        <f>SUMIFS('Key Inputs_BY Techs'!Y:Y,'Key Inputs_BY Techs'!$A:$A,"DMD",'Key Inputs_BY Techs'!$C:$C,$A8)</f>
        <v>3.4161267297985161</v>
      </c>
      <c r="W8" s="487">
        <f>SUMIFS('Key Inputs_BY Techs'!Z:Z,'Key Inputs_BY Techs'!$A:$A,"DMD",'Key Inputs_BY Techs'!$C:$C,$A8)</f>
        <v>34.689563741786877</v>
      </c>
      <c r="X8" s="487">
        <f>SUMIFS('Key Inputs_BY Techs'!AA:AA,'Key Inputs_BY Techs'!$A:$A,"DMD",'Key Inputs_BY Techs'!$C:$C,$A8)</f>
        <v>53.299390782030088</v>
      </c>
      <c r="Y8" s="487">
        <f>SUMIFS('Key Inputs_BY Techs'!AB:AB,'Key Inputs_BY Techs'!$A:$A,"DMD",'Key Inputs_BY Techs'!$C:$C,$A8)</f>
        <v>62.206982069943003</v>
      </c>
      <c r="Z8" s="487">
        <f>SUMIFS('Key Inputs_BY Techs'!AC:AC,'Key Inputs_BY Techs'!$A:$A,"DMD",'Key Inputs_BY Techs'!$C:$C,$A8)</f>
        <v>210.67198269873342</v>
      </c>
      <c r="AA8" s="487">
        <f>SUMIFS('Key Inputs_BY Techs'!AD:AD,'Key Inputs_BY Techs'!$A:$A,"DMD",'Key Inputs_BY Techs'!$C:$C,$A8)</f>
        <v>0</v>
      </c>
      <c r="AB8" s="487">
        <f>SUMIFS('Key Inputs_BY Techs'!AE:AE,'Key Inputs_BY Techs'!$A:$A,"DMD",'Key Inputs_BY Techs'!$C:$C,$A8)</f>
        <v>0</v>
      </c>
      <c r="AC8" s="487">
        <f>SUMIFS('Key Inputs_BY Techs'!AF:AF,'Key Inputs_BY Techs'!$A:$A,"DMD",'Key Inputs_BY Techs'!$C:$C,$A8)</f>
        <v>63.961530756509802</v>
      </c>
      <c r="AD8" s="487">
        <f>SUMIFS('Key Inputs_BY Techs'!AG:AG,'Key Inputs_BY Techs'!$A:$A,"DMD",'Key Inputs_BY Techs'!$C:$C,$A8)</f>
        <v>0.94067730175520314</v>
      </c>
      <c r="AE8" s="487">
        <f>SUMIFS('Key Inputs_BY Techs'!AH:AH,'Key Inputs_BY Techs'!$A:$A,"DMD",'Key Inputs_BY Techs'!$C:$C,$A8)</f>
        <v>17.618823720333857</v>
      </c>
      <c r="AF8" s="487">
        <f>SUMIFS('Key Inputs_BY Techs'!AI:AI,'Key Inputs_BY Techs'!$A:$A,"DMD",'Key Inputs_BY Techs'!$C:$C,$A8)</f>
        <v>34.404155722653748</v>
      </c>
      <c r="AG8" s="487">
        <f>SUMIFS('Key Inputs_BY Techs'!AJ:AJ,'Key Inputs_BY Techs'!$A:$A,"DMD",'Key Inputs_BY Techs'!$C:$C,$A8)</f>
        <v>610.4701642798492</v>
      </c>
    </row>
    <row r="9" spans="1:33" x14ac:dyDescent="0.25">
      <c r="A9" s="8" t="str">
        <f>'Commodities &amp; Processes'!C26</f>
        <v>R-ACH</v>
      </c>
      <c r="B9" s="8" t="str">
        <f>'Commodities &amp; Processes'!D26</f>
        <v>Demand for Air conditioning in High Thermal Energy Intensity Zone (RSD)</v>
      </c>
      <c r="C9" s="8" t="str">
        <f t="shared" si="0"/>
        <v>COM_PROJ</v>
      </c>
      <c r="D9" s="8">
        <f>IF($A9="","",Legend!$B$5)</f>
        <v>2019</v>
      </c>
      <c r="E9" s="8" t="str">
        <f>'Commodities &amp; Processes'!E26</f>
        <v>PJ</v>
      </c>
      <c r="F9" s="487">
        <f>SUMIFS('Key Inputs_BY Techs'!I:I,'Key Inputs_BY Techs'!$A:$A,"DMD",'Key Inputs_BY Techs'!$C:$C,$A9)</f>
        <v>7.0497916426620982E-2</v>
      </c>
      <c r="G9" s="487">
        <f>SUMIFS('Key Inputs_BY Techs'!J:J,'Key Inputs_BY Techs'!$A:$A,"DMD",'Key Inputs_BY Techs'!$C:$C,$A9)</f>
        <v>0.92907806102765167</v>
      </c>
      <c r="H9" s="487">
        <f>SUMIFS('Key Inputs_BY Techs'!K:K,'Key Inputs_BY Techs'!$A:$A,"DMD",'Key Inputs_BY Techs'!$C:$C,$A9)</f>
        <v>0.12301609780080881</v>
      </c>
      <c r="I9" s="487">
        <f>SUMIFS('Key Inputs_BY Techs'!L:L,'Key Inputs_BY Techs'!$A:$A,"DMD",'Key Inputs_BY Techs'!$C:$C,$A9)</f>
        <v>0.46383162567278585</v>
      </c>
      <c r="J9" s="487">
        <f>SUMIFS('Key Inputs_BY Techs'!M:M,'Key Inputs_BY Techs'!$A:$A,"DMD",'Key Inputs_BY Techs'!$C:$C,$A9)</f>
        <v>14.709644561222902</v>
      </c>
      <c r="K9" s="487">
        <f>SUMIFS('Key Inputs_BY Techs'!N:N,'Key Inputs_BY Techs'!$A:$A,"DMD",'Key Inputs_BY Techs'!$C:$C,$A9)</f>
        <v>0.88097184268756146</v>
      </c>
      <c r="L9" s="487">
        <f>SUMIFS('Key Inputs_BY Techs'!O:O,'Key Inputs_BY Techs'!$A:$A,"DMD",'Key Inputs_BY Techs'!$C:$C,$A9)</f>
        <v>0.70569522241452842</v>
      </c>
      <c r="M9" s="487">
        <f>SUMIFS('Key Inputs_BY Techs'!P:P,'Key Inputs_BY Techs'!$A:$A,"DMD",'Key Inputs_BY Techs'!$C:$C,$A9)</f>
        <v>0.80936874129619041</v>
      </c>
      <c r="N9" s="487">
        <f>SUMIFS('Key Inputs_BY Techs'!Q:Q,'Key Inputs_BY Techs'!$A:$A,"DMD",'Key Inputs_BY Techs'!$C:$C,$A9)</f>
        <v>39.312249209210655</v>
      </c>
      <c r="O9" s="487">
        <f>SUMIFS('Key Inputs_BY Techs'!R:R,'Key Inputs_BY Techs'!$A:$A,"DMD",'Key Inputs_BY Techs'!$C:$C,$A9)</f>
        <v>54.636541116858517</v>
      </c>
      <c r="P9" s="487">
        <f>SUMIFS('Key Inputs_BY Techs'!S:S,'Key Inputs_BY Techs'!$A:$A,"DMD",'Key Inputs_BY Techs'!$C:$C,$A9)</f>
        <v>0.39651165609257816</v>
      </c>
      <c r="Q9" s="487">
        <f>SUMIFS('Key Inputs_BY Techs'!T:T,'Key Inputs_BY Techs'!$A:$A,"DMD",'Key Inputs_BY Techs'!$C:$C,$A9)</f>
        <v>297.3921826190662</v>
      </c>
      <c r="R9" s="487">
        <f>SUMIFS('Key Inputs_BY Techs'!U:U,'Key Inputs_BY Techs'!$A:$A,"DMD",'Key Inputs_BY Techs'!$C:$C,$A9)</f>
        <v>2.616459038283951</v>
      </c>
      <c r="S9" s="487">
        <f>SUMIFS('Key Inputs_BY Techs'!V:V,'Key Inputs_BY Techs'!$A:$A,"DMD",'Key Inputs_BY Techs'!$C:$C,$A9)</f>
        <v>2.6503029537815987E-2</v>
      </c>
      <c r="T9" s="487">
        <f>SUMIFS('Key Inputs_BY Techs'!W:W,'Key Inputs_BY Techs'!$A:$A,"DMD",'Key Inputs_BY Techs'!$C:$C,$A9)</f>
        <v>2.6179904075944052</v>
      </c>
      <c r="U9" s="487">
        <f>SUMIFS('Key Inputs_BY Techs'!X:X,'Key Inputs_BY Techs'!$A:$A,"DMD",'Key Inputs_BY Techs'!$C:$C,$A9)</f>
        <v>24.738524014368039</v>
      </c>
      <c r="V9" s="487">
        <f>SUMIFS('Key Inputs_BY Techs'!Y:Y,'Key Inputs_BY Techs'!$A:$A,"DMD",'Key Inputs_BY Techs'!$C:$C,$A9)</f>
        <v>2.2855618827796693</v>
      </c>
      <c r="W9" s="487">
        <f>SUMIFS('Key Inputs_BY Techs'!Z:Z,'Key Inputs_BY Techs'!$A:$A,"DMD",'Key Inputs_BY Techs'!$C:$C,$A9)</f>
        <v>1.7932919951847157</v>
      </c>
      <c r="X9" s="487">
        <f>SUMIFS('Key Inputs_BY Techs'!AA:AA,'Key Inputs_BY Techs'!$A:$A,"DMD",'Key Inputs_BY Techs'!$C:$C,$A9)</f>
        <v>2.2156463908618838</v>
      </c>
      <c r="Y9" s="487">
        <f>SUMIFS('Key Inputs_BY Techs'!AB:AB,'Key Inputs_BY Techs'!$A:$A,"DMD",'Key Inputs_BY Techs'!$C:$C,$A9)</f>
        <v>46.984188241680606</v>
      </c>
      <c r="Z9" s="487">
        <f>SUMIFS('Key Inputs_BY Techs'!AC:AC,'Key Inputs_BY Techs'!$A:$A,"DMD",'Key Inputs_BY Techs'!$C:$C,$A9)</f>
        <v>35.406171671002333</v>
      </c>
      <c r="AA9" s="487">
        <f>SUMIFS('Key Inputs_BY Techs'!AD:AD,'Key Inputs_BY Techs'!$A:$A,"DMD",'Key Inputs_BY Techs'!$C:$C,$A9)</f>
        <v>0</v>
      </c>
      <c r="AB9" s="487">
        <f>SUMIFS('Key Inputs_BY Techs'!AE:AE,'Key Inputs_BY Techs'!$A:$A,"DMD",'Key Inputs_BY Techs'!$C:$C,$A9)</f>
        <v>0</v>
      </c>
      <c r="AC9" s="487">
        <f>SUMIFS('Key Inputs_BY Techs'!AF:AF,'Key Inputs_BY Techs'!$A:$A,"DMD",'Key Inputs_BY Techs'!$C:$C,$A9)</f>
        <v>18.191263084744016</v>
      </c>
      <c r="AD9" s="487">
        <f>SUMIFS('Key Inputs_BY Techs'!AG:AG,'Key Inputs_BY Techs'!$A:$A,"DMD",'Key Inputs_BY Techs'!$C:$C,$A9)</f>
        <v>0.13088378155521771</v>
      </c>
      <c r="AE9" s="487">
        <f>SUMIFS('Key Inputs_BY Techs'!AH:AH,'Key Inputs_BY Techs'!$A:$A,"DMD",'Key Inputs_BY Techs'!$C:$C,$A9)</f>
        <v>11.177255009256834</v>
      </c>
      <c r="AF9" s="487">
        <f>SUMIFS('Key Inputs_BY Techs'!AI:AI,'Key Inputs_BY Techs'!$A:$A,"DMD",'Key Inputs_BY Techs'!$C:$C,$A9)</f>
        <v>25.346570342380481</v>
      </c>
      <c r="AG9" s="487">
        <f>SUMIFS('Key Inputs_BY Techs'!AJ:AJ,'Key Inputs_BY Techs'!$A:$A,"DMD",'Key Inputs_BY Techs'!$C:$C,$A9)</f>
        <v>1219.6371670248075</v>
      </c>
    </row>
    <row r="10" spans="1:33" x14ac:dyDescent="0.25">
      <c r="A10" s="8" t="str">
        <f>'Commodities &amp; Processes'!C27</f>
        <v>R-CK</v>
      </c>
      <c r="B10" s="8" t="str">
        <f>'Commodities &amp; Processes'!D27</f>
        <v>Demand for Cooking (RSD)</v>
      </c>
      <c r="C10" s="8" t="str">
        <f t="shared" si="0"/>
        <v>COM_PROJ</v>
      </c>
      <c r="D10" s="8">
        <f>IF($A10="","",Legend!$B$5)</f>
        <v>2019</v>
      </c>
      <c r="E10" s="8" t="str">
        <f>'Commodities &amp; Processes'!E27</f>
        <v>PJ</v>
      </c>
      <c r="F10" s="487">
        <f>SUMIFS('Key Inputs_BY Techs'!I:I,'Key Inputs_BY Techs'!$A:$A,"DMD",'Key Inputs_BY Techs'!$C:$C,$A10)</f>
        <v>1289.6678544370795</v>
      </c>
      <c r="G10" s="487">
        <f>SUMIFS('Key Inputs_BY Techs'!J:J,'Key Inputs_BY Techs'!$A:$A,"DMD",'Key Inputs_BY Techs'!$C:$C,$A10)</f>
        <v>364.92126316155804</v>
      </c>
      <c r="H10" s="487">
        <f>SUMIFS('Key Inputs_BY Techs'!K:K,'Key Inputs_BY Techs'!$A:$A,"DMD",'Key Inputs_BY Techs'!$C:$C,$A10)</f>
        <v>955.780073096352</v>
      </c>
      <c r="I10" s="487">
        <f>SUMIFS('Key Inputs_BY Techs'!L:L,'Key Inputs_BY Techs'!$A:$A,"DMD",'Key Inputs_BY Techs'!$C:$C,$A10)</f>
        <v>529.4818933704554</v>
      </c>
      <c r="J10" s="487">
        <f>SUMIFS('Key Inputs_BY Techs'!M:M,'Key Inputs_BY Techs'!$A:$A,"DMD",'Key Inputs_BY Techs'!$C:$C,$A10)</f>
        <v>24.777101903402535</v>
      </c>
      <c r="K10" s="487">
        <f>SUMIFS('Key Inputs_BY Techs'!N:N,'Key Inputs_BY Techs'!$A:$A,"DMD",'Key Inputs_BY Techs'!$C:$C,$A10)</f>
        <v>257.71364692972526</v>
      </c>
      <c r="L10" s="487">
        <f>SUMIFS('Key Inputs_BY Techs'!O:O,'Key Inputs_BY Techs'!$A:$A,"DMD",'Key Inputs_BY Techs'!$C:$C,$A10)</f>
        <v>148.20628876052805</v>
      </c>
      <c r="M10" s="487">
        <f>SUMIFS('Key Inputs_BY Techs'!P:P,'Key Inputs_BY Techs'!$A:$A,"DMD",'Key Inputs_BY Techs'!$C:$C,$A10)</f>
        <v>192.08229209763809</v>
      </c>
      <c r="N10" s="487">
        <f>SUMIFS('Key Inputs_BY Techs'!Q:Q,'Key Inputs_BY Techs'!$A:$A,"DMD",'Key Inputs_BY Techs'!$C:$C,$A10)</f>
        <v>354.09631879291192</v>
      </c>
      <c r="O10" s="487">
        <f>SUMIFS('Key Inputs_BY Techs'!R:R,'Key Inputs_BY Techs'!$A:$A,"DMD",'Key Inputs_BY Techs'!$C:$C,$A10)</f>
        <v>48.522010056145461</v>
      </c>
      <c r="P10" s="487">
        <f>SUMIFS('Key Inputs_BY Techs'!S:S,'Key Inputs_BY Techs'!$A:$A,"DMD",'Key Inputs_BY Techs'!$C:$C,$A10)</f>
        <v>7.3971804080076602</v>
      </c>
      <c r="Q10" s="487">
        <f>SUMIFS('Key Inputs_BY Techs'!T:T,'Key Inputs_BY Techs'!$A:$A,"DMD",'Key Inputs_BY Techs'!$C:$C,$A10)</f>
        <v>3170.8951825244239</v>
      </c>
      <c r="R10" s="487">
        <f>SUMIFS('Key Inputs_BY Techs'!U:U,'Key Inputs_BY Techs'!$A:$A,"DMD",'Key Inputs_BY Techs'!$C:$C,$A10)</f>
        <v>63.984774254921852</v>
      </c>
      <c r="S10" s="487">
        <f>SUMIFS('Key Inputs_BY Techs'!V:V,'Key Inputs_BY Techs'!$A:$A,"DMD",'Key Inputs_BY Techs'!$C:$C,$A10)</f>
        <v>45.156898158708934</v>
      </c>
      <c r="T10" s="487">
        <f>SUMIFS('Key Inputs_BY Techs'!W:W,'Key Inputs_BY Techs'!$A:$A,"DMD",'Key Inputs_BY Techs'!$C:$C,$A10)</f>
        <v>128.75825112722717</v>
      </c>
      <c r="U10" s="487">
        <f>SUMIFS('Key Inputs_BY Techs'!X:X,'Key Inputs_BY Techs'!$A:$A,"DMD",'Key Inputs_BY Techs'!$C:$C,$A10)</f>
        <v>251.19577663079252</v>
      </c>
      <c r="V10" s="487">
        <f>SUMIFS('Key Inputs_BY Techs'!Y:Y,'Key Inputs_BY Techs'!$A:$A,"DMD",'Key Inputs_BY Techs'!$C:$C,$A10)</f>
        <v>162.09744430978765</v>
      </c>
      <c r="W10" s="487">
        <f>SUMIFS('Key Inputs_BY Techs'!Z:Z,'Key Inputs_BY Techs'!$A:$A,"DMD",'Key Inputs_BY Techs'!$C:$C,$A10)</f>
        <v>948.55093266631707</v>
      </c>
      <c r="X10" s="487">
        <f>SUMIFS('Key Inputs_BY Techs'!AA:AA,'Key Inputs_BY Techs'!$A:$A,"DMD",'Key Inputs_BY Techs'!$C:$C,$A10)</f>
        <v>1108.320093374519</v>
      </c>
      <c r="Y10" s="487">
        <f>SUMIFS('Key Inputs_BY Techs'!AB:AB,'Key Inputs_BY Techs'!$A:$A,"DMD",'Key Inputs_BY Techs'!$C:$C,$A10)</f>
        <v>107.83135382594824</v>
      </c>
      <c r="Z10" s="487">
        <f>SUMIFS('Key Inputs_BY Techs'!AC:AC,'Key Inputs_BY Techs'!$A:$A,"DMD",'Key Inputs_BY Techs'!$C:$C,$A10)</f>
        <v>544.77349592120538</v>
      </c>
      <c r="AA10" s="487">
        <f>SUMIFS('Key Inputs_BY Techs'!AD:AD,'Key Inputs_BY Techs'!$A:$A,"DMD",'Key Inputs_BY Techs'!$C:$C,$A10)</f>
        <v>88.481935073186534</v>
      </c>
      <c r="AB10" s="487">
        <f>SUMIFS('Key Inputs_BY Techs'!AE:AE,'Key Inputs_BY Techs'!$A:$A,"DMD",'Key Inputs_BY Techs'!$C:$C,$A10)</f>
        <v>344.58833900769139</v>
      </c>
      <c r="AC10" s="487">
        <f>SUMIFS('Key Inputs_BY Techs'!AF:AF,'Key Inputs_BY Techs'!$A:$A,"DMD",'Key Inputs_BY Techs'!$C:$C,$A10)</f>
        <v>5.6607991498239709</v>
      </c>
      <c r="AD10" s="487">
        <f>SUMIFS('Key Inputs_BY Techs'!AG:AG,'Key Inputs_BY Techs'!$A:$A,"DMD",'Key Inputs_BY Techs'!$C:$C,$A10)</f>
        <v>1875.0500094026895</v>
      </c>
      <c r="AE10" s="487">
        <f>SUMIFS('Key Inputs_BY Techs'!AH:AH,'Key Inputs_BY Techs'!$A:$A,"DMD",'Key Inputs_BY Techs'!$C:$C,$A10)</f>
        <v>826.47778183053788</v>
      </c>
      <c r="AF10" s="487">
        <f>SUMIFS('Key Inputs_BY Techs'!AI:AI,'Key Inputs_BY Techs'!$A:$A,"DMD",'Key Inputs_BY Techs'!$C:$C,$A10)</f>
        <v>78.340162895885314</v>
      </c>
      <c r="AG10" s="487">
        <f>SUMIFS('Key Inputs_BY Techs'!AJ:AJ,'Key Inputs_BY Techs'!$A:$A,"DMD",'Key Inputs_BY Techs'!$C:$C,$A10)</f>
        <v>112.62135527931625</v>
      </c>
    </row>
    <row r="11" spans="1:33" x14ac:dyDescent="0.25">
      <c r="A11" s="8" t="str">
        <f>'Commodities &amp; Processes'!C28</f>
        <v>R-LIG</v>
      </c>
      <c r="B11" s="8" t="str">
        <f>'Commodities &amp; Processes'!D28</f>
        <v>Demand for Lighting (RSD)</v>
      </c>
      <c r="C11" s="8" t="str">
        <f t="shared" si="0"/>
        <v>COM_PROJ</v>
      </c>
      <c r="D11" s="8">
        <f>IF($A11="","",Legend!$B$5)</f>
        <v>2019</v>
      </c>
      <c r="E11" s="8" t="str">
        <f>'Commodities &amp; Processes'!E28</f>
        <v>Munits</v>
      </c>
      <c r="F11" s="487">
        <f>SUMIFS('Key Inputs_BY Techs'!I:I,'Key Inputs_BY Techs'!$A:$A,"DMD",'Key Inputs_BY Techs'!$C:$C,$A11)</f>
        <v>462.04978003849328</v>
      </c>
      <c r="G11" s="487">
        <f>SUMIFS('Key Inputs_BY Techs'!J:J,'Key Inputs_BY Techs'!$A:$A,"DMD",'Key Inputs_BY Techs'!$C:$C,$A11)</f>
        <v>2365.0595683255428</v>
      </c>
      <c r="H11" s="487">
        <f>SUMIFS('Key Inputs_BY Techs'!K:K,'Key Inputs_BY Techs'!$A:$A,"DMD",'Key Inputs_BY Techs'!$C:$C,$A11)</f>
        <v>453.9700508660984</v>
      </c>
      <c r="I11" s="487">
        <f>SUMIFS('Key Inputs_BY Techs'!L:L,'Key Inputs_BY Techs'!$A:$A,"DMD",'Key Inputs_BY Techs'!$C:$C,$A11)</f>
        <v>1232.5306777563928</v>
      </c>
      <c r="J11" s="487">
        <f>SUMIFS('Key Inputs_BY Techs'!M:M,'Key Inputs_BY Techs'!$A:$A,"DMD",'Key Inputs_BY Techs'!$C:$C,$A11)</f>
        <v>676.48643803139419</v>
      </c>
      <c r="K11" s="487">
        <f>SUMIFS('Key Inputs_BY Techs'!N:N,'Key Inputs_BY Techs'!$A:$A,"DMD",'Key Inputs_BY Techs'!$C:$C,$A11)</f>
        <v>556.7600000000001</v>
      </c>
      <c r="L11" s="487">
        <f>SUMIFS('Key Inputs_BY Techs'!O:O,'Key Inputs_BY Techs'!$A:$A,"DMD",'Key Inputs_BY Techs'!$C:$C,$A11)</f>
        <v>961.95500000000004</v>
      </c>
      <c r="M11" s="487">
        <f>SUMIFS('Key Inputs_BY Techs'!P:P,'Key Inputs_BY Techs'!$A:$A,"DMD",'Key Inputs_BY Techs'!$C:$C,$A11)</f>
        <v>885.56750000000011</v>
      </c>
      <c r="N11" s="487">
        <f>SUMIFS('Key Inputs_BY Techs'!Q:Q,'Key Inputs_BY Techs'!$A:$A,"DMD",'Key Inputs_BY Techs'!$C:$C,$A11)</f>
        <v>800.96802861466506</v>
      </c>
      <c r="O11" s="487">
        <f>SUMIFS('Key Inputs_BY Techs'!R:R,'Key Inputs_BY Techs'!$A:$A,"DMD",'Key Inputs_BY Techs'!$C:$C,$A11)</f>
        <v>1293.9243443518305</v>
      </c>
      <c r="P11" s="487">
        <f>SUMIFS('Key Inputs_BY Techs'!S:S,'Key Inputs_BY Techs'!$A:$A,"DMD",'Key Inputs_BY Techs'!$C:$C,$A11)</f>
        <v>199.1052874013314</v>
      </c>
      <c r="Q11" s="487">
        <f>SUMIFS('Key Inputs_BY Techs'!T:T,'Key Inputs_BY Techs'!$A:$A,"DMD",'Key Inputs_BY Techs'!$C:$C,$A11)</f>
        <v>7635.0949501635923</v>
      </c>
      <c r="R11" s="487">
        <f>SUMIFS('Key Inputs_BY Techs'!U:U,'Key Inputs_BY Techs'!$A:$A,"DMD",'Key Inputs_BY Techs'!$C:$C,$A11)</f>
        <v>127.57481651701559</v>
      </c>
      <c r="S11" s="487">
        <f>SUMIFS('Key Inputs_BY Techs'!V:V,'Key Inputs_BY Techs'!$A:$A,"DMD",'Key Inputs_BY Techs'!$C:$C,$A11)</f>
        <v>1383.9164004065369</v>
      </c>
      <c r="T11" s="487">
        <f>SUMIFS('Key Inputs_BY Techs'!W:W,'Key Inputs_BY Techs'!$A:$A,"DMD",'Key Inputs_BY Techs'!$C:$C,$A11)</f>
        <v>181.74704056627027</v>
      </c>
      <c r="U11" s="487">
        <f>SUMIFS('Key Inputs_BY Techs'!X:X,'Key Inputs_BY Techs'!$A:$A,"DMD",'Key Inputs_BY Techs'!$C:$C,$A11)</f>
        <v>2235.9452584167957</v>
      </c>
      <c r="V11" s="487">
        <f>SUMIFS('Key Inputs_BY Techs'!Y:Y,'Key Inputs_BY Techs'!$A:$A,"DMD",'Key Inputs_BY Techs'!$C:$C,$A11)</f>
        <v>1349.65446587205</v>
      </c>
      <c r="W11" s="487">
        <f>SUMIFS('Key Inputs_BY Techs'!Z:Z,'Key Inputs_BY Techs'!$A:$A,"DMD",'Key Inputs_BY Techs'!$C:$C,$A11)</f>
        <v>1834.4</v>
      </c>
      <c r="X11" s="487">
        <f>SUMIFS('Key Inputs_BY Techs'!AA:AA,'Key Inputs_BY Techs'!$A:$A,"DMD",'Key Inputs_BY Techs'!$C:$C,$A11)</f>
        <v>2791.36</v>
      </c>
      <c r="Y11" s="487">
        <f>SUMIFS('Key Inputs_BY Techs'!AB:AB,'Key Inputs_BY Techs'!$A:$A,"DMD",'Key Inputs_BY Techs'!$C:$C,$A11)</f>
        <v>2268.56</v>
      </c>
      <c r="Z11" s="487">
        <f>SUMIFS('Key Inputs_BY Techs'!AC:AC,'Key Inputs_BY Techs'!$A:$A,"DMD",'Key Inputs_BY Techs'!$C:$C,$A11)</f>
        <v>3790.1585561841093</v>
      </c>
      <c r="AA11" s="487">
        <f>SUMIFS('Key Inputs_BY Techs'!AD:AD,'Key Inputs_BY Techs'!$A:$A,"DMD",'Key Inputs_BY Techs'!$C:$C,$A11)</f>
        <v>822.95630438918886</v>
      </c>
      <c r="AB11" s="487">
        <f>SUMIFS('Key Inputs_BY Techs'!AE:AE,'Key Inputs_BY Techs'!$A:$A,"DMD",'Key Inputs_BY Techs'!$C:$C,$A11)</f>
        <v>2852.7391617180224</v>
      </c>
      <c r="AC11" s="487">
        <f>SUMIFS('Key Inputs_BY Techs'!AF:AF,'Key Inputs_BY Techs'!$A:$A,"DMD",'Key Inputs_BY Techs'!$C:$C,$A11)</f>
        <v>338.62615734482227</v>
      </c>
      <c r="AD11" s="487">
        <f>SUMIFS('Key Inputs_BY Techs'!AG:AG,'Key Inputs_BY Techs'!$A:$A,"DMD",'Key Inputs_BY Techs'!$C:$C,$A11)</f>
        <v>331.21122491064068</v>
      </c>
      <c r="AE11" s="487">
        <f>SUMIFS('Key Inputs_BY Techs'!AH:AH,'Key Inputs_BY Techs'!$A:$A,"DMD",'Key Inputs_BY Techs'!$C:$C,$A11)</f>
        <v>1447.8999999999999</v>
      </c>
      <c r="AF11" s="487">
        <f>SUMIFS('Key Inputs_BY Techs'!AI:AI,'Key Inputs_BY Techs'!$A:$A,"DMD",'Key Inputs_BY Techs'!$C:$C,$A11)</f>
        <v>277.0473970248114</v>
      </c>
      <c r="AG11" s="487">
        <f>SUMIFS('Key Inputs_BY Techs'!AJ:AJ,'Key Inputs_BY Techs'!$A:$A,"DMD",'Key Inputs_BY Techs'!$C:$C,$A11)</f>
        <v>7543.5318039918429</v>
      </c>
    </row>
    <row r="12" spans="1:33" x14ac:dyDescent="0.25">
      <c r="A12" s="8" t="str">
        <f>'Commodities &amp; Processes'!C29</f>
        <v>R-EAP</v>
      </c>
      <c r="B12" s="8" t="str">
        <f>'Commodities &amp; Processes'!D29</f>
        <v>Demand for Electric Appliances (RSD)</v>
      </c>
      <c r="C12" s="8" t="str">
        <f t="shared" si="0"/>
        <v>COM_PROJ</v>
      </c>
      <c r="D12" s="8">
        <f>IF($A12="","",Legend!$B$5)</f>
        <v>2019</v>
      </c>
      <c r="E12" s="8" t="str">
        <f>'Commodities &amp; Processes'!E29</f>
        <v>PJ</v>
      </c>
      <c r="F12" s="487">
        <f>SUMIFS('Key Inputs_BY Techs'!I:I,'Key Inputs_BY Techs'!$A:$A,"DMD",'Key Inputs_BY Techs'!$C:$C,$A12)</f>
        <v>54.068185117604415</v>
      </c>
      <c r="G12" s="487">
        <f>SUMIFS('Key Inputs_BY Techs'!J:J,'Key Inputs_BY Techs'!$A:$A,"DMD",'Key Inputs_BY Techs'!$C:$C,$A12)</f>
        <v>276.75476556602592</v>
      </c>
      <c r="H12" s="487">
        <f>SUMIFS('Key Inputs_BY Techs'!K:K,'Key Inputs_BY Techs'!$A:$A,"DMD",'Key Inputs_BY Techs'!$C:$C,$A12)</f>
        <v>53.122710600644886</v>
      </c>
      <c r="I12" s="487">
        <f>SUMIFS('Key Inputs_BY Techs'!L:L,'Key Inputs_BY Techs'!$A:$A,"DMD",'Key Inputs_BY Techs'!$C:$C,$A12)</f>
        <v>144.22839210638139</v>
      </c>
      <c r="J12" s="487">
        <f>SUMIFS('Key Inputs_BY Techs'!M:M,'Key Inputs_BY Techs'!$A:$A,"DMD",'Key Inputs_BY Techs'!$C:$C,$A12)</f>
        <v>111.33582110167598</v>
      </c>
      <c r="K12" s="487">
        <f>SUMIFS('Key Inputs_BY Techs'!N:N,'Key Inputs_BY Techs'!$A:$A,"DMD",'Key Inputs_BY Techs'!$C:$C,$A12)</f>
        <v>144.44628262133745</v>
      </c>
      <c r="L12" s="487">
        <f>SUMIFS('Key Inputs_BY Techs'!O:O,'Key Inputs_BY Techs'!$A:$A,"DMD",'Key Inputs_BY Techs'!$C:$C,$A12)</f>
        <v>249.57041418027276</v>
      </c>
      <c r="M12" s="487">
        <f>SUMIFS('Key Inputs_BY Techs'!P:P,'Key Inputs_BY Techs'!$A:$A,"DMD",'Key Inputs_BY Techs'!$C:$C,$A12)</f>
        <v>229.75237694028172</v>
      </c>
      <c r="N12" s="487">
        <f>SUMIFS('Key Inputs_BY Techs'!Q:Q,'Key Inputs_BY Techs'!$A:$A,"DMD",'Key Inputs_BY Techs'!$C:$C,$A12)</f>
        <v>282.4650449855551</v>
      </c>
      <c r="O12" s="487">
        <f>SUMIFS('Key Inputs_BY Techs'!R:R,'Key Inputs_BY Techs'!$A:$A,"DMD",'Key Inputs_BY Techs'!$C:$C,$A12)</f>
        <v>144.88818951958979</v>
      </c>
      <c r="P12" s="487">
        <f>SUMIFS('Key Inputs_BY Techs'!S:S,'Key Inputs_BY Techs'!$A:$A,"DMD",'Key Inputs_BY Techs'!$C:$C,$A12)</f>
        <v>32.684309618515698</v>
      </c>
      <c r="Q12" s="487">
        <f>SUMIFS('Key Inputs_BY Techs'!T:T,'Key Inputs_BY Techs'!$A:$A,"DMD",'Key Inputs_BY Techs'!$C:$C,$A12)</f>
        <v>1491.8762272545666</v>
      </c>
      <c r="R12" s="487">
        <f>SUMIFS('Key Inputs_BY Techs'!U:U,'Key Inputs_BY Techs'!$A:$A,"DMD",'Key Inputs_BY Techs'!$C:$C,$A12)</f>
        <v>173.74644740445746</v>
      </c>
      <c r="S12" s="487">
        <f>SUMIFS('Key Inputs_BY Techs'!V:V,'Key Inputs_BY Techs'!$A:$A,"DMD",'Key Inputs_BY Techs'!$C:$C,$A12)</f>
        <v>201.05108935246471</v>
      </c>
      <c r="T12" s="487">
        <f>SUMIFS('Key Inputs_BY Techs'!W:W,'Key Inputs_BY Techs'!$A:$A,"DMD",'Key Inputs_BY Techs'!$C:$C,$A12)</f>
        <v>247.52457802243038</v>
      </c>
      <c r="U12" s="487">
        <f>SUMIFS('Key Inputs_BY Techs'!X:X,'Key Inputs_BY Techs'!$A:$A,"DMD",'Key Inputs_BY Techs'!$C:$C,$A12)</f>
        <v>646.46658020062557</v>
      </c>
      <c r="V12" s="487">
        <f>SUMIFS('Key Inputs_BY Techs'!Y:Y,'Key Inputs_BY Techs'!$A:$A,"DMD",'Key Inputs_BY Techs'!$C:$C,$A12)</f>
        <v>555.94061127950295</v>
      </c>
      <c r="W12" s="487">
        <f>SUMIFS('Key Inputs_BY Techs'!Z:Z,'Key Inputs_BY Techs'!$A:$A,"DMD",'Key Inputs_BY Techs'!$C:$C,$A12)</f>
        <v>475.91827868485774</v>
      </c>
      <c r="X12" s="487">
        <f>SUMIFS('Key Inputs_BY Techs'!AA:AA,'Key Inputs_BY Techs'!$A:$A,"DMD",'Key Inputs_BY Techs'!$C:$C,$A12)</f>
        <v>724.19278586445944</v>
      </c>
      <c r="Y12" s="487">
        <f>SUMIFS('Key Inputs_BY Techs'!AB:AB,'Key Inputs_BY Techs'!$A:$A,"DMD",'Key Inputs_BY Techs'!$C:$C,$A12)</f>
        <v>509.55647883023374</v>
      </c>
      <c r="Z12" s="487">
        <f>SUMIFS('Key Inputs_BY Techs'!AC:AC,'Key Inputs_BY Techs'!$A:$A,"DMD",'Key Inputs_BY Techs'!$C:$C,$A12)</f>
        <v>295.20989890184319</v>
      </c>
      <c r="AA12" s="487">
        <f>SUMIFS('Key Inputs_BY Techs'!AD:AD,'Key Inputs_BY Techs'!$A:$A,"DMD",'Key Inputs_BY Techs'!$C:$C,$A12)</f>
        <v>193.41753568531635</v>
      </c>
      <c r="AB12" s="487">
        <f>SUMIFS('Key Inputs_BY Techs'!AE:AE,'Key Inputs_BY Techs'!$A:$A,"DMD",'Key Inputs_BY Techs'!$C:$C,$A12)</f>
        <v>670.47275252606187</v>
      </c>
      <c r="AC12" s="487">
        <f>SUMIFS('Key Inputs_BY Techs'!AF:AF,'Key Inputs_BY Techs'!$A:$A,"DMD",'Key Inputs_BY Techs'!$C:$C,$A12)</f>
        <v>114.6238713293786</v>
      </c>
      <c r="AD12" s="487">
        <f>SUMIFS('Key Inputs_BY Techs'!AG:AG,'Key Inputs_BY Techs'!$A:$A,"DMD",'Key Inputs_BY Techs'!$C:$C,$A12)</f>
        <v>38.757706626340394</v>
      </c>
      <c r="AE12" s="487">
        <f>SUMIFS('Key Inputs_BY Techs'!AH:AH,'Key Inputs_BY Techs'!$A:$A,"DMD",'Key Inputs_BY Techs'!$C:$C,$A12)</f>
        <v>375.64439364795328</v>
      </c>
      <c r="AF12" s="487">
        <f>SUMIFS('Key Inputs_BY Techs'!AI:AI,'Key Inputs_BY Techs'!$A:$A,"DMD",'Key Inputs_BY Techs'!$C:$C,$A12)</f>
        <v>154.93841486337939</v>
      </c>
      <c r="AG12" s="487">
        <f>SUMIFS('Key Inputs_BY Techs'!AJ:AJ,'Key Inputs_BY Techs'!$A:$A,"DMD",'Key Inputs_BY Techs'!$C:$C,$A12)</f>
        <v>2553.4613913164007</v>
      </c>
    </row>
    <row r="13" spans="1:33" x14ac:dyDescent="0.25">
      <c r="A13" s="90" t="str">
        <f>'Commodities &amp; Processes'!C30</f>
        <v>R-OTH</v>
      </c>
      <c r="B13" s="90" t="str">
        <f>'Commodities &amp; Processes'!D30</f>
        <v>Demand for Other uses (RSD)</v>
      </c>
      <c r="C13" s="90" t="str">
        <f t="shared" si="0"/>
        <v>COM_PROJ</v>
      </c>
      <c r="D13" s="90">
        <f>IF($A13="","",Legend!$B$5)</f>
        <v>2019</v>
      </c>
      <c r="E13" s="90" t="str">
        <f>'Commodities &amp; Processes'!E30</f>
        <v>PJ</v>
      </c>
      <c r="F13" s="292">
        <f>SUMIFS('Key Inputs_BY Techs'!I:I,'Key Inputs_BY Techs'!$A:$A,"DMD",'Key Inputs_BY Techs'!$C:$C,$A13)</f>
        <v>0.54270447671657474</v>
      </c>
      <c r="G13" s="292">
        <f>SUMIFS('Key Inputs_BY Techs'!J:J,'Key Inputs_BY Techs'!$A:$A,"DMD",'Key Inputs_BY Techs'!$C:$C,$A13)</f>
        <v>9.3803398125374127</v>
      </c>
      <c r="H13" s="292">
        <f>SUMIFS('Key Inputs_BY Techs'!K:K,'Key Inputs_BY Techs'!$A:$A,"DMD",'Key Inputs_BY Techs'!$C:$C,$A13)</f>
        <v>0.53321436248656495</v>
      </c>
      <c r="I13" s="292">
        <f>SUMIFS('Key Inputs_BY Techs'!L:L,'Key Inputs_BY Techs'!$A:$A,"DMD",'Key Inputs_BY Techs'!$C:$C,$A13)</f>
        <v>1.4504366241713826</v>
      </c>
      <c r="J13" s="292">
        <f>SUMIFS('Key Inputs_BY Techs'!M:M,'Key Inputs_BY Techs'!$A:$A,"DMD",'Key Inputs_BY Techs'!$C:$C,$A13)</f>
        <v>0</v>
      </c>
      <c r="K13" s="292">
        <f>SUMIFS('Key Inputs_BY Techs'!N:N,'Key Inputs_BY Techs'!$A:$A,"DMD",'Key Inputs_BY Techs'!$C:$C,$A13)</f>
        <v>0</v>
      </c>
      <c r="L13" s="292">
        <f>SUMIFS('Key Inputs_BY Techs'!O:O,'Key Inputs_BY Techs'!$A:$A,"DMD",'Key Inputs_BY Techs'!$C:$C,$A13)</f>
        <v>0</v>
      </c>
      <c r="M13" s="292">
        <f>SUMIFS('Key Inputs_BY Techs'!P:P,'Key Inputs_BY Techs'!$A:$A,"DMD",'Key Inputs_BY Techs'!$C:$C,$A13)</f>
        <v>0</v>
      </c>
      <c r="N13" s="292">
        <f>SUMIFS('Key Inputs_BY Techs'!Q:Q,'Key Inputs_BY Techs'!$A:$A,"DMD",'Key Inputs_BY Techs'!$C:$C,$A13)</f>
        <v>0</v>
      </c>
      <c r="O13" s="292">
        <f>SUMIFS('Key Inputs_BY Techs'!R:R,'Key Inputs_BY Techs'!$A:$A,"DMD",'Key Inputs_BY Techs'!$C:$C,$A13)</f>
        <v>0</v>
      </c>
      <c r="P13" s="292">
        <f>SUMIFS('Key Inputs_BY Techs'!S:S,'Key Inputs_BY Techs'!$A:$A,"DMD",'Key Inputs_BY Techs'!$C:$C,$A13)</f>
        <v>16.902616149565542</v>
      </c>
      <c r="Q13" s="292">
        <f>SUMIFS('Key Inputs_BY Techs'!T:T,'Key Inputs_BY Techs'!$A:$A,"DMD",'Key Inputs_BY Techs'!$C:$C,$A13)</f>
        <v>0</v>
      </c>
      <c r="R13" s="292">
        <f>SUMIFS('Key Inputs_BY Techs'!U:U,'Key Inputs_BY Techs'!$A:$A,"DMD",'Key Inputs_BY Techs'!$C:$C,$A13)</f>
        <v>7.7320722800393096</v>
      </c>
      <c r="S13" s="292">
        <f>SUMIFS('Key Inputs_BY Techs'!V:V,'Key Inputs_BY Techs'!$A:$A,"DMD",'Key Inputs_BY Techs'!$C:$C,$A13)</f>
        <v>150.03058284941065</v>
      </c>
      <c r="T13" s="292">
        <f>SUMIFS('Key Inputs_BY Techs'!W:W,'Key Inputs_BY Techs'!$A:$A,"DMD",'Key Inputs_BY Techs'!$C:$C,$A13)</f>
        <v>3.8102663407019661</v>
      </c>
      <c r="U13" s="292">
        <f>SUMIFS('Key Inputs_BY Techs'!X:X,'Key Inputs_BY Techs'!$A:$A,"DMD",'Key Inputs_BY Techs'!$C:$C,$A13)</f>
        <v>51.528104519405545</v>
      </c>
      <c r="V13" s="292">
        <f>SUMIFS('Key Inputs_BY Techs'!Y:Y,'Key Inputs_BY Techs'!$A:$A,"DMD",'Key Inputs_BY Techs'!$C:$C,$A13)</f>
        <v>130.97053075246228</v>
      </c>
      <c r="W13" s="292">
        <f>SUMIFS('Key Inputs_BY Techs'!Z:Z,'Key Inputs_BY Techs'!$A:$A,"DMD",'Key Inputs_BY Techs'!$C:$C,$A13)</f>
        <v>0</v>
      </c>
      <c r="X13" s="292">
        <f>SUMIFS('Key Inputs_BY Techs'!AA:AA,'Key Inputs_BY Techs'!$A:$A,"DMD",'Key Inputs_BY Techs'!$C:$C,$A13)</f>
        <v>0</v>
      </c>
      <c r="Y13" s="292">
        <f>SUMIFS('Key Inputs_BY Techs'!AB:AB,'Key Inputs_BY Techs'!$A:$A,"DMD",'Key Inputs_BY Techs'!$C:$C,$A13)</f>
        <v>0</v>
      </c>
      <c r="Z13" s="292">
        <f>SUMIFS('Key Inputs_BY Techs'!AC:AC,'Key Inputs_BY Techs'!$A:$A,"DMD",'Key Inputs_BY Techs'!$C:$C,$A13)</f>
        <v>0</v>
      </c>
      <c r="AA13" s="292">
        <f>SUMIFS('Key Inputs_BY Techs'!AD:AD,'Key Inputs_BY Techs'!$A:$A,"DMD",'Key Inputs_BY Techs'!$C:$C,$A13)</f>
        <v>67.563048338906995</v>
      </c>
      <c r="AB13" s="292">
        <f>SUMIFS('Key Inputs_BY Techs'!AE:AE,'Key Inputs_BY Techs'!$A:$A,"DMD",'Key Inputs_BY Techs'!$C:$C,$A13)</f>
        <v>246.42643020634745</v>
      </c>
      <c r="AC13" s="292">
        <f>SUMIFS('Key Inputs_BY Techs'!AF:AF,'Key Inputs_BY Techs'!$A:$A,"DMD",'Key Inputs_BY Techs'!$C:$C,$A13)</f>
        <v>23.453770143065029</v>
      </c>
      <c r="AD13" s="292">
        <f>SUMIFS('Key Inputs_BY Techs'!AG:AG,'Key Inputs_BY Techs'!$A:$A,"DMD",'Key Inputs_BY Techs'!$C:$C,$A13)</f>
        <v>0.38902694528457527</v>
      </c>
      <c r="AE13" s="292">
        <f>SUMIFS('Key Inputs_BY Techs'!AH:AH,'Key Inputs_BY Techs'!$A:$A,"DMD",'Key Inputs_BY Techs'!$C:$C,$A13)</f>
        <v>0</v>
      </c>
      <c r="AF13" s="292">
        <f>SUMIFS('Key Inputs_BY Techs'!AI:AI,'Key Inputs_BY Techs'!$A:$A,"DMD",'Key Inputs_BY Techs'!$C:$C,$A13)</f>
        <v>9.9598776260244808</v>
      </c>
      <c r="AG13" s="292">
        <f>SUMIFS('Key Inputs_BY Techs'!AJ:AJ,'Key Inputs_BY Techs'!$A:$A,"DMD",'Key Inputs_BY Techs'!$C:$C,$A13)</f>
        <v>370.57832080454546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Legend</vt:lpstr>
      <vt:lpstr>OMNIA - Key Inputs_EB</vt:lpstr>
      <vt:lpstr>Key Inputs_BY Techs</vt:lpstr>
      <vt:lpstr>Key Inputs_New Techs</vt:lpstr>
      <vt:lpstr>Commodities &amp; Processes</vt:lpstr>
      <vt:lpstr>Fuel Techs</vt:lpstr>
      <vt:lpstr>RSD_BY Techs</vt:lpstr>
      <vt:lpstr>RSD_New Techs</vt:lpstr>
      <vt:lpstr>Demands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E4SMA</dc:creator>
  <cp:lastModifiedBy>E4SMA-10 Server</cp:lastModifiedBy>
  <dcterms:created xsi:type="dcterms:W3CDTF">2019-01-10T17:18:58Z</dcterms:created>
  <dcterms:modified xsi:type="dcterms:W3CDTF">2025-07-31T10:50:44Z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518078029155731</vt:r8>
  </property>
</Properties>
</file>