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EDA\VEDA_Models\E4SMA-User\OMNIA\SubRES_Tmpl\"/>
    </mc:Choice>
  </mc:AlternateContent>
  <xr:revisionPtr revIDLastSave="0" documentId="13_ncr:1_{02441B58-561F-4C49-A085-CAD81B75A6A3}" xr6:coauthVersionLast="47" xr6:coauthVersionMax="47" xr10:uidLastSave="{00000000-0000-0000-0000-000000000000}"/>
  <bookViews>
    <workbookView xWindow="12195" yWindow="2475" windowWidth="15390" windowHeight="11325" tabRatio="815" xr2:uid="{00000000-000D-0000-FFFF-FFFF00000000}"/>
  </bookViews>
  <sheets>
    <sheet name="Legend" sheetId="1" r:id="rId1"/>
    <sheet name="Commodities" sheetId="2" r:id="rId2"/>
    <sheet name="Biofuel - Wood" sheetId="12" r:id="rId3"/>
    <sheet name="Biofuel - 1st gen " sheetId="9" r:id="rId4"/>
    <sheet name="Biofuel - Biogas" sheetId="10" r:id="rId5"/>
    <sheet name="Biofuel - 2ndGen" sheetId="11" r:id="rId6"/>
    <sheet name="Biofuel - 2ndGen - CCS" sheetId="26" r:id="rId7"/>
    <sheet name="Biofuel - Upgrading" sheetId="23" r:id="rId8"/>
    <sheet name="Key input_Biofuel production" sheetId="8" r:id="rId9"/>
    <sheet name="Key input_Biofuel production2" sheetId="14" r:id="rId10"/>
    <sheet name="Key input_Biofuel_CCS" sheetId="24" r:id="rId11"/>
    <sheet name="Key input_Biomass" sheetId="13" r:id="rId12"/>
    <sheet name="Key inputs_Emissions" sheetId="28" r:id="rId13"/>
    <sheet name="Shahrukh(2016)_Pellet" sheetId="15" r:id="rId14"/>
    <sheet name="Berghout(2015)_CCS" sheetId="25" r:id="rId15"/>
    <sheet name="Brown(2010)_Pyrolysis" sheetId="22" r:id="rId16"/>
    <sheet name="Swanson(2010)_Liquid_Biofuel" sheetId="16" r:id="rId17"/>
    <sheet name="Moret(2017)_Syngas" sheetId="18" r:id="rId18"/>
    <sheet name="Zhu(2014)_HTL" sheetId="20" r:id="rId19"/>
    <sheet name="NREL(2011)_Ethanol" sheetId="21" r:id="rId20"/>
    <sheet name="Diederichs (2016) Biojet" sheetId="17" r:id="rId21"/>
    <sheet name="Consumer_Price_index" sheetId="7"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3" l="1"/>
  <c r="J14" i="23"/>
  <c r="J94" i="11"/>
  <c r="J53" i="11"/>
  <c r="J52" i="11"/>
  <c r="J13" i="11"/>
  <c r="J13" i="10"/>
  <c r="J24" i="9"/>
  <c r="J23" i="9"/>
  <c r="J15" i="9"/>
  <c r="J14" i="9"/>
  <c r="J13" i="9"/>
  <c r="C76" i="26"/>
  <c r="C60" i="26"/>
  <c r="C46" i="26"/>
  <c r="C32" i="26"/>
  <c r="C18" i="26"/>
  <c r="J59" i="26"/>
  <c r="J66" i="11"/>
  <c r="C96" i="11"/>
  <c r="C82" i="11"/>
  <c r="C67" i="11"/>
  <c r="C55" i="11"/>
  <c r="C41" i="11"/>
  <c r="C29" i="11"/>
  <c r="C18" i="11"/>
  <c r="C7" i="14"/>
  <c r="J17" i="11" s="1"/>
  <c r="J16" i="10"/>
  <c r="J80" i="26"/>
  <c r="J79" i="26"/>
  <c r="J71" i="26"/>
  <c r="J69" i="26"/>
  <c r="J64" i="26"/>
  <c r="J63" i="26"/>
  <c r="J55" i="26"/>
  <c r="J53" i="26"/>
  <c r="J41" i="26"/>
  <c r="J39" i="26"/>
  <c r="J27" i="26"/>
  <c r="J25" i="26"/>
  <c r="C82" i="26"/>
  <c r="C81" i="26"/>
  <c r="C66" i="26"/>
  <c r="C65" i="26"/>
  <c r="C51" i="26"/>
  <c r="C50" i="26"/>
  <c r="C37" i="26"/>
  <c r="C36" i="26"/>
  <c r="J13" i="26"/>
  <c r="J11" i="26"/>
  <c r="M10" i="26"/>
  <c r="A10" i="26" s="1"/>
  <c r="N10" i="26"/>
  <c r="B10" i="26" s="1"/>
  <c r="M11" i="26"/>
  <c r="A24" i="26" s="1"/>
  <c r="N11" i="26"/>
  <c r="B24" i="26" s="1"/>
  <c r="M12" i="26"/>
  <c r="A38" i="26" s="1"/>
  <c r="N12" i="26"/>
  <c r="B38" i="26" s="1"/>
  <c r="M13" i="26"/>
  <c r="A52" i="26" s="1"/>
  <c r="N13" i="26"/>
  <c r="B52" i="26" s="1"/>
  <c r="M14" i="26"/>
  <c r="A68" i="26" s="1"/>
  <c r="N14" i="26"/>
  <c r="B68" i="26" s="1"/>
  <c r="C23" i="26"/>
  <c r="C22" i="26"/>
  <c r="D80" i="26"/>
  <c r="D79" i="26"/>
  <c r="C78" i="26"/>
  <c r="C77" i="26"/>
  <c r="D64" i="26"/>
  <c r="D63" i="26"/>
  <c r="C62" i="26"/>
  <c r="C61" i="26"/>
  <c r="D49" i="26"/>
  <c r="C48" i="26"/>
  <c r="C47" i="26"/>
  <c r="D35" i="26"/>
  <c r="C34" i="26"/>
  <c r="C33" i="26"/>
  <c r="D21" i="26"/>
  <c r="C20" i="26"/>
  <c r="C19" i="26"/>
  <c r="J91" i="11"/>
  <c r="J62" i="11"/>
  <c r="J50" i="11"/>
  <c r="J24" i="11"/>
  <c r="C54" i="24"/>
  <c r="C22" i="24"/>
  <c r="C95" i="14"/>
  <c r="C69" i="14"/>
  <c r="C71" i="24" s="1"/>
  <c r="C56" i="14"/>
  <c r="C46" i="14"/>
  <c r="C24" i="14"/>
  <c r="C62" i="24"/>
  <c r="C7" i="24"/>
  <c r="C8" i="25"/>
  <c r="C9" i="25"/>
  <c r="C81" i="24"/>
  <c r="C82" i="24"/>
  <c r="C83" i="24"/>
  <c r="C89" i="24"/>
  <c r="C79" i="24"/>
  <c r="C63" i="24"/>
  <c r="C64" i="24"/>
  <c r="C61" i="24"/>
  <c r="C47" i="24"/>
  <c r="C40" i="24"/>
  <c r="C32" i="24"/>
  <c r="C13" i="24"/>
  <c r="C74" i="24" l="1"/>
  <c r="C75" i="24"/>
  <c r="C11" i="25" l="1"/>
  <c r="C9" i="24" s="1"/>
  <c r="C6" i="25"/>
  <c r="C6" i="24" s="1"/>
  <c r="C5" i="25"/>
  <c r="C5" i="24" s="1"/>
  <c r="J89" i="11"/>
  <c r="D100" i="11"/>
  <c r="D99" i="11"/>
  <c r="N16" i="11"/>
  <c r="B88" i="11" s="1"/>
  <c r="M16" i="11"/>
  <c r="A88" i="11" s="1"/>
  <c r="C98" i="11"/>
  <c r="C97" i="11"/>
  <c r="J85" i="11"/>
  <c r="J86" i="11" s="1"/>
  <c r="D85" i="11"/>
  <c r="J77" i="11"/>
  <c r="J75" i="11"/>
  <c r="N15" i="11"/>
  <c r="B74" i="11" s="1"/>
  <c r="M15" i="11"/>
  <c r="A74" i="11" s="1"/>
  <c r="M12" i="11"/>
  <c r="M14" i="11"/>
  <c r="C87" i="11"/>
  <c r="D86" i="11"/>
  <c r="C84" i="11"/>
  <c r="C83" i="11"/>
  <c r="C10" i="25" l="1"/>
  <c r="C8" i="24" s="1"/>
  <c r="N14" i="11"/>
  <c r="B59" i="11" s="1"/>
  <c r="A59" i="11"/>
  <c r="J70" i="11"/>
  <c r="J71" i="11"/>
  <c r="J60" i="11"/>
  <c r="D71" i="11"/>
  <c r="D70" i="11"/>
  <c r="N10" i="23"/>
  <c r="B10" i="23" s="1"/>
  <c r="M10" i="23"/>
  <c r="A10" i="23" s="1"/>
  <c r="J12" i="23"/>
  <c r="D16" i="23"/>
  <c r="C16" i="23"/>
  <c r="C72" i="11"/>
  <c r="C69" i="11"/>
  <c r="C68" i="11"/>
  <c r="N13" i="11"/>
  <c r="B47" i="11" s="1"/>
  <c r="M13" i="11"/>
  <c r="A47" i="11" s="1"/>
  <c r="J48" i="11"/>
  <c r="D58" i="11"/>
  <c r="C57" i="11"/>
  <c r="C56" i="11"/>
  <c r="N12" i="11"/>
  <c r="B33" i="11" s="1"/>
  <c r="A33" i="11"/>
  <c r="J36" i="11"/>
  <c r="J34" i="11"/>
  <c r="D44" i="11"/>
  <c r="C43" i="11"/>
  <c r="C42" i="11"/>
  <c r="M11" i="11"/>
  <c r="A21" i="11" s="1"/>
  <c r="M10" i="11"/>
  <c r="C46" i="11"/>
  <c r="C45" i="11"/>
  <c r="N11" i="11"/>
  <c r="B21" i="11" s="1"/>
  <c r="N10" i="11"/>
  <c r="J22" i="11"/>
  <c r="D32" i="11"/>
  <c r="C31" i="11"/>
  <c r="C30" i="11"/>
  <c r="C10" i="15" l="1"/>
  <c r="C10" i="14" s="1"/>
  <c r="J15" i="11" s="1"/>
  <c r="C5" i="15"/>
  <c r="D19" i="11"/>
  <c r="C9" i="14" l="1"/>
  <c r="J14" i="11" s="1"/>
  <c r="C20" i="11"/>
  <c r="A10" i="11"/>
  <c r="B10" i="11"/>
  <c r="C87" i="14"/>
  <c r="D17" i="22"/>
  <c r="D19" i="22" s="1"/>
  <c r="C17" i="22"/>
  <c r="C19" i="22" s="1"/>
  <c r="D18" i="22"/>
  <c r="C18" i="22"/>
  <c r="D15" i="22"/>
  <c r="C15" i="22"/>
  <c r="D10" i="22"/>
  <c r="C10" i="22"/>
  <c r="D9" i="22"/>
  <c r="D11" i="22" s="1"/>
  <c r="D22" i="22" s="1"/>
  <c r="C9" i="22"/>
  <c r="C11" i="22" s="1"/>
  <c r="C88" i="14" s="1"/>
  <c r="J95" i="11" s="1"/>
  <c r="D7" i="22"/>
  <c r="C7" i="22"/>
  <c r="D5" i="22"/>
  <c r="C5" i="22"/>
  <c r="C24" i="22" l="1"/>
  <c r="C89" i="14"/>
  <c r="D24" i="22"/>
  <c r="C22" i="22"/>
  <c r="C36" i="14"/>
  <c r="C6" i="21"/>
  <c r="C10" i="21"/>
  <c r="C20" i="21" s="1"/>
  <c r="C35" i="14" s="1"/>
  <c r="C28" i="14"/>
  <c r="C14" i="21"/>
  <c r="C12" i="21"/>
  <c r="C31" i="14" s="1"/>
  <c r="C5" i="21"/>
  <c r="C19" i="21"/>
  <c r="C17" i="21"/>
  <c r="C3" i="21"/>
  <c r="C7" i="21" s="1"/>
  <c r="C8" i="21" s="1"/>
  <c r="C16" i="21" s="1"/>
  <c r="C33" i="14" s="1"/>
  <c r="J37" i="11" l="1"/>
  <c r="J39" i="11"/>
  <c r="C32" i="14"/>
  <c r="C92" i="14"/>
  <c r="J92" i="11" s="1"/>
  <c r="C93" i="14"/>
  <c r="J93" i="11" s="1"/>
  <c r="C90" i="14"/>
  <c r="J99" i="11"/>
  <c r="C30" i="14"/>
  <c r="C29" i="14"/>
  <c r="C18" i="21"/>
  <c r="C34" i="14" s="1"/>
  <c r="J38" i="11" l="1"/>
  <c r="J31" i="26"/>
  <c r="J40" i="11"/>
  <c r="C33" i="24"/>
  <c r="C43" i="24" s="1"/>
  <c r="C41" i="24" s="1"/>
  <c r="C35" i="24"/>
  <c r="J36" i="26" s="1"/>
  <c r="C34" i="24"/>
  <c r="C36" i="24"/>
  <c r="J37" i="26" s="1"/>
  <c r="J45" i="11"/>
  <c r="J46" i="11"/>
  <c r="J100" i="11"/>
  <c r="C68" i="14"/>
  <c r="C67" i="14"/>
  <c r="C66" i="14"/>
  <c r="C63" i="14"/>
  <c r="C60" i="14"/>
  <c r="C61" i="14"/>
  <c r="C62" i="14"/>
  <c r="C24" i="20"/>
  <c r="D5" i="20"/>
  <c r="C5" i="20"/>
  <c r="D28" i="20"/>
  <c r="C28" i="20"/>
  <c r="D24" i="20"/>
  <c r="D20" i="20" s="1"/>
  <c r="D21" i="20" s="1"/>
  <c r="C20" i="20"/>
  <c r="C21" i="20" s="1"/>
  <c r="D11" i="20"/>
  <c r="C11" i="20"/>
  <c r="D7" i="20"/>
  <c r="C7" i="20"/>
  <c r="D14" i="20"/>
  <c r="D12" i="20"/>
  <c r="C12" i="20"/>
  <c r="C14" i="20"/>
  <c r="D31" i="20"/>
  <c r="C31" i="20"/>
  <c r="D19" i="20"/>
  <c r="C50" i="14"/>
  <c r="C40" i="14"/>
  <c r="E27" i="18"/>
  <c r="D27" i="18"/>
  <c r="C27" i="18"/>
  <c r="D18" i="18"/>
  <c r="E18" i="18"/>
  <c r="E23" i="18"/>
  <c r="D25" i="18"/>
  <c r="D24" i="18"/>
  <c r="D21" i="18"/>
  <c r="D22" i="18"/>
  <c r="D20" i="18"/>
  <c r="C18" i="18"/>
  <c r="E26" i="18"/>
  <c r="D26" i="18"/>
  <c r="D4" i="18"/>
  <c r="D7" i="18"/>
  <c r="D3" i="18"/>
  <c r="E3" i="18" s="1"/>
  <c r="E8" i="18"/>
  <c r="D8" i="18" s="1"/>
  <c r="C5" i="18"/>
  <c r="D5" i="18" s="1"/>
  <c r="D9" i="18" s="1"/>
  <c r="D10" i="18" s="1"/>
  <c r="C44" i="14" s="1"/>
  <c r="D29" i="18"/>
  <c r="E29" i="18" s="1"/>
  <c r="D30" i="18"/>
  <c r="E30" i="18" s="1"/>
  <c r="D32" i="18"/>
  <c r="E32" i="18" s="1"/>
  <c r="D33" i="18"/>
  <c r="E33" i="18" s="1"/>
  <c r="D28" i="18"/>
  <c r="E28" i="18" s="1"/>
  <c r="C17" i="18"/>
  <c r="C37" i="24" l="1"/>
  <c r="J28" i="26" s="1"/>
  <c r="C39" i="24"/>
  <c r="J30" i="26" s="1"/>
  <c r="C38" i="24"/>
  <c r="J29" i="26" s="1"/>
  <c r="C41" i="14"/>
  <c r="C45" i="14"/>
  <c r="D19" i="18"/>
  <c r="C43" i="14" s="1"/>
  <c r="C65" i="14"/>
  <c r="C67" i="24" s="1"/>
  <c r="J67" i="26" s="1"/>
  <c r="C64" i="14"/>
  <c r="C15" i="20"/>
  <c r="D15" i="20"/>
  <c r="C13" i="20"/>
  <c r="D13" i="20"/>
  <c r="C9" i="18"/>
  <c r="C10" i="18" s="1"/>
  <c r="E9" i="18"/>
  <c r="C6" i="18"/>
  <c r="D6" i="18" s="1"/>
  <c r="J13" i="23" l="1"/>
  <c r="J51" i="11"/>
  <c r="J54" i="11"/>
  <c r="C48" i="24"/>
  <c r="J72" i="11"/>
  <c r="J73" i="11"/>
  <c r="C19" i="18"/>
  <c r="E10" i="18"/>
  <c r="E12" i="18"/>
  <c r="E13" i="18" s="1"/>
  <c r="J45" i="26" l="1"/>
  <c r="C57" i="24"/>
  <c r="C55" i="24" s="1"/>
  <c r="C51" i="14"/>
  <c r="E19" i="18"/>
  <c r="C53" i="14" s="1"/>
  <c r="C54" i="14"/>
  <c r="C55" i="14"/>
  <c r="C21" i="14"/>
  <c r="C22" i="14"/>
  <c r="C17" i="14"/>
  <c r="C16" i="14"/>
  <c r="C18" i="14"/>
  <c r="B60" i="1"/>
  <c r="C72" i="24" s="1"/>
  <c r="G7" i="17"/>
  <c r="C73" i="14"/>
  <c r="C75" i="14"/>
  <c r="C76" i="14"/>
  <c r="C77" i="14"/>
  <c r="C9" i="16"/>
  <c r="D14" i="16"/>
  <c r="D15" i="16" s="1"/>
  <c r="C15" i="16"/>
  <c r="D12" i="16"/>
  <c r="D9" i="16"/>
  <c r="D7" i="16"/>
  <c r="C7" i="16"/>
  <c r="D5" i="16"/>
  <c r="C12" i="16"/>
  <c r="C6" i="14"/>
  <c r="J11" i="11" s="1"/>
  <c r="C4" i="15"/>
  <c r="C12" i="15"/>
  <c r="C13" i="15" s="1"/>
  <c r="C8" i="14" s="1"/>
  <c r="J20" i="11" s="1"/>
  <c r="C7" i="15"/>
  <c r="C12" i="14" s="1"/>
  <c r="C66" i="24" l="1"/>
  <c r="J66" i="26" s="1"/>
  <c r="C68" i="24"/>
  <c r="J56" i="26" s="1"/>
  <c r="C69" i="24"/>
  <c r="J57" i="26" s="1"/>
  <c r="C70" i="24"/>
  <c r="J58" i="26" s="1"/>
  <c r="C65" i="24"/>
  <c r="J65" i="26" s="1"/>
  <c r="C19" i="14"/>
  <c r="C16" i="24" s="1"/>
  <c r="C15" i="24"/>
  <c r="J28" i="11"/>
  <c r="C14" i="24"/>
  <c r="J26" i="11"/>
  <c r="J25" i="11"/>
  <c r="J16" i="23"/>
  <c r="C49" i="24"/>
  <c r="C50" i="24"/>
  <c r="C52" i="24"/>
  <c r="J43" i="26" s="1"/>
  <c r="C51" i="24"/>
  <c r="J42" i="26" s="1"/>
  <c r="C53" i="24"/>
  <c r="J44" i="26" s="1"/>
  <c r="C82" i="14"/>
  <c r="C79" i="14"/>
  <c r="C78" i="14"/>
  <c r="C81" i="14"/>
  <c r="C80" i="14"/>
  <c r="C74" i="14"/>
  <c r="J81" i="11" l="1"/>
  <c r="C80" i="24"/>
  <c r="J79" i="11"/>
  <c r="J64" i="11"/>
  <c r="J80" i="11"/>
  <c r="J65" i="11"/>
  <c r="J78" i="11"/>
  <c r="J63" i="11"/>
  <c r="J17" i="26"/>
  <c r="C25" i="24"/>
  <c r="C26" i="24"/>
  <c r="J50" i="26"/>
  <c r="J51" i="26"/>
  <c r="J87" i="11"/>
  <c r="J18" i="10"/>
  <c r="J19" i="10" s="1"/>
  <c r="J17" i="10"/>
  <c r="J11" i="10"/>
  <c r="N10" i="10"/>
  <c r="B10" i="10" s="1"/>
  <c r="C19" i="10"/>
  <c r="C18" i="10"/>
  <c r="D16" i="10"/>
  <c r="M10" i="10" s="1"/>
  <c r="A10" i="10" s="1"/>
  <c r="C16" i="10"/>
  <c r="N11" i="9"/>
  <c r="B20" i="9" s="1"/>
  <c r="N10" i="9"/>
  <c r="B10" i="9" s="1"/>
  <c r="C29" i="9"/>
  <c r="C28" i="9"/>
  <c r="C19" i="9"/>
  <c r="C18" i="9"/>
  <c r="D26" i="9"/>
  <c r="M11" i="9" s="1"/>
  <c r="C26" i="9"/>
  <c r="C16" i="9"/>
  <c r="D16" i="9"/>
  <c r="M10" i="9" s="1"/>
  <c r="J28" i="9"/>
  <c r="J29" i="9" s="1"/>
  <c r="J27" i="9"/>
  <c r="J21" i="9"/>
  <c r="J18" i="9"/>
  <c r="J19" i="9" s="1"/>
  <c r="J17" i="9"/>
  <c r="J11" i="9"/>
  <c r="N10" i="12"/>
  <c r="B10" i="12" s="1"/>
  <c r="D15" i="12"/>
  <c r="C15" i="12"/>
  <c r="M10" i="12" s="1"/>
  <c r="C23" i="24" l="1"/>
  <c r="J75" i="26"/>
  <c r="C92" i="24"/>
  <c r="C93" i="24"/>
  <c r="C90" i="24" s="1"/>
  <c r="A20" i="9"/>
  <c r="A10" i="9"/>
  <c r="A10" i="12"/>
  <c r="C86" i="24" l="1"/>
  <c r="J72" i="26" s="1"/>
  <c r="C85" i="24"/>
  <c r="J82" i="26" s="1"/>
  <c r="C87" i="24"/>
  <c r="J73" i="26" s="1"/>
  <c r="C88" i="24"/>
  <c r="J74" i="26" s="1"/>
  <c r="C84" i="24"/>
  <c r="J81" i="26" s="1"/>
  <c r="C17" i="24"/>
  <c r="J22" i="26" s="1"/>
  <c r="C18" i="24"/>
  <c r="J23" i="26" s="1"/>
  <c r="C21" i="24"/>
  <c r="J16" i="26" s="1"/>
  <c r="C20" i="24"/>
  <c r="J15" i="26" s="1"/>
  <c r="C19" i="24"/>
  <c r="J14" i="26" s="1"/>
  <c r="B87"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46B8F0A7-1133-458D-86F6-54903EF54D54}">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esmia</author>
  </authors>
  <commentList>
    <comment ref="I16" authorId="0" shapeId="0" xr:uid="{CDD5FE2A-1FFF-4423-99EC-62962184F506}">
      <text>
        <r>
          <rPr>
            <b/>
            <sz val="9"/>
            <color indexed="81"/>
            <rFont val="Tahoma"/>
            <family val="2"/>
          </rPr>
          <t>esmia:</t>
        </r>
        <r>
          <rPr>
            <sz val="9"/>
            <color indexed="81"/>
            <rFont val="Tahoma"/>
            <family val="2"/>
          </rPr>
          <t xml:space="preserve">
Potential documented in TJ of biodiesel</t>
        </r>
      </text>
    </comment>
    <comment ref="I26" authorId="0" shapeId="0" xr:uid="{FFF05B82-032D-408F-AE87-D235C3B8D3BC}">
      <text>
        <r>
          <rPr>
            <b/>
            <sz val="9"/>
            <color indexed="81"/>
            <rFont val="Tahoma"/>
            <family val="2"/>
          </rPr>
          <t>esmia:</t>
        </r>
        <r>
          <rPr>
            <sz val="9"/>
            <color indexed="81"/>
            <rFont val="Tahoma"/>
            <family val="2"/>
          </rPr>
          <t xml:space="preserve">
Potential documented in TJ of biodiesel</t>
        </r>
      </text>
    </comment>
  </commentList>
</comments>
</file>

<file path=xl/sharedStrings.xml><?xml version="1.0" encoding="utf-8"?>
<sst xmlns="http://schemas.openxmlformats.org/spreadsheetml/2006/main" count="3499" uniqueCount="1211">
  <si>
    <t>OMNIA Model</t>
  </si>
  <si>
    <t>Document type:</t>
  </si>
  <si>
    <t xml:space="preserve">New Technology Template </t>
  </si>
  <si>
    <t>Base-year</t>
  </si>
  <si>
    <t>Sector:</t>
  </si>
  <si>
    <t>Upstream - Biofuel production</t>
  </si>
  <si>
    <t>Developer:</t>
  </si>
  <si>
    <t>ESMIA</t>
  </si>
  <si>
    <t>Version:</t>
  </si>
  <si>
    <t>Date:</t>
  </si>
  <si>
    <t>Document description:</t>
  </si>
  <si>
    <t>This template holds the new technology of the Upstream sector</t>
  </si>
  <si>
    <t>Cell colour legend</t>
  </si>
  <si>
    <t>aaa</t>
  </si>
  <si>
    <t>Model input</t>
  </si>
  <si>
    <t>Model input based on own assumptions</t>
  </si>
  <si>
    <t>Calculated value (not recommended to directly modify)</t>
  </si>
  <si>
    <t>Tab colour legend</t>
  </si>
  <si>
    <t>Energy balance breakdown and other elaborations</t>
  </si>
  <si>
    <t>External datasources such as database or input data pre-processing</t>
  </si>
  <si>
    <t>Veda inputs tables - It is better to have VEDA template in the same Excel file to properly link them though formula to the key inputs sheets</t>
  </si>
  <si>
    <t>Table of contents</t>
  </si>
  <si>
    <t>Sheet</t>
  </si>
  <si>
    <t>Description</t>
  </si>
  <si>
    <t>Commodities</t>
  </si>
  <si>
    <t xml:space="preserve">Veda inputs: Definition of sector commodities </t>
  </si>
  <si>
    <t>Biofuel production - Wood</t>
  </si>
  <si>
    <t>Veda inputs: Traditional biomass process</t>
  </si>
  <si>
    <t xml:space="preserve">Biofuel production - 1st gen </t>
  </si>
  <si>
    <t>Veda inputs: Biodiesel and ethanol production</t>
  </si>
  <si>
    <t>Biofuel production - Biogas</t>
  </si>
  <si>
    <t>Veda inputs: Renwable natural gas production</t>
  </si>
  <si>
    <t>Biofuel production - 2ndGen</t>
  </si>
  <si>
    <t>Veda inputs: 2nd generation biofuel production</t>
  </si>
  <si>
    <t>Key input_Biofuel production</t>
  </si>
  <si>
    <t>Biodiesel transderifictaion, ethanol fermentation and anaerobis digester data (From VT_OMNIA_UPS file)</t>
  </si>
  <si>
    <t>Key input_Biofuel production2</t>
  </si>
  <si>
    <t>Other biofuel production data</t>
  </si>
  <si>
    <t>Key input_Biomass_MAgPIE</t>
  </si>
  <si>
    <t>MAgPIE link - Biomass supply curve parameters</t>
  </si>
  <si>
    <t>Consumer_Price_Index</t>
  </si>
  <si>
    <t>Consumer price index values</t>
  </si>
  <si>
    <t>Conversion factors</t>
  </si>
  <si>
    <t>https://www.engineeringtoolbox.com/fossil-fuels-energy-content-d_1298.html</t>
  </si>
  <si>
    <t xml:space="preserve">ktoe </t>
  </si>
  <si>
    <t>PJ</t>
  </si>
  <si>
    <t>gallon</t>
  </si>
  <si>
    <t>m3</t>
  </si>
  <si>
    <t>barrel of oil equivalent (boe)</t>
  </si>
  <si>
    <t>million Btu</t>
  </si>
  <si>
    <t>Btu</t>
  </si>
  <si>
    <t>kJ</t>
  </si>
  <si>
    <t>cubic meter</t>
  </si>
  <si>
    <t>cubic feet</t>
  </si>
  <si>
    <t>billion m3 NGA</t>
  </si>
  <si>
    <t>million t hard coals</t>
  </si>
  <si>
    <t>million t lignite/sub coal</t>
  </si>
  <si>
    <t>t hard coal</t>
  </si>
  <si>
    <t>GJ</t>
  </si>
  <si>
    <t xml:space="preserve">t thermal coal </t>
  </si>
  <si>
    <t>t uranium</t>
  </si>
  <si>
    <t>t LNG</t>
  </si>
  <si>
    <t>barrels</t>
  </si>
  <si>
    <t>t coke</t>
  </si>
  <si>
    <t>t H2</t>
  </si>
  <si>
    <t xml:space="preserve">GJ </t>
  </si>
  <si>
    <t>lb steam</t>
  </si>
  <si>
    <t>kg ethanol</t>
  </si>
  <si>
    <t>MJ</t>
  </si>
  <si>
    <t>1 gallon of ethanol</t>
  </si>
  <si>
    <t>btu</t>
  </si>
  <si>
    <t>1 corn bushel</t>
  </si>
  <si>
    <t>kg</t>
  </si>
  <si>
    <t>1 kg biodiesel</t>
  </si>
  <si>
    <t>1 kg biojet</t>
  </si>
  <si>
    <t>1 gallon of renewable diesel</t>
  </si>
  <si>
    <t>1 m3 Renewable diesel</t>
  </si>
  <si>
    <t>1 kg renewable diesel</t>
  </si>
  <si>
    <t>1 kg renewable gasoline</t>
  </si>
  <si>
    <t>1 gallon gasoline equivalent</t>
  </si>
  <si>
    <t>TJ</t>
  </si>
  <si>
    <t>1 kg biochar</t>
  </si>
  <si>
    <t>1 kg pyrolyisis gas</t>
  </si>
  <si>
    <t>1 kg pellet</t>
  </si>
  <si>
    <t>1 year</t>
  </si>
  <si>
    <t>hours</t>
  </si>
  <si>
    <t>GWh</t>
  </si>
  <si>
    <t>EUR2015</t>
  </si>
  <si>
    <t>USD2021</t>
  </si>
  <si>
    <t>EUR2019</t>
  </si>
  <si>
    <t>USD2019</t>
  </si>
  <si>
    <t>EUR2007</t>
  </si>
  <si>
    <t>USD2007</t>
  </si>
  <si>
    <t>CNY2017</t>
  </si>
  <si>
    <t>USD2017</t>
  </si>
  <si>
    <t>CHF2010</t>
  </si>
  <si>
    <t>USD2010</t>
  </si>
  <si>
    <t>CHF2015</t>
  </si>
  <si>
    <t>USD2015</t>
  </si>
  <si>
    <t>USD2009</t>
  </si>
  <si>
    <t>USD2014</t>
  </si>
  <si>
    <t>USD2020</t>
  </si>
  <si>
    <t>USD2023</t>
  </si>
  <si>
    <t>kg H2G</t>
  </si>
  <si>
    <t>Sectors</t>
  </si>
  <si>
    <t>Code</t>
  </si>
  <si>
    <t>UPS</t>
  </si>
  <si>
    <t>Reference currency</t>
  </si>
  <si>
    <t>Million US Dollars (2021)</t>
  </si>
  <si>
    <t>MUSD2021</t>
  </si>
  <si>
    <t>Model regions</t>
  </si>
  <si>
    <t>List of countries</t>
  </si>
  <si>
    <t>AFE</t>
  </si>
  <si>
    <t>Eastern Africa</t>
  </si>
  <si>
    <t>Ethiopia,Kenya,Sudan,Mauritius,Eritrea,South Sudan,Burundi,Comoros,Djibouti,Madagascar,Reunion,Rwanda,Somalia,Uganda,Seychelles,United Republic of Tanzania</t>
  </si>
  <si>
    <t>AFN</t>
  </si>
  <si>
    <t>Northern Africa</t>
  </si>
  <si>
    <t>Egypt,Algeria,Morocco,Libya,Tunisia</t>
  </si>
  <si>
    <t>AFW</t>
  </si>
  <si>
    <t>Western Africa</t>
  </si>
  <si>
    <t>Democratic Republic of the Congo,Côte d’Ivoire,Ghana,Cameroon,Gabon,Benin,Senegal,Togo,Niger,Congo,Burkina Faso,Cabo Verde,Central African Republic,Chad,Equatorial Guinea,Gambia,Guinea,Guinea-Bissau,Liberia,Malawi,Mali,Mauritania,Sao Tome and Principe,Sierra Leone</t>
  </si>
  <si>
    <t>AFZ</t>
  </si>
  <si>
    <t>Southern Africa</t>
  </si>
  <si>
    <t>Angola,Mozambique,Zimbabwe,Zambia,Botswana,Namibia,South Africa,Eswatini,Lesotho</t>
  </si>
  <si>
    <t>ANZ</t>
  </si>
  <si>
    <t>Australia and New Zealand</t>
  </si>
  <si>
    <t>Australia,New Zealand</t>
  </si>
  <si>
    <t>ASC</t>
  </si>
  <si>
    <t>Central Asia</t>
  </si>
  <si>
    <t>Kazakhstan,Uzbekistan,Turkmenistan,Azerbaijan,Mongolia,Georgia,Kyrgyzstan,Armenia,Tajikistan,Afghanistan</t>
  </si>
  <si>
    <t>ASE</t>
  </si>
  <si>
    <t>Southeast Asia</t>
  </si>
  <si>
    <t>Thailand,Malaysia,Singapore,Myanmar,Cambodia,Brunei Darussalam,Lao People's Democratic Republic,Democratic People's Republic of Korea,Cook Islands,Timor-Leste,Fiji,French Polynesia,Kiribati,New Caledonia,Palau,Papua New Guinea,American Samoa,Solomon Islands,Tonga,Vanuatu,Niue,Samoa,Wallis and Futuna Islands,Micronesia (Federated States of),Nauru,Tuvalu,Northern Mariana Islands</t>
  </si>
  <si>
    <t>ASO</t>
  </si>
  <si>
    <t>South Asia</t>
  </si>
  <si>
    <t>Bangladesh,Nepal,Sri Lanka,Pakistan,Bhutan,Maldives</t>
  </si>
  <si>
    <t>BRA</t>
  </si>
  <si>
    <t>Brazil</t>
  </si>
  <si>
    <t>CAN</t>
  </si>
  <si>
    <t>Canada</t>
  </si>
  <si>
    <t>CHL</t>
  </si>
  <si>
    <t>Chile</t>
  </si>
  <si>
    <t>CHN</t>
  </si>
  <si>
    <t>China</t>
  </si>
  <si>
    <t>China,China, Hong Kong Special Administrative Region,China, Macao Special Administrative Region</t>
  </si>
  <si>
    <t>ENE</t>
  </si>
  <si>
    <t>Non-EU Eastern Europe</t>
  </si>
  <si>
    <t>Ukraine,Belarus,Serbia,Bosnia and Herzegovina,Republic of Moldova,Republic of North Macedonia,Kosovo,Albania,Montenegro</t>
  </si>
  <si>
    <t>ENW</t>
  </si>
  <si>
    <t>Non-EU Western Europe</t>
  </si>
  <si>
    <t>Norway-Svalbard and Jan Mayen Islands,Switzerland-Liechtenstein,Iceland,United Kingdom of Great Britain and Northern Ireland,Gibraltar,Saint Helena,Liechtenstein</t>
  </si>
  <si>
    <t>EUE</t>
  </si>
  <si>
    <t>Eastern Europe Union</t>
  </si>
  <si>
    <t>Poland,Czechia,Romania,Hungary,Bulgaria,Slovakia,Croatia,Lithuania,Slovenia,Estonia,Latvia</t>
  </si>
  <si>
    <t>EUM</t>
  </si>
  <si>
    <t>Mediterranean- Europe Union</t>
  </si>
  <si>
    <t>France-Monaco,Italy-San Marino,Spain,Greece,Portugal,Cyprus,Malta</t>
  </si>
  <si>
    <t>EUW</t>
  </si>
  <si>
    <t>Western Europe Union</t>
  </si>
  <si>
    <t>Germany,Netherlands,Belgium,Sweden,Austria,Finland,Denmark,Ireland,Luxembourg,Greenland,Faroe Islands,Andorra</t>
  </si>
  <si>
    <t>IDN</t>
  </si>
  <si>
    <t>Indonesia, Philippines, Vietnam</t>
  </si>
  <si>
    <t>Indonesia,Philippines,Viet Nam</t>
  </si>
  <si>
    <t>IND</t>
  </si>
  <si>
    <t>India</t>
  </si>
  <si>
    <t>JPN</t>
  </si>
  <si>
    <t>Japan</t>
  </si>
  <si>
    <t>LAM</t>
  </si>
  <si>
    <t>Latin America</t>
  </si>
  <si>
    <t>Argentina,Venezuela (Bolivarian Republic of),Colombia,Peru,Trinidad and Tobago,Ecuador,Guatemala,Cuba,Bolivia (Plurinational State of),Dominican Republic,Honduras,Paraguay,Uruguay,Costa Rica,El Salvador,Haiti,Panama,Nicaragua,Jamaica,Curaçao,Suriname,Antigua and Barbuda,Aruba,Bahamas,Barbados,Belize,Bermuda,British Virgin Islands,Cayman Islands,Dominica,Falkland Islands (Malvinas),Guyana,Grenada,Guadeloupe,Cooperative Republic of Guyana,Martinique,Montserrat,Puerto Rico,Saba,Bonaire, Sint Eustatius and Saba,Saint Kitts and Nevis,Saint Lucia,Saint Pierre and Miquelon,Saint Vincent and the Grenadines,Saint Martin,Turks and Caicos Islands,Sint Maarten (Dutch part),Anguilla</t>
  </si>
  <si>
    <t>MDA</t>
  </si>
  <si>
    <t>Mediterranean Asia</t>
  </si>
  <si>
    <t>Turkey,Israel,Syrian Arab Republic,Jordan,Lebanon,State of Palestine</t>
  </si>
  <si>
    <t>MEA</t>
  </si>
  <si>
    <t>Middle East (Gulf States)</t>
  </si>
  <si>
    <t>Iran (Islamic Republic of),Saudi Arabia,United Arab Emirates,Iraq,Qatar,Kuwait,Oman,Bahrain,Yemen</t>
  </si>
  <si>
    <t>MEX</t>
  </si>
  <si>
    <t>Mexico</t>
  </si>
  <si>
    <t>NIG</t>
  </si>
  <si>
    <t>Nigeria</t>
  </si>
  <si>
    <t>RUS</t>
  </si>
  <si>
    <t>Russia Federation</t>
  </si>
  <si>
    <t>Russian Federation</t>
  </si>
  <si>
    <t>SKT</t>
  </si>
  <si>
    <t>South Korea, Taiwan</t>
  </si>
  <si>
    <t>Taiwan, Province of China,Republic of Korea</t>
  </si>
  <si>
    <t>USA</t>
  </si>
  <si>
    <t>United States</t>
  </si>
  <si>
    <t>United States of America</t>
  </si>
  <si>
    <t>Sources</t>
  </si>
  <si>
    <t>Component</t>
  </si>
  <si>
    <t>Source n.</t>
  </si>
  <si>
    <t>Source</t>
  </si>
  <si>
    <t>Access</t>
  </si>
  <si>
    <t>URL</t>
  </si>
  <si>
    <t>Energy balance</t>
  </si>
  <si>
    <t>S1</t>
  </si>
  <si>
    <t>United Nations</t>
  </si>
  <si>
    <t>Public</t>
  </si>
  <si>
    <t>https://data.un.org/</t>
  </si>
  <si>
    <t xml:space="preserve">Pellet production techno-economic data </t>
  </si>
  <si>
    <t>S29</t>
  </si>
  <si>
    <t>Shahrukh H. Olajire Oyedun A. Kumar A. Ghiasi B. Kumar L. Sokhansanj S. (2016) Techno-economic assessment of pellets produced from steam pretreated biomass feedstock</t>
  </si>
  <si>
    <t>https://www.sciencedirect.com/science/article/pii/S0961953416300502</t>
  </si>
  <si>
    <t>S30</t>
  </si>
  <si>
    <t>Shahrukh H. Olajire Oyedun A. Kumar A. Ghiasi B. Kumar L. Sokhansanj S. (2015) Net energy ratio for the production of steam pretreated biomassbased pellets</t>
  </si>
  <si>
    <t>https://www.sciencedirect.com/science/article/pii/S0961953415300209</t>
  </si>
  <si>
    <t xml:space="preserve">Liquid biofuel production from gasification techno-economic data </t>
  </si>
  <si>
    <t>S31</t>
  </si>
  <si>
    <t>Swanson, R.M. Platon A. Satrio J.A. Brown R.C. (2010) Techno-economic analysis of biomass-to-liquids production based on gasification</t>
  </si>
  <si>
    <t>https://sciencedirect.com/science/article/pii/S0016236110003741</t>
  </si>
  <si>
    <t xml:space="preserve">Biojet production techno-economic data </t>
  </si>
  <si>
    <t>S32</t>
  </si>
  <si>
    <t>Wilhelm Diederichs G. Ali Mandegari M. Farzad S. Görgens J.F. (2016) Techno-economic comparison of biojet fuel production from lignocellulose, vegetable oil and sugar cane juice</t>
  </si>
  <si>
    <t>https://www.sciencedirect.com/science/article/pii/S0960852416307313</t>
  </si>
  <si>
    <t>Syngas gasification techno-economic parameters</t>
  </si>
  <si>
    <t>S33</t>
  </si>
  <si>
    <t>Moret S.Peduzzi E.  Gerber L. Maréchal F. (2016) Integration of deep geothermal energy and woody biomass conversion pathways in urban systems</t>
  </si>
  <si>
    <t>https://www.sciencedirect.com/science/article/pii/S0196890416308780#s0135</t>
  </si>
  <si>
    <t>S34</t>
  </si>
  <si>
    <t>E4Tech (2010) The potential for bioSNG production
in the UK</t>
  </si>
  <si>
    <t>https://www.build-a-gasifier.com/PDF/BioSNG-final-report-E4tech-14-06-10.pdf</t>
  </si>
  <si>
    <t>Hydrothermal liquefaction tech-economic parameters</t>
  </si>
  <si>
    <t>S35</t>
  </si>
  <si>
    <t xml:space="preserve">Zhu Y. Biddy M.J. Jones S.B Elliott D.C. Schmidt A.J. (2014) Techno-economic analysis of liquid fuel production from woody biomass via hydrothermal liquefaction (HTL) and upgrading. </t>
  </si>
  <si>
    <t>https://www.sciencedirect.com/science/article/pii/S0306261914002840</t>
  </si>
  <si>
    <t>Cellulosic ethanol production tech-economic parameters</t>
  </si>
  <si>
    <t>S36</t>
  </si>
  <si>
    <t xml:space="preserve">NREL (2011) Process Design and Economics for Conversion of Lignocellulosic Biomass to Ethanol </t>
  </si>
  <si>
    <t>https://www.nrel.gov/docs/fy11osti/51400.pdf</t>
  </si>
  <si>
    <t>Pyrolysis tech-economic parameters</t>
  </si>
  <si>
    <t>S37</t>
  </si>
  <si>
    <t>Brown T.R. Wright M.M. Brown R.C. (2010) Estimating proﬁtability of twobiochar production scenarios:slow pyrolysis vs fast pyrolysis</t>
  </si>
  <si>
    <t>https://scijournals.onlinelibrary.wiley.com/doi/10.1002/bbb.254</t>
  </si>
  <si>
    <t>CCS techno-economic parameters</t>
  </si>
  <si>
    <t>S38</t>
  </si>
  <si>
    <t>Berghout N. Kuramochi T. Van den Broek M. Faaij A. (2015) Techno-economic performance and spatial footprint of infrastructure configurations for large scale CO2 capture in industrial zones: A case study for the Rotterdam Botlek area (part A)</t>
  </si>
  <si>
    <t>https://www.sciencedirect.com/science/article/pii/S1750583615001826</t>
  </si>
  <si>
    <t>Commodities definition</t>
  </si>
  <si>
    <t>Csets</t>
  </si>
  <si>
    <t>CommName</t>
  </si>
  <si>
    <t>CommDesc</t>
  </si>
  <si>
    <t>Unit</t>
  </si>
  <si>
    <t>LimType</t>
  </si>
  <si>
    <t>CTSLvl</t>
  </si>
  <si>
    <t>PeakTS</t>
  </si>
  <si>
    <t>Ctype</t>
  </si>
  <si>
    <t>* Commodity set</t>
  </si>
  <si>
    <t>Commodity name</t>
  </si>
  <si>
    <t>*Biomass feedstock</t>
  </si>
  <si>
    <t>NRG</t>
  </si>
  <si>
    <t>BIOWOO</t>
  </si>
  <si>
    <t>Biomass - Forest residues</t>
  </si>
  <si>
    <t>BIOCRP</t>
  </si>
  <si>
    <t>Biomass - Crops grown for energy</t>
  </si>
  <si>
    <t>BIOAGR</t>
  </si>
  <si>
    <t>Biomass - Agricultural residues</t>
  </si>
  <si>
    <t>BIOOLC</t>
  </si>
  <si>
    <t>Biomass - Oil crops</t>
  </si>
  <si>
    <t>BIOCRL</t>
  </si>
  <si>
    <t>Biomass - Cereals</t>
  </si>
  <si>
    <t>* Biofuels</t>
  </si>
  <si>
    <t>BIOMASS</t>
  </si>
  <si>
    <t>Traditional woody biomass</t>
  </si>
  <si>
    <t>BIOPEL</t>
  </si>
  <si>
    <t>Woody pellet high quality</t>
  </si>
  <si>
    <t>BIOJET</t>
  </si>
  <si>
    <t>Biojet</t>
  </si>
  <si>
    <t>BIOETHC</t>
  </si>
  <si>
    <t>Cellulosic ethanol - 2nd gen</t>
  </si>
  <si>
    <t>BIOSYN</t>
  </si>
  <si>
    <t>Syngas</t>
  </si>
  <si>
    <t>BIORNG</t>
  </si>
  <si>
    <t>Renewable natural gas</t>
  </si>
  <si>
    <t>BIODIER</t>
  </si>
  <si>
    <t>Renewable diesel - 2nd gen</t>
  </si>
  <si>
    <t>BIOGSLR</t>
  </si>
  <si>
    <t>Renewable gasoline - 2nd gen</t>
  </si>
  <si>
    <t>BIOFTD</t>
  </si>
  <si>
    <t>FT- Diesel - 2nd gen</t>
  </si>
  <si>
    <t>BIOCHAR</t>
  </si>
  <si>
    <t>Biochar</t>
  </si>
  <si>
    <t>BIODSL</t>
  </si>
  <si>
    <t>Biodiesel - 1st gen</t>
  </si>
  <si>
    <t>BIOETH</t>
  </si>
  <si>
    <t>Ethanol - 1st gen</t>
  </si>
  <si>
    <t>*Upstream fuels</t>
  </si>
  <si>
    <t/>
  </si>
  <si>
    <t>UPSELC</t>
  </si>
  <si>
    <t>Electricty (UPS)</t>
  </si>
  <si>
    <t>DayNite</t>
  </si>
  <si>
    <t>ELC</t>
  </si>
  <si>
    <t>UPSGAS</t>
  </si>
  <si>
    <t>Natural gas (UPS)</t>
  </si>
  <si>
    <t>UPSHET</t>
  </si>
  <si>
    <t>Heat (UPS)</t>
  </si>
  <si>
    <t>LTHEAT</t>
  </si>
  <si>
    <t>ENV</t>
  </si>
  <si>
    <t>CCSCO2</t>
  </si>
  <si>
    <t>CO2 from CCS plant</t>
  </si>
  <si>
    <t>t</t>
  </si>
  <si>
    <t>DACCO2</t>
  </si>
  <si>
    <t>CO2 from DAC</t>
  </si>
  <si>
    <t>NATCO2</t>
  </si>
  <si>
    <t>Natural CO2</t>
  </si>
  <si>
    <t>UPSCO2</t>
  </si>
  <si>
    <t>CO2 emissions (UPS) - Combustion</t>
  </si>
  <si>
    <t>kt</t>
  </si>
  <si>
    <t>UPSCH4</t>
  </si>
  <si>
    <t>CH4 emissions (UPS) - Combustion</t>
  </si>
  <si>
    <t>UPSN2O</t>
  </si>
  <si>
    <t>N2O emissions (UPS) - Combustion</t>
  </si>
  <si>
    <t>Biofuel production</t>
  </si>
  <si>
    <t>Source:</t>
  </si>
  <si>
    <t>Processes definition</t>
  </si>
  <si>
    <t>~FI_T</t>
  </si>
  <si>
    <t>~FI_Process</t>
  </si>
  <si>
    <t>TechName</t>
  </si>
  <si>
    <t>*Description</t>
  </si>
  <si>
    <t>Comm-IN</t>
  </si>
  <si>
    <t>Comm-OUT</t>
  </si>
  <si>
    <t>CommGrp</t>
  </si>
  <si>
    <t>Attribute</t>
  </si>
  <si>
    <t>*Unit</t>
  </si>
  <si>
    <t>Sets</t>
  </si>
  <si>
    <t>TechDesc</t>
  </si>
  <si>
    <t>Tact</t>
  </si>
  <si>
    <t>Tcap</t>
  </si>
  <si>
    <t>Tslvl</t>
  </si>
  <si>
    <t>PrimaryCG</t>
  </si>
  <si>
    <t>Vintage</t>
  </si>
  <si>
    <t>*Technology name</t>
  </si>
  <si>
    <t>Technology Description</t>
  </si>
  <si>
    <t>Input commodity</t>
  </si>
  <si>
    <t>Output commodity</t>
  </si>
  <si>
    <t>annual activity</t>
  </si>
  <si>
    <t>* Process Set Membership</t>
  </si>
  <si>
    <t>Technology name</t>
  </si>
  <si>
    <t>Activity unit</t>
  </si>
  <si>
    <t>Capacity unit</t>
  </si>
  <si>
    <t>TimeSlice level of Process Activity</t>
  </si>
  <si>
    <t>Primary Commodity Group</t>
  </si>
  <si>
    <t>Vintage Tracking</t>
  </si>
  <si>
    <t>*Units</t>
  </si>
  <si>
    <t>*</t>
  </si>
  <si>
    <t>PRC_CapAct</t>
  </si>
  <si>
    <t>PRE</t>
  </si>
  <si>
    <t>NCAP_TLIFE</t>
  </si>
  <si>
    <t>years</t>
  </si>
  <si>
    <t>NCAP_COST</t>
  </si>
  <si>
    <t>MUSD2021/(TJ/y)</t>
  </si>
  <si>
    <t>NCAP_FOM</t>
  </si>
  <si>
    <t>ACT_COST</t>
  </si>
  <si>
    <t>EFF</t>
  </si>
  <si>
    <t>NCAP_START</t>
  </si>
  <si>
    <t>Input</t>
  </si>
  <si>
    <t>UPSNRG</t>
  </si>
  <si>
    <t>ACT</t>
  </si>
  <si>
    <t>CEFF</t>
  </si>
  <si>
    <t>SHARE-I</t>
  </si>
  <si>
    <t>UP</t>
  </si>
  <si>
    <t>%</t>
  </si>
  <si>
    <t>NCAP_AFA</t>
  </si>
  <si>
    <t>BIOFEED</t>
  </si>
  <si>
    <t>SHARE-O</t>
  </si>
  <si>
    <t>UPSH2G</t>
  </si>
  <si>
    <t>Ethanol production</t>
  </si>
  <si>
    <t>Ethanol production parameters</t>
  </si>
  <si>
    <t>Biomass processed</t>
  </si>
  <si>
    <t>kt/y</t>
  </si>
  <si>
    <t>Efficiency (input/output)</t>
  </si>
  <si>
    <t>TJ ethanol / kt biomass</t>
  </si>
  <si>
    <t>TJ/y</t>
  </si>
  <si>
    <t>Lifetime</t>
  </si>
  <si>
    <t>CAPEX</t>
  </si>
  <si>
    <t>MUS2021/(TJ/y)</t>
  </si>
  <si>
    <t>Maintenance</t>
  </si>
  <si>
    <t>Energy consumption</t>
  </si>
  <si>
    <t>TJ / TJ ethanol</t>
  </si>
  <si>
    <t>Electricity consumption</t>
  </si>
  <si>
    <t>Natural gas consumption</t>
  </si>
  <si>
    <t>Biodiesel production</t>
  </si>
  <si>
    <t>Biodiesel production plant</t>
  </si>
  <si>
    <t>Transesterification</t>
  </si>
  <si>
    <t>Vegetal Oil process</t>
  </si>
  <si>
    <t xml:space="preserve">Biodiesel production </t>
  </si>
  <si>
    <t xml:space="preserve">TJ biodiesel / kt oil </t>
  </si>
  <si>
    <t>Heat consumption</t>
  </si>
  <si>
    <t>Natural gas consumption for heat production</t>
  </si>
  <si>
    <t>TJ/ TJ biodiesel</t>
  </si>
  <si>
    <t>Fix O&amp;M</t>
  </si>
  <si>
    <t>Variable O&amp;M cost</t>
  </si>
  <si>
    <t>MUS2021/TJ</t>
  </si>
  <si>
    <t>Biogas/ Rneewable natural gas production</t>
  </si>
  <si>
    <t>Biomass proceed</t>
  </si>
  <si>
    <t>Biogas produced</t>
  </si>
  <si>
    <t>m3/y</t>
  </si>
  <si>
    <t>Biomethane produced</t>
  </si>
  <si>
    <t>Efficiency</t>
  </si>
  <si>
    <t>TJ biomethane / kt input</t>
  </si>
  <si>
    <t>TJ/ TJ biomethane</t>
  </si>
  <si>
    <t>CAPEX - AD</t>
  </si>
  <si>
    <t>CAPEX - UPG</t>
  </si>
  <si>
    <t>O&amp;M - AD</t>
  </si>
  <si>
    <t>O&amp;M - UPG</t>
  </si>
  <si>
    <t>Pellet production</t>
  </si>
  <si>
    <t>All conversion process include input processing</t>
  </si>
  <si>
    <t>High quality pellet production</t>
  </si>
  <si>
    <t>TJ output / kt input</t>
  </si>
  <si>
    <t>Energy consumption - Electricity</t>
  </si>
  <si>
    <t>TJ / TJ output</t>
  </si>
  <si>
    <t>Capital cost $</t>
  </si>
  <si>
    <t>MUSD2021/ (TJ output/y)</t>
  </si>
  <si>
    <t>Variable O&amp;M</t>
  </si>
  <si>
    <t>MUSD2021/ TJ output</t>
  </si>
  <si>
    <t xml:space="preserve">Availability factor </t>
  </si>
  <si>
    <t xml:space="preserve">% </t>
  </si>
  <si>
    <t>Gasification - Biojet production</t>
  </si>
  <si>
    <t>% output</t>
  </si>
  <si>
    <t>Renewable gasoline</t>
  </si>
  <si>
    <t>Gasification &amp; liquefaction - Cellulosic Ethanol production</t>
  </si>
  <si>
    <t>Steam consumption</t>
  </si>
  <si>
    <t>Gasification - Syngas production (without methanation)</t>
  </si>
  <si>
    <t>TJ output /kt input</t>
  </si>
  <si>
    <t xml:space="preserve">Upgrading - syngas to RNG </t>
  </si>
  <si>
    <t>TJ output /TJ input</t>
  </si>
  <si>
    <t>Hydrothermal liquefaction - Renewable diesel and gasoline production</t>
  </si>
  <si>
    <t>Renewable diesel</t>
  </si>
  <si>
    <t>Hydrogen consumption</t>
  </si>
  <si>
    <t>TJ/ TJ output</t>
  </si>
  <si>
    <t>MUSD2021/ (TJ output/y) /y</t>
  </si>
  <si>
    <t>Hydro processing - FT diesel production</t>
  </si>
  <si>
    <t>FT-Diesel</t>
  </si>
  <si>
    <t xml:space="preserve">Other </t>
  </si>
  <si>
    <t xml:space="preserve">Energy consumption - Electricity </t>
  </si>
  <si>
    <t>Pyrolisis - Biochar and co-product production</t>
  </si>
  <si>
    <t>Post-Combustion capture</t>
  </si>
  <si>
    <t>CO2 capture rate</t>
  </si>
  <si>
    <t>TJ / t CO2</t>
  </si>
  <si>
    <t>Energy consumption - Steam</t>
  </si>
  <si>
    <t>Capital cost</t>
  </si>
  <si>
    <t>MUSD2021/ t CO2</t>
  </si>
  <si>
    <t>Gasification - Biojet production - With CCS</t>
  </si>
  <si>
    <t>CO2 captured</t>
  </si>
  <si>
    <t>t CO2/kt input</t>
  </si>
  <si>
    <t>Biomass input</t>
  </si>
  <si>
    <t>Cellulosic ethanol</t>
  </si>
  <si>
    <t>FT diesel</t>
  </si>
  <si>
    <t>Unit reserve</t>
  </si>
  <si>
    <t>Energy content</t>
  </si>
  <si>
    <t>Biomass commodity</t>
  </si>
  <si>
    <t xml:space="preserve">TJ/ reserve unit </t>
  </si>
  <si>
    <t>Combustion emissions</t>
  </si>
  <si>
    <t>CO2</t>
  </si>
  <si>
    <t>CH4</t>
  </si>
  <si>
    <t>N2O</t>
  </si>
  <si>
    <t>CO2  - biogenic</t>
  </si>
  <si>
    <t>t/TJ</t>
  </si>
  <si>
    <t>UPSBDL</t>
  </si>
  <si>
    <t>Biodiesel (UPS)</t>
  </si>
  <si>
    <t>UPSBGL</t>
  </si>
  <si>
    <t xml:space="preserve">Biogasoline (UPS) </t>
  </si>
  <si>
    <t>UPSBLQ</t>
  </si>
  <si>
    <t xml:space="preserve">Liquid biofuel (UPS) </t>
  </si>
  <si>
    <t>UPSBFG</t>
  </si>
  <si>
    <t>Blast furnace gas (UPS)</t>
  </si>
  <si>
    <t>UPSBGS</t>
  </si>
  <si>
    <t>Biogas (UPS)</t>
  </si>
  <si>
    <t>UPSBIO</t>
  </si>
  <si>
    <t>Biomass (UPS)</t>
  </si>
  <si>
    <t>UPSCOA</t>
  </si>
  <si>
    <t>Coal (UPS)</t>
  </si>
  <si>
    <t>UPSCOALIG</t>
  </si>
  <si>
    <t>Lignite (UPS)</t>
  </si>
  <si>
    <t>UPSCOG</t>
  </si>
  <si>
    <t>Coke oven gas (UPS)</t>
  </si>
  <si>
    <t>UPSCOK</t>
  </si>
  <si>
    <t>Coke oven coke (UPS</t>
  </si>
  <si>
    <t>UPSDSL</t>
  </si>
  <si>
    <t>Diesel (UPS)</t>
  </si>
  <si>
    <t>UPSGSL</t>
  </si>
  <si>
    <t>Gasoline (UPS)</t>
  </si>
  <si>
    <t>UPSHFO</t>
  </si>
  <si>
    <t xml:space="preserve">Heavy fuel oil (UPS) </t>
  </si>
  <si>
    <t>UPSKER</t>
  </si>
  <si>
    <t xml:space="preserve">Kerosene (UPS) </t>
  </si>
  <si>
    <t>UPSLPG</t>
  </si>
  <si>
    <t xml:space="preserve">Liquified petroleum gas (UPS) </t>
  </si>
  <si>
    <t>UPSNAP</t>
  </si>
  <si>
    <t xml:space="preserve">Naphtas (UPS) </t>
  </si>
  <si>
    <t>UPSOIL</t>
  </si>
  <si>
    <t xml:space="preserve">Oil (UPS) </t>
  </si>
  <si>
    <t>UPSOIL2</t>
  </si>
  <si>
    <t xml:space="preserve">Other petroleum products (UPS) </t>
  </si>
  <si>
    <t>UPSWAS</t>
  </si>
  <si>
    <t xml:space="preserve">Waste (UPS) </t>
  </si>
  <si>
    <t>Hydrogen gaseous (UPS)</t>
  </si>
  <si>
    <t>Coal mines types</t>
  </si>
  <si>
    <t>Surface mines</t>
  </si>
  <si>
    <t>Underground mines</t>
  </si>
  <si>
    <t>Fugitives emissions</t>
  </si>
  <si>
    <t xml:space="preserve">CH4 emissions </t>
  </si>
  <si>
    <t>t CH4</t>
  </si>
  <si>
    <t>Coal mines</t>
  </si>
  <si>
    <t>TJ coal</t>
  </si>
  <si>
    <t>Gas production - Fugitives</t>
  </si>
  <si>
    <t>TJ gas production</t>
  </si>
  <si>
    <t>Gas production - Flaring</t>
  </si>
  <si>
    <t>Gas processing - Fugitives</t>
  </si>
  <si>
    <t>TJ gas processed</t>
  </si>
  <si>
    <t>Gas processing - Flaring</t>
  </si>
  <si>
    <t>Gas processing - Raw CO2 venting</t>
  </si>
  <si>
    <t>Gas transmission - Fugitives</t>
  </si>
  <si>
    <t>TJ gas transmitted</t>
  </si>
  <si>
    <t>Gas transmission - Venting</t>
  </si>
  <si>
    <t>Gas distribution - Fugitives</t>
  </si>
  <si>
    <t>TJ gas distributed</t>
  </si>
  <si>
    <t>Natural gas liquids transport - Condensates - Fugitives</t>
  </si>
  <si>
    <t>TJ condensates</t>
  </si>
  <si>
    <t>Natural gas liquids transport - LPG - Fugitives</t>
  </si>
  <si>
    <t>TJ LPG</t>
  </si>
  <si>
    <t>Natural gas liquids transport - LNG - Fugitives</t>
  </si>
  <si>
    <t>TJ LNG</t>
  </si>
  <si>
    <t>Oil production - Fugitives</t>
  </si>
  <si>
    <t>TJ oil production</t>
  </si>
  <si>
    <t>Oil production - Venting</t>
  </si>
  <si>
    <t>Oil production - Flaring</t>
  </si>
  <si>
    <t>Oil upgrading - Fugitives</t>
  </si>
  <si>
    <t xml:space="preserve">TJ oil upgraded </t>
  </si>
  <si>
    <t>Oil transport - Pipeline - fugitives</t>
  </si>
  <si>
    <t>TJ oil transported by pipeline</t>
  </si>
  <si>
    <t>Oil transport - Tankers, trucks and Rail cars - Venting</t>
  </si>
  <si>
    <t>TJ oil transported</t>
  </si>
  <si>
    <t>Oil transport - Loading off-shore Production on tanker ships - Venting</t>
  </si>
  <si>
    <t>Oil refining - Fugitives</t>
  </si>
  <si>
    <t>TJ oil refined</t>
  </si>
  <si>
    <t>Refined product distribution - Gasoline - Fugitives</t>
  </si>
  <si>
    <t>TJ product transported</t>
  </si>
  <si>
    <t>Refined product distribution - Diesel - Fugitives</t>
  </si>
  <si>
    <t>Refined product distribution - Aviation fuel - Fugitives</t>
  </si>
  <si>
    <t>Refined product distribution - Jet kerosene - Fugitives</t>
  </si>
  <si>
    <t>CO2 emissions</t>
  </si>
  <si>
    <t>t CO2</t>
  </si>
  <si>
    <t>NMVOC emissions</t>
  </si>
  <si>
    <t>t NMVOC</t>
  </si>
  <si>
    <t>N2O emissions</t>
  </si>
  <si>
    <t>t N2O</t>
  </si>
  <si>
    <t>Pellet with steam pretreatment</t>
  </si>
  <si>
    <t>t/h</t>
  </si>
  <si>
    <t>t pellet / t input</t>
  </si>
  <si>
    <t>TJ pellet / t input</t>
  </si>
  <si>
    <t>Peletization mass loss</t>
  </si>
  <si>
    <t>Availability factor</t>
  </si>
  <si>
    <t>Chipping cost</t>
  </si>
  <si>
    <t>2015USD/t</t>
  </si>
  <si>
    <t>2015USD/TJ pellet</t>
  </si>
  <si>
    <t>Maintenance cost</t>
  </si>
  <si>
    <t>% Capital cost</t>
  </si>
  <si>
    <t>GJ/t pellet</t>
  </si>
  <si>
    <t xml:space="preserve">TJ / TJ pellet </t>
  </si>
  <si>
    <t>Post-Combustion capture -Table 3</t>
  </si>
  <si>
    <t>GJ/t CO2</t>
  </si>
  <si>
    <t>GJ / t CO2</t>
  </si>
  <si>
    <t>Meuros/stack</t>
  </si>
  <si>
    <t>Number of stack</t>
  </si>
  <si>
    <t>stack/Mt CO2</t>
  </si>
  <si>
    <t>Meuros / (Mt CO2/y)</t>
  </si>
  <si>
    <t>euros/ t CO2</t>
  </si>
  <si>
    <t>Slow pyrolysis</t>
  </si>
  <si>
    <t>Fast pyrolysis</t>
  </si>
  <si>
    <t>t/d</t>
  </si>
  <si>
    <t>Biochar production</t>
  </si>
  <si>
    <t>Biochar used on site</t>
  </si>
  <si>
    <t>Biochar ouptut</t>
  </si>
  <si>
    <t>Bio oil</t>
  </si>
  <si>
    <t>Pyrolysis gas production</t>
  </si>
  <si>
    <t>Pyrolysis gas reused on-site</t>
  </si>
  <si>
    <t>Pyrolysis gas output</t>
  </si>
  <si>
    <t>MUSD</t>
  </si>
  <si>
    <t>M2010USD/(TJ/y)</t>
  </si>
  <si>
    <t>MUSD/y</t>
  </si>
  <si>
    <t>M2010USD/(TJ/y) /y</t>
  </si>
  <si>
    <t>Liquid biofuel low temp</t>
  </si>
  <si>
    <t>Liquid biofuel - high temp</t>
  </si>
  <si>
    <t>Biomass feedstock</t>
  </si>
  <si>
    <t xml:space="preserve">t per day </t>
  </si>
  <si>
    <t>Fuel yield</t>
  </si>
  <si>
    <t>gallon gasoline equivalent /t</t>
  </si>
  <si>
    <t>TJ/kt</t>
  </si>
  <si>
    <t>Fuel output</t>
  </si>
  <si>
    <t>MMGGE/yr</t>
  </si>
  <si>
    <t>Other</t>
  </si>
  <si>
    <t>M$US2007</t>
  </si>
  <si>
    <t>MW</t>
  </si>
  <si>
    <t>M$US2007/y</t>
  </si>
  <si>
    <t xml:space="preserve">Moret(2017) + E4tech(2010) </t>
  </si>
  <si>
    <t>Gasification + Upgrading</t>
  </si>
  <si>
    <t>Gasification</t>
  </si>
  <si>
    <t>Upgrading</t>
  </si>
  <si>
    <t>Wood input</t>
  </si>
  <si>
    <t>GJ/h</t>
  </si>
  <si>
    <t>kW</t>
  </si>
  <si>
    <t>Rnewable natural gas</t>
  </si>
  <si>
    <t>Electricity</t>
  </si>
  <si>
    <t>Heat</t>
  </si>
  <si>
    <t>Upgrading efficiency</t>
  </si>
  <si>
    <t>Capital investment</t>
  </si>
  <si>
    <t>2015CHF/MWin</t>
  </si>
  <si>
    <t>2015CHF</t>
  </si>
  <si>
    <t>2015CHF/(TJ syngas /y)</t>
  </si>
  <si>
    <t>Land</t>
  </si>
  <si>
    <t>% capital cost</t>
  </si>
  <si>
    <t>Drying and storage</t>
  </si>
  <si>
    <t>Gasifier</t>
  </si>
  <si>
    <t>Methanation reactor</t>
  </si>
  <si>
    <t>Site engineering</t>
  </si>
  <si>
    <t>Design and costs during construction</t>
  </si>
  <si>
    <t>O&amp;M without feedstock cost</t>
  </si>
  <si>
    <t>Insurance</t>
  </si>
  <si>
    <t>% O&amp;M</t>
  </si>
  <si>
    <t>Staff</t>
  </si>
  <si>
    <t>Feedstock</t>
  </si>
  <si>
    <t>Consumables</t>
  </si>
  <si>
    <t>Ash disposal</t>
  </si>
  <si>
    <t>SOT</t>
  </si>
  <si>
    <t>GOAL</t>
  </si>
  <si>
    <t>HTL</t>
  </si>
  <si>
    <t>Final hydrocarbon product</t>
  </si>
  <si>
    <t>L/h</t>
  </si>
  <si>
    <t>L/kg feedstock</t>
  </si>
  <si>
    <t>% final hydrocarbon</t>
  </si>
  <si>
    <t>Heavy oil</t>
  </si>
  <si>
    <t>kg H2/ kg bio oil</t>
  </si>
  <si>
    <t>kg/y</t>
  </si>
  <si>
    <t>HTL biooil</t>
  </si>
  <si>
    <t>MJ/kg</t>
  </si>
  <si>
    <t>Biooil</t>
  </si>
  <si>
    <t>kg/100 kg input</t>
  </si>
  <si>
    <t xml:space="preserve">Natural gas usage (Hydrogen production) </t>
  </si>
  <si>
    <t>kg/h</t>
  </si>
  <si>
    <t>Electricity usage</t>
  </si>
  <si>
    <t>kWh/L product</t>
  </si>
  <si>
    <t>M2007USD</t>
  </si>
  <si>
    <t>M2007USD/y</t>
  </si>
  <si>
    <t xml:space="preserve">Lignocellulosic
Biomass to Ethanol </t>
  </si>
  <si>
    <t>Availability</t>
  </si>
  <si>
    <t>kt /y</t>
  </si>
  <si>
    <t>Ethanol yield</t>
  </si>
  <si>
    <t>gal / t</t>
  </si>
  <si>
    <t>Ethanol capacity</t>
  </si>
  <si>
    <t>MM gal/y</t>
  </si>
  <si>
    <t>Electricty use</t>
  </si>
  <si>
    <t>kwh/gal ethanol</t>
  </si>
  <si>
    <t>Steam use</t>
  </si>
  <si>
    <t>lb/ gal eth</t>
  </si>
  <si>
    <t>2007USD</t>
  </si>
  <si>
    <t>M2007USD/(TJ/y)</t>
  </si>
  <si>
    <t>M2007USD/(TJ/y)/y</t>
  </si>
  <si>
    <t>M2007USD/TJ</t>
  </si>
  <si>
    <t xml:space="preserve">2G </t>
  </si>
  <si>
    <t>1G</t>
  </si>
  <si>
    <t>GFT-J</t>
  </si>
  <si>
    <t>L-ETH-J</t>
  </si>
  <si>
    <t>SYN-FER</t>
  </si>
  <si>
    <t>HEFA</t>
  </si>
  <si>
    <t>S-ETH-J</t>
  </si>
  <si>
    <t>Gasification and FT synthesis</t>
  </si>
  <si>
    <t>Biochemical conversion to ethanol with upgrading</t>
  </si>
  <si>
    <t>gasification, syngas fermentation to ethanol with upgarding</t>
  </si>
  <si>
    <t>hydroprocessing of vegetable oil</t>
  </si>
  <si>
    <t>sugar cane juice to ethanol by sucrose fermentation with upgrading</t>
  </si>
  <si>
    <t>Biomass (lignocellulose) input</t>
  </si>
  <si>
    <t>Biomas 1G input</t>
  </si>
  <si>
    <t>2014US</t>
  </si>
  <si>
    <t>Produced and consumed on-site</t>
  </si>
  <si>
    <t>Cooling demand</t>
  </si>
  <si>
    <t>Heating demand</t>
  </si>
  <si>
    <t>Hydrogen usage</t>
  </si>
  <si>
    <t>k H2/t fuel</t>
  </si>
  <si>
    <t>Output</t>
  </si>
  <si>
    <t>MUSD2014</t>
  </si>
  <si>
    <t>MUSD2014/y</t>
  </si>
  <si>
    <t>Data Source</t>
  </si>
  <si>
    <t>World Development Indicators</t>
  </si>
  <si>
    <t>Last Updated Date</t>
  </si>
  <si>
    <t>Country Name</t>
  </si>
  <si>
    <t>Country Code</t>
  </si>
  <si>
    <t>Indicator Name</t>
  </si>
  <si>
    <t>Indicator Code</t>
  </si>
  <si>
    <t>Aruba</t>
  </si>
  <si>
    <t>ABW</t>
  </si>
  <si>
    <t>Consumer price index (2010 = 100)</t>
  </si>
  <si>
    <t>FP.CPI.TOTL</t>
  </si>
  <si>
    <t>Africa Eastern and Southern</t>
  </si>
  <si>
    <t>Afghanistan</t>
  </si>
  <si>
    <t>AFG</t>
  </si>
  <si>
    <t>Africa Western and Central</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</si>
  <si>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</si>
  <si>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</si>
  <si>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</si>
  <si>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</si>
  <si>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</si>
  <si>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</si>
  <si>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</si>
  <si>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</si>
  <si>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</si>
  <si>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</si>
  <si>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</si>
  <si>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</si>
  <si>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</si>
  <si>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</si>
  <si>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</si>
  <si>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</si>
  <si>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</si>
  <si>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</si>
  <si>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</si>
  <si>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</si>
  <si>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</si>
  <si>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</si>
  <si>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</si>
  <si>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</si>
  <si>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</si>
  <si>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</si>
  <si>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</si>
  <si>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</si>
  <si>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</si>
  <si>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</si>
  <si>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</si>
  <si>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</si>
  <si>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</si>
  <si>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</si>
  <si>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</si>
  <si>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</si>
  <si>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</si>
  <si>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</si>
  <si>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</si>
  <si>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</si>
  <si>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</si>
  <si>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</si>
  <si>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</si>
  <si>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</si>
  <si>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</si>
  <si>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</si>
  <si>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</si>
  <si>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</si>
  <si>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</si>
  <si>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</si>
  <si>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Barbados</t>
  </si>
  <si>
    <t>BRB</t>
  </si>
  <si>
    <t>Brunei Darussalam</t>
  </si>
  <si>
    <t>BRN</t>
  </si>
  <si>
    <t>Bhutan</t>
  </si>
  <si>
    <t>BTN</t>
  </si>
  <si>
    <t>Botswana</t>
  </si>
  <si>
    <t>BWA</t>
  </si>
  <si>
    <t>Central African Republic</t>
  </si>
  <si>
    <t>CAF</t>
  </si>
  <si>
    <t>Central Europe and the Baltics</t>
  </si>
  <si>
    <t>CEB</t>
  </si>
  <si>
    <t>Switzerland</t>
  </si>
  <si>
    <t>CHE</t>
  </si>
  <si>
    <t>Channel Islands</t>
  </si>
  <si>
    <t>CHI</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</si>
  <si>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</si>
  <si>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</si>
  <si>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</si>
  <si>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</si>
  <si>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</si>
  <si>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</si>
  <si>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</si>
  <si>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</si>
  <si>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</si>
  <si>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</si>
  <si>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</si>
  <si>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</si>
  <si>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</si>
  <si>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</si>
  <si>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</si>
  <si>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</si>
  <si>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</si>
  <si>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</si>
  <si>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</si>
  <si>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</si>
  <si>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</si>
  <si>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</si>
  <si>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</si>
  <si>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</si>
  <si>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</si>
  <si>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</si>
  <si>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</si>
  <si>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</si>
  <si>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</si>
  <si>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</si>
  <si>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</si>
  <si>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</si>
  <si>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</si>
  <si>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</si>
  <si>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</si>
  <si>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</si>
  <si>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</si>
  <si>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</si>
  <si>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</si>
  <si>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</si>
  <si>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</si>
  <si>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</si>
  <si>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</si>
  <si>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</si>
  <si>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</si>
  <si>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</si>
  <si>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</si>
  <si>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</si>
  <si>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</si>
  <si>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</si>
  <si>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</si>
  <si>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</si>
  <si>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</si>
  <si>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</si>
  <si>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</si>
  <si>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</si>
  <si>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</si>
  <si>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</si>
  <si>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</si>
  <si>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</si>
  <si>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</si>
  <si>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</si>
  <si>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</si>
  <si>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</si>
  <si>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</si>
  <si>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</si>
  <si>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</si>
  <si>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</si>
  <si>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</si>
  <si>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</si>
  <si>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</si>
  <si>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</si>
  <si>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</si>
  <si>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</si>
  <si>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</si>
  <si>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</si>
  <si>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</si>
  <si>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</si>
  <si>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</si>
  <si>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</si>
  <si>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</si>
  <si>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</si>
  <si>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</si>
  <si>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</si>
  <si>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</si>
  <si>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</si>
  <si>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</si>
  <si>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</si>
  <si>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</si>
  <si>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</si>
  <si>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</si>
  <si>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</si>
  <si>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</si>
  <si>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</si>
  <si>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</si>
  <si>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</si>
  <si>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</si>
  <si>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</si>
  <si>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</si>
  <si>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</si>
  <si>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</si>
  <si>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</si>
  <si>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</si>
  <si>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</si>
  <si>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</si>
  <si>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</si>
  <si>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</si>
  <si>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</si>
  <si>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</si>
  <si>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</si>
  <si>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</si>
  <si>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</si>
  <si>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</si>
  <si>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</si>
  <si>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</si>
  <si>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</si>
  <si>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</si>
  <si>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</si>
  <si>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</si>
  <si>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</si>
  <si>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</si>
  <si>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</si>
  <si>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</si>
  <si>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</si>
  <si>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</si>
  <si>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</si>
  <si>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</si>
  <si>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</si>
  <si>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</si>
  <si>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</si>
  <si>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</si>
  <si>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IDA only</t>
  </si>
  <si>
    <t>IDX</t>
  </si>
  <si>
    <t>Isle of Man</t>
  </si>
  <si>
    <t>IMN</t>
  </si>
  <si>
    <t>Not classified</t>
  </si>
  <si>
    <t>INX</t>
  </si>
  <si>
    <t>Ireland</t>
  </si>
  <si>
    <t>IRL</t>
  </si>
  <si>
    <t>Iran, Islamic Rep.</t>
  </si>
  <si>
    <t>IRN</t>
  </si>
  <si>
    <t>Iraq</t>
  </si>
  <si>
    <t>IRQ</t>
  </si>
  <si>
    <t>Iceland</t>
  </si>
  <si>
    <t>ISL</t>
  </si>
  <si>
    <t>Israel</t>
  </si>
  <si>
    <t>ISR</t>
  </si>
  <si>
    <t>Italy</t>
  </si>
  <si>
    <t>ITA</t>
  </si>
  <si>
    <t>Jamaica</t>
  </si>
  <si>
    <t>JAM</t>
  </si>
  <si>
    <t>Jordan</t>
  </si>
  <si>
    <t>JOR</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</si>
  <si>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</si>
  <si>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</si>
  <si>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</si>
  <si>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</si>
  <si>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</si>
  <si>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</si>
  <si>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</si>
  <si>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</si>
  <si>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</si>
  <si>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</si>
  <si>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</si>
  <si>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</si>
  <si>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</si>
  <si>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</si>
  <si>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</si>
  <si>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</si>
  <si>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</si>
  <si>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</si>
  <si>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</si>
  <si>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</si>
  <si>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</si>
  <si>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</si>
  <si>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</si>
  <si>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</si>
  <si>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</si>
  <si>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</si>
  <si>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</si>
  <si>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</si>
  <si>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</si>
  <si>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</si>
  <si>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</si>
  <si>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</si>
  <si>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</si>
  <si>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</si>
  <si>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</si>
  <si>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</si>
  <si>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</si>
  <si>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</si>
  <si>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</si>
  <si>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</si>
  <si>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</si>
  <si>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</si>
  <si>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</si>
  <si>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</si>
  <si>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</si>
  <si>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</si>
  <si>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</si>
  <si>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</si>
  <si>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</si>
  <si>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</si>
  <si>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</si>
  <si>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</si>
  <si>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</si>
  <si>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</si>
  <si>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</si>
  <si>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</si>
  <si>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</si>
  <si>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</si>
  <si>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</si>
  <si>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</si>
  <si>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</si>
  <si>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Madagascar</t>
  </si>
  <si>
    <t>MDG</t>
  </si>
  <si>
    <t>Maldives</t>
  </si>
  <si>
    <t>MDV</t>
  </si>
  <si>
    <t>Middle East &amp; North Africa</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</si>
  <si>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</si>
  <si>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</si>
  <si>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</si>
  <si>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</si>
  <si>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</si>
  <si>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</si>
  <si>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</si>
  <si>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</si>
  <si>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</si>
  <si>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</si>
  <si>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</si>
  <si>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</si>
  <si>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</si>
  <si>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</si>
  <si>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</si>
  <si>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</si>
  <si>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</si>
  <si>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</si>
  <si>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</si>
  <si>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</si>
  <si>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</si>
  <si>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</si>
  <si>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</si>
  <si>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</si>
  <si>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</si>
  <si>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</si>
  <si>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</si>
  <si>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</si>
  <si>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</si>
  <si>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</si>
  <si>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</si>
  <si>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</si>
  <si>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</si>
  <si>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</si>
  <si>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</si>
  <si>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</si>
  <si>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</si>
  <si>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</si>
  <si>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</si>
  <si>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</si>
  <si>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</si>
  <si>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</si>
  <si>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</si>
  <si>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</si>
  <si>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</si>
  <si>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</si>
  <si>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</si>
  <si>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</si>
  <si>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</si>
  <si>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</si>
  <si>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</si>
  <si>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</si>
  <si>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</si>
  <si>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</si>
  <si>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</si>
  <si>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</si>
  <si>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</si>
  <si>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</si>
  <si>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</si>
  <si>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</si>
  <si>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</si>
  <si>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</si>
  <si>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</si>
  <si>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</si>
  <si>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</si>
  <si>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</si>
  <si>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</si>
  <si>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</si>
  <si>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</si>
  <si>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</si>
  <si>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</si>
  <si>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</si>
  <si>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</si>
  <si>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</si>
  <si>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</si>
  <si>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</si>
  <si>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</si>
  <si>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</si>
  <si>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</si>
  <si>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</si>
  <si>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</si>
  <si>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</si>
  <si>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</si>
  <si>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</si>
  <si>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</si>
  <si>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</si>
  <si>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</si>
  <si>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</si>
  <si>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</si>
  <si>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</si>
  <si>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</si>
  <si>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</si>
  <si>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Rwanda</t>
  </si>
  <si>
    <t>RWA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</si>
  <si>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</si>
  <si>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</si>
  <si>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</si>
  <si>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</si>
  <si>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</si>
  <si>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</si>
  <si>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</si>
  <si>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</si>
  <si>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</si>
  <si>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</si>
  <si>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</si>
  <si>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</si>
  <si>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</si>
  <si>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</si>
  <si>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</si>
  <si>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</si>
  <si>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</si>
  <si>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</si>
  <si>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</si>
  <si>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</si>
  <si>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</si>
  <si>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</si>
  <si>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</si>
  <si>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</si>
  <si>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</si>
  <si>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</si>
  <si>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</si>
  <si>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</si>
  <si>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</si>
  <si>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</si>
  <si>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</si>
  <si>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</si>
  <si>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</si>
  <si>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</si>
  <si>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</si>
  <si>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</si>
  <si>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</si>
  <si>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</si>
  <si>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</si>
  <si>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</si>
  <si>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</si>
  <si>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</si>
  <si>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</si>
  <si>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</si>
  <si>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</si>
  <si>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</si>
  <si>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</si>
  <si>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</si>
  <si>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</si>
  <si>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</si>
  <si>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</si>
  <si>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</si>
  <si>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</si>
  <si>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</si>
  <si>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</si>
  <si>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</si>
  <si>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</si>
  <si>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</si>
  <si>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</si>
  <si>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</si>
  <si>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</si>
  <si>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</si>
  <si>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</si>
  <si>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</si>
  <si>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</si>
  <si>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</si>
  <si>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</si>
  <si>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</si>
  <si>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</si>
  <si>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</si>
  <si>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</si>
  <si>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</si>
  <si>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</si>
  <si>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</si>
  <si>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</si>
  <si>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</si>
  <si>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</si>
  <si>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</si>
  <si>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</si>
  <si>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</si>
  <si>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</si>
  <si>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</si>
  <si>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</si>
  <si>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</si>
  <si>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</si>
  <si>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</si>
  <si>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</si>
  <si>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</si>
  <si>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</si>
  <si>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</si>
  <si>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</si>
  <si>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</si>
  <si>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</si>
  <si>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Uzbekistan</t>
  </si>
  <si>
    <t>UZB</t>
  </si>
  <si>
    <t>St. Vincent and the Grenadines</t>
  </si>
  <si>
    <t>VCT</t>
  </si>
  <si>
    <t>Venezuela, RB</t>
  </si>
  <si>
    <t>VEN</t>
  </si>
  <si>
    <t>British Virgin Islands</t>
  </si>
  <si>
    <t>VGB</t>
  </si>
  <si>
    <t>Virgin Islands (U.S.)</t>
  </si>
  <si>
    <t>VIR</t>
  </si>
  <si>
    <t>Viet Nam</t>
  </si>
  <si>
    <t>VNM</t>
  </si>
  <si>
    <t>Vanuatu</t>
  </si>
  <si>
    <t>VUT</t>
  </si>
  <si>
    <t>World</t>
  </si>
  <si>
    <t>WLD</t>
  </si>
  <si>
    <t>Samoa</t>
  </si>
  <si>
    <t>WSM</t>
  </si>
  <si>
    <t>Kosovo</t>
  </si>
  <si>
    <t>XKX</t>
  </si>
  <si>
    <t>Yemen, Rep.</t>
  </si>
  <si>
    <t>YEM</t>
  </si>
  <si>
    <t>South Africa</t>
  </si>
  <si>
    <t>ZAF</t>
  </si>
  <si>
    <t>Zambia</t>
  </si>
  <si>
    <t>ZMB</t>
  </si>
  <si>
    <t>Zimbabwe</t>
  </si>
  <si>
    <t>ZWE</t>
  </si>
  <si>
    <t>PJ/PJ</t>
  </si>
  <si>
    <t>MUSD2021/(PJ/y)</t>
  </si>
  <si>
    <t>PJa</t>
  </si>
  <si>
    <t>MUSD2021/PJ</t>
  </si>
  <si>
    <t>PJ output / PJ  input</t>
  </si>
  <si>
    <t>PJ input/PJ output</t>
  </si>
  <si>
    <t>PJ CommGrp/PJ CommName</t>
  </si>
  <si>
    <t>PJ/PJ output</t>
  </si>
  <si>
    <t>PJ /PJ output</t>
  </si>
  <si>
    <t>PJ output / PJ input</t>
  </si>
  <si>
    <t>Model repository:</t>
  </si>
  <si>
    <t>Licence:</t>
  </si>
  <si>
    <t>CC BY-NC-SA 4.0 (unless specified otherwise)</t>
  </si>
  <si>
    <t>https://creativecommons.org/licenses/by-nc-sa/4.0/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</si>
</sst>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Te\x\t"/>
    <numFmt numFmtId="166" formatCode="0.000000000"/>
    <numFmt numFmtId="167" formatCode="_(* #,##0.0000000000000000_);_(* \(#,##0.0000000000000000\);_(* &quot;-&quot;??_);_(@_)"/>
    <numFmt numFmtId="168" formatCode="_(* #,##0.0000_);_(* \(#,##0.0000\);_(* &quot;-&quot;??_);_(@_)"/>
    <numFmt numFmtId="169" formatCode="_(* #,##0.000_);_(* \(#,##0.000\);_(* &quot;-&quot;??_);_(@_)"/>
    <numFmt numFmtId="170" formatCode="_(* #,##0.00000_);_(* \(#,##0.00000\);_(* &quot;-&quot;??_);_(@_)"/>
    <numFmt numFmtId="171" formatCode="_(* #,##0.000000_);_(* \(#,##0.000000\);_(* &quot;-&quot;??_);_(@_)"/>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12"/>
      <color theme="1"/>
      <name val="Calibri"/>
      <family val="2"/>
      <scheme val="minor"/>
    </font>
    <font>
      <b/>
      <sz val="18"/>
      <color theme="1"/>
      <name val="Calibri"/>
      <family val="2"/>
      <scheme val="minor"/>
    </font>
    <font>
      <b/>
      <u/>
      <sz val="11"/>
      <name val="Calibri"/>
      <family val="2"/>
      <scheme val="minor"/>
    </font>
    <font>
      <sz val="12"/>
      <name val="Calibri"/>
      <family val="2"/>
      <scheme val="minor"/>
    </font>
    <font>
      <sz val="11"/>
      <name val="Calibri"/>
      <family val="2"/>
      <scheme val="minor"/>
    </font>
    <font>
      <b/>
      <sz val="14"/>
      <color theme="0"/>
      <name val="Calibri"/>
      <family val="2"/>
      <scheme val="minor"/>
    </font>
    <font>
      <b/>
      <sz val="11"/>
      <color rgb="FFFF0000"/>
      <name val="Calibri"/>
      <family val="2"/>
      <scheme val="minor"/>
    </font>
    <font>
      <b/>
      <sz val="16"/>
      <color theme="1"/>
      <name val="Calibri"/>
      <family val="2"/>
      <scheme val="minor"/>
    </font>
    <font>
      <b/>
      <sz val="12"/>
      <color theme="0"/>
      <name val="Calibri"/>
      <family val="2"/>
      <scheme val="minor"/>
    </font>
    <font>
      <sz val="10"/>
      <name val="Arial"/>
      <family val="2"/>
    </font>
    <font>
      <b/>
      <sz val="14"/>
      <color theme="1"/>
      <name val="Calibri"/>
      <family val="2"/>
      <scheme val="minor"/>
    </font>
    <font>
      <sz val="11"/>
      <color rgb="FF000000"/>
      <name val="Calibri"/>
      <family val="2"/>
    </font>
    <font>
      <b/>
      <sz val="9"/>
      <color indexed="81"/>
      <name val="Tahoma"/>
      <family val="2"/>
    </font>
    <font>
      <sz val="9"/>
      <color indexed="81"/>
      <name val="Tahoma"/>
      <family val="2"/>
    </font>
    <font>
      <b/>
      <sz val="20"/>
      <color theme="1"/>
      <name val="Calibri"/>
      <family val="2"/>
      <scheme val="minor"/>
    </font>
    <font>
      <b/>
      <sz val="11"/>
      <color indexed="12"/>
      <name val="Calibri"/>
      <family val="2"/>
      <scheme val="minor"/>
    </font>
    <font>
      <sz val="10"/>
      <color theme="1"/>
      <name val="Calibri"/>
      <family val="2"/>
      <scheme val="minor"/>
    </font>
    <font>
      <b/>
      <sz val="11"/>
      <name val="Calibri"/>
      <family val="2"/>
      <scheme val="minor"/>
    </font>
    <font>
      <b/>
      <sz val="11"/>
      <color theme="1"/>
      <name val="Calibri"/>
      <family val="2"/>
      <scheme val="minor"/>
    </font>
    <font>
      <sz val="17"/>
      <color rgb="FF444444"/>
      <name val="Segoe UI"/>
      <family val="2"/>
    </font>
    <font>
      <b/>
      <sz val="12"/>
      <color theme="1"/>
      <name val="Calibri"/>
      <family val="2"/>
      <scheme val="minor"/>
    </font>
    <font>
      <b/>
      <sz val="12"/>
      <color indexed="12"/>
      <name val="Calibri"/>
      <family val="2"/>
      <scheme val="minor"/>
    </font>
    <font>
      <sz val="12"/>
      <color rgb="FFFF0000"/>
      <name val="Calibri"/>
      <family val="2"/>
      <scheme val="minor"/>
    </font>
    <font>
      <i/>
      <sz val="11"/>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7" tint="0.79998168889431442"/>
        <bgColor indexed="64"/>
      </patternFill>
    </fill>
    <fill>
      <patternFill patternType="solid">
        <fgColor rgb="FF8EA9DB"/>
        <bgColor indexed="64"/>
      </patternFill>
    </fill>
    <fill>
      <patternFill patternType="solid">
        <fgColor theme="5" tint="0.39997558519241921"/>
        <bgColor indexed="64"/>
      </patternFill>
    </fill>
    <fill>
      <patternFill patternType="solid">
        <fgColor rgb="FFC6E0B4"/>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4" tint="0.59999389629810485"/>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0"/>
      </top>
      <bottom/>
      <diagonal/>
    </border>
    <border>
      <left/>
      <right/>
      <top style="thin">
        <color indexed="64"/>
      </top>
      <bottom/>
      <diagonal/>
    </border>
    <border>
      <left/>
      <right/>
      <top/>
      <bottom style="thin">
        <color indexed="64"/>
      </bottom>
      <diagonal/>
    </border>
    <border>
      <left/>
      <right/>
      <top style="thin">
        <color theme="0"/>
      </top>
      <bottom style="medium">
        <color theme="0"/>
      </bottom>
      <diagonal/>
    </border>
    <border>
      <left/>
      <right/>
      <top style="medium">
        <color theme="0"/>
      </top>
      <bottom style="thin">
        <color indexed="64"/>
      </bottom>
      <diagonal/>
    </border>
    <border>
      <left/>
      <right/>
      <top style="medium">
        <color theme="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7">
    <xf numFmtId="0" fontId="0" fillId="0" borderId="0"/>
    <xf numFmtId="0" fontId="4"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164"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164" fontId="5" fillId="0" borderId="0" applyFont="0" applyFill="0" applyBorder="0" applyAlignment="0" applyProtection="0"/>
    <xf numFmtId="0" fontId="14" fillId="0" borderId="0"/>
    <xf numFmtId="0" fontId="1" fillId="0" borderId="0"/>
  </cellStyleXfs>
  <cellXfs count="196">
    <xf numFmtId="0" fontId="0" fillId="0" borderId="0" xfId="0"/>
    <xf numFmtId="0" fontId="6" fillId="2" borderId="0" xfId="2" applyFont="1" applyFill="1" applyAlignment="1">
      <alignment vertical="center"/>
    </xf>
    <xf numFmtId="0" fontId="1" fillId="2" borderId="0" xfId="0" applyFont="1" applyFill="1" applyAlignment="1">
      <alignment vertical="center"/>
    </xf>
    <xf numFmtId="0" fontId="1" fillId="0" borderId="0" xfId="3" applyAlignment="1">
      <alignment vertical="center"/>
    </xf>
    <xf numFmtId="0" fontId="7" fillId="2" borderId="0" xfId="4" applyFont="1" applyFill="1" applyAlignment="1">
      <alignment vertical="center"/>
    </xf>
    <xf numFmtId="0" fontId="8" fillId="2" borderId="0" xfId="1" applyFont="1" applyFill="1" applyBorder="1" applyAlignment="1">
      <alignment vertical="center"/>
    </xf>
    <xf numFmtId="0" fontId="9" fillId="2" borderId="0" xfId="1" applyFont="1" applyFill="1" applyBorder="1" applyAlignment="1">
      <alignment vertical="center"/>
    </xf>
    <xf numFmtId="0" fontId="5" fillId="2" borderId="0" xfId="3" applyFont="1" applyFill="1" applyAlignment="1">
      <alignment horizontal="left" vertical="center"/>
    </xf>
    <xf numFmtId="0" fontId="0" fillId="2" borderId="0" xfId="0" applyFill="1" applyAlignment="1">
      <alignment horizontal="left" vertical="center"/>
    </xf>
    <xf numFmtId="0" fontId="7" fillId="2" borderId="0" xfId="5" applyFont="1" applyFill="1" applyAlignment="1">
      <alignment vertical="center"/>
    </xf>
    <xf numFmtId="0" fontId="5" fillId="2" borderId="0" xfId="3" applyFont="1" applyFill="1" applyAlignment="1">
      <alignment vertical="center"/>
    </xf>
    <xf numFmtId="0" fontId="5" fillId="0" borderId="0" xfId="3" applyFont="1" applyAlignment="1">
      <alignment vertical="center"/>
    </xf>
    <xf numFmtId="14" fontId="0" fillId="2" borderId="0" xfId="0" applyNumberFormat="1" applyFill="1" applyAlignment="1">
      <alignment horizontal="left" vertical="center"/>
    </xf>
    <xf numFmtId="14" fontId="0" fillId="0" borderId="0" xfId="0" applyNumberFormat="1" applyAlignment="1">
      <alignment horizontal="left" vertical="center"/>
    </xf>
    <xf numFmtId="0" fontId="0" fillId="0" borderId="0" xfId="0" applyAlignment="1">
      <alignment vertical="center"/>
    </xf>
    <xf numFmtId="0" fontId="10" fillId="3" borderId="1" xfId="6" applyFont="1" applyFill="1" applyBorder="1" applyAlignment="1">
      <alignment vertical="center"/>
    </xf>
    <xf numFmtId="0" fontId="1" fillId="0" borderId="0" xfId="6" applyAlignment="1">
      <alignment vertical="center"/>
    </xf>
    <xf numFmtId="0" fontId="1" fillId="4" borderId="4" xfId="6" applyFill="1" applyBorder="1" applyAlignment="1">
      <alignment vertical="center"/>
    </xf>
    <xf numFmtId="0" fontId="11" fillId="4" borderId="4" xfId="6" applyFont="1" applyFill="1" applyBorder="1" applyAlignment="1">
      <alignment vertical="center"/>
    </xf>
    <xf numFmtId="0" fontId="1" fillId="0" borderId="5" xfId="6" applyBorder="1" applyAlignment="1">
      <alignment vertical="center"/>
    </xf>
    <xf numFmtId="0" fontId="1" fillId="5" borderId="6" xfId="7" applyFill="1" applyBorder="1" applyAlignment="1">
      <alignment vertical="center"/>
    </xf>
    <xf numFmtId="0" fontId="9" fillId="6" borderId="5" xfId="6" applyFont="1" applyFill="1" applyBorder="1" applyAlignment="1">
      <alignment vertical="center"/>
    </xf>
    <xf numFmtId="0" fontId="9" fillId="6" borderId="2" xfId="6" applyFont="1" applyFill="1" applyBorder="1" applyAlignment="1">
      <alignment vertical="center"/>
    </xf>
    <xf numFmtId="0" fontId="9" fillId="6" borderId="3" xfId="6" applyFont="1" applyFill="1" applyBorder="1" applyAlignment="1">
      <alignment vertical="center"/>
    </xf>
    <xf numFmtId="0" fontId="9" fillId="7" borderId="5" xfId="6" applyFont="1" applyFill="1" applyBorder="1" applyAlignment="1">
      <alignment vertical="center"/>
    </xf>
    <xf numFmtId="0" fontId="9" fillId="7" borderId="2" xfId="6" applyFont="1" applyFill="1" applyBorder="1" applyAlignment="1">
      <alignment vertical="center"/>
    </xf>
    <xf numFmtId="0" fontId="0" fillId="7" borderId="0" xfId="7" applyFont="1" applyFill="1" applyAlignment="1">
      <alignment horizontal="left" vertical="center"/>
    </xf>
    <xf numFmtId="0" fontId="1" fillId="7" borderId="0" xfId="6" applyFill="1" applyAlignment="1">
      <alignment vertical="center"/>
    </xf>
    <xf numFmtId="0" fontId="1" fillId="0" borderId="0" xfId="7" applyAlignment="1">
      <alignment vertical="center"/>
    </xf>
    <xf numFmtId="0" fontId="0" fillId="0" borderId="0" xfId="7" applyFont="1" applyAlignment="1">
      <alignment horizontal="left" vertical="center"/>
    </xf>
    <xf numFmtId="0" fontId="12" fillId="0" borderId="0" xfId="0" applyFont="1" applyAlignment="1">
      <alignment vertical="center"/>
    </xf>
    <xf numFmtId="0" fontId="13" fillId="3" borderId="7" xfId="3" applyFont="1" applyFill="1" applyBorder="1" applyAlignment="1">
      <alignment horizontal="left" vertical="center"/>
    </xf>
    <xf numFmtId="0" fontId="1" fillId="8" borderId="5" xfId="7" applyFill="1" applyBorder="1" applyAlignment="1">
      <alignment vertical="center"/>
    </xf>
    <xf numFmtId="0" fontId="1" fillId="8" borderId="1" xfId="7" applyFill="1" applyBorder="1" applyAlignment="1">
      <alignment vertical="center"/>
    </xf>
    <xf numFmtId="0" fontId="1" fillId="8" borderId="2" xfId="7" applyFill="1" applyBorder="1" applyAlignment="1">
      <alignment vertical="center"/>
    </xf>
    <xf numFmtId="0" fontId="1" fillId="8" borderId="3" xfId="7" applyFill="1" applyBorder="1" applyAlignment="1">
      <alignment vertical="center"/>
    </xf>
    <xf numFmtId="0" fontId="1" fillId="0" borderId="5" xfId="8" applyFont="1" applyBorder="1" applyAlignment="1">
      <alignment vertical="center"/>
    </xf>
    <xf numFmtId="0" fontId="1" fillId="0" borderId="1" xfId="8" applyFont="1" applyBorder="1" applyAlignment="1">
      <alignment vertical="center"/>
    </xf>
    <xf numFmtId="0" fontId="1" fillId="0" borderId="2" xfId="8" applyFont="1" applyBorder="1" applyAlignment="1">
      <alignment vertical="center"/>
    </xf>
    <xf numFmtId="0" fontId="1" fillId="0" borderId="3" xfId="8" applyFont="1" applyBorder="1" applyAlignment="1">
      <alignment vertical="center"/>
    </xf>
    <xf numFmtId="0" fontId="1" fillId="0" borderId="0" xfId="8" applyFont="1" applyAlignment="1">
      <alignment vertical="center"/>
    </xf>
    <xf numFmtId="0" fontId="0" fillId="0" borderId="8" xfId="0" applyBorder="1" applyAlignment="1">
      <alignment vertical="center"/>
    </xf>
    <xf numFmtId="2" fontId="1" fillId="4" borderId="8" xfId="6" applyNumberFormat="1" applyFill="1" applyBorder="1" applyAlignment="1">
      <alignment horizontal="left" vertical="center"/>
    </xf>
    <xf numFmtId="0" fontId="1" fillId="0" borderId="8" xfId="3" applyBorder="1" applyAlignment="1">
      <alignment vertical="center"/>
    </xf>
    <xf numFmtId="2" fontId="1" fillId="4" borderId="0" xfId="6" applyNumberFormat="1" applyFill="1" applyAlignment="1">
      <alignment horizontal="left" vertical="center"/>
    </xf>
    <xf numFmtId="0" fontId="0" fillId="0" borderId="9" xfId="0" applyBorder="1" applyAlignment="1">
      <alignment vertical="center"/>
    </xf>
    <xf numFmtId="0" fontId="1" fillId="0" borderId="8" xfId="6" applyBorder="1" applyAlignment="1">
      <alignment vertical="center"/>
    </xf>
    <xf numFmtId="0" fontId="1" fillId="0" borderId="8" xfId="6" applyBorder="1" applyAlignment="1">
      <alignment horizontal="left" vertical="center"/>
    </xf>
    <xf numFmtId="0" fontId="1" fillId="0" borderId="0" xfId="6" applyAlignment="1">
      <alignment horizontal="left" vertical="center"/>
    </xf>
    <xf numFmtId="0" fontId="1" fillId="0" borderId="9" xfId="6" applyBorder="1" applyAlignment="1">
      <alignment vertical="center"/>
    </xf>
    <xf numFmtId="0" fontId="1" fillId="4" borderId="9" xfId="6" applyFill="1" applyBorder="1" applyAlignment="1">
      <alignment horizontal="left" vertical="center"/>
    </xf>
    <xf numFmtId="0" fontId="1" fillId="0" borderId="9" xfId="6" applyBorder="1" applyAlignment="1">
      <alignment horizontal="left" vertical="center"/>
    </xf>
    <xf numFmtId="0" fontId="8" fillId="0" borderId="0" xfId="9" applyFont="1" applyAlignment="1">
      <alignment horizontal="left" vertical="center"/>
    </xf>
    <xf numFmtId="0" fontId="2" fillId="3" borderId="10" xfId="3" applyFont="1" applyFill="1" applyBorder="1" applyAlignment="1">
      <alignment horizontal="left" vertical="center"/>
    </xf>
    <xf numFmtId="0" fontId="5" fillId="2" borderId="11" xfId="3" applyFont="1" applyFill="1" applyBorder="1" applyAlignment="1">
      <alignment vertical="center"/>
    </xf>
    <xf numFmtId="0" fontId="0" fillId="0" borderId="2" xfId="0" applyBorder="1" applyAlignment="1">
      <alignment vertical="center"/>
    </xf>
    <xf numFmtId="0" fontId="15" fillId="0" borderId="0" xfId="0" applyFont="1" applyAlignment="1">
      <alignment horizontal="left" vertical="center"/>
    </xf>
    <xf numFmtId="0" fontId="0" fillId="0" borderId="0" xfId="0" applyAlignment="1">
      <alignment horizontal="left" vertical="center"/>
    </xf>
    <xf numFmtId="0" fontId="0" fillId="0" borderId="0" xfId="3" applyFont="1" applyAlignment="1">
      <alignment vertical="center"/>
    </xf>
    <xf numFmtId="0" fontId="12" fillId="0" borderId="0" xfId="6" applyFont="1" applyAlignment="1">
      <alignment vertical="center"/>
    </xf>
    <xf numFmtId="0" fontId="2" fillId="3" borderId="7" xfId="6" applyFont="1" applyFill="1" applyBorder="1" applyAlignment="1">
      <alignment horizontal="left" vertical="center"/>
    </xf>
    <xf numFmtId="0" fontId="1" fillId="0" borderId="5" xfId="6" applyBorder="1" applyAlignment="1">
      <alignment horizontal="left" vertical="center"/>
    </xf>
    <xf numFmtId="0" fontId="1" fillId="0" borderId="5" xfId="6" applyBorder="1" applyAlignment="1">
      <alignment horizontal="left" vertical="center" wrapText="1"/>
    </xf>
    <xf numFmtId="0" fontId="9" fillId="0" borderId="5" xfId="0" applyFont="1" applyBorder="1" applyAlignment="1">
      <alignment horizontal="left" vertical="center" wrapText="1"/>
    </xf>
    <xf numFmtId="0" fontId="1" fillId="0" borderId="5" xfId="6" applyBorder="1" applyAlignment="1">
      <alignment vertical="center" wrapText="1"/>
    </xf>
    <xf numFmtId="0" fontId="4" fillId="0" borderId="5" xfId="1" applyBorder="1" applyAlignment="1">
      <alignment vertical="center" wrapText="1"/>
    </xf>
    <xf numFmtId="0" fontId="3" fillId="0" borderId="0" xfId="6" quotePrefix="1" applyFont="1" applyAlignment="1">
      <alignment vertical="center"/>
    </xf>
    <xf numFmtId="0" fontId="19" fillId="0" borderId="0" xfId="0" applyFont="1" applyAlignment="1">
      <alignment horizontal="left" vertical="center"/>
    </xf>
    <xf numFmtId="0" fontId="1" fillId="0" borderId="0" xfId="0" applyFont="1" applyAlignment="1">
      <alignment horizontal="left" vertical="center"/>
    </xf>
    <xf numFmtId="0" fontId="20" fillId="0" borderId="0" xfId="9" applyFont="1" applyAlignment="1">
      <alignment horizontal="left" vertical="center" wrapText="1"/>
    </xf>
    <xf numFmtId="165" fontId="1" fillId="0" borderId="0" xfId="0" applyNumberFormat="1" applyFont="1" applyAlignment="1">
      <alignment horizontal="left" vertical="center"/>
    </xf>
    <xf numFmtId="0" fontId="2" fillId="3" borderId="10" xfId="0" applyFont="1" applyFill="1" applyBorder="1" applyAlignment="1">
      <alignment horizontal="left" vertical="center"/>
    </xf>
    <xf numFmtId="0" fontId="21" fillId="9" borderId="9" xfId="0" applyFont="1" applyFill="1" applyBorder="1" applyAlignment="1">
      <alignment horizontal="left" vertical="center" wrapText="1"/>
    </xf>
    <xf numFmtId="0" fontId="21" fillId="9" borderId="11" xfId="0" applyFont="1" applyFill="1" applyBorder="1" applyAlignment="1">
      <alignment horizontal="left" vertical="center" wrapText="1"/>
    </xf>
    <xf numFmtId="0" fontId="21" fillId="9" borderId="11" xfId="0" applyFont="1" applyFill="1" applyBorder="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9" fillId="0" borderId="0" xfId="0" applyFont="1" applyAlignment="1">
      <alignment horizontal="left" vertical="center"/>
    </xf>
    <xf numFmtId="0" fontId="1" fillId="0" borderId="0" xfId="10"/>
    <xf numFmtId="14" fontId="1" fillId="0" borderId="0" xfId="10" applyNumberFormat="1"/>
    <xf numFmtId="11" fontId="1" fillId="0" borderId="0" xfId="10" applyNumberFormat="1"/>
    <xf numFmtId="0" fontId="25" fillId="10" borderId="0" xfId="0" applyFont="1" applyFill="1"/>
    <xf numFmtId="0" fontId="0" fillId="0" borderId="13" xfId="0" applyBorder="1"/>
    <xf numFmtId="0" fontId="0" fillId="0" borderId="8" xfId="0" applyBorder="1"/>
    <xf numFmtId="0" fontId="0" fillId="0" borderId="14" xfId="0" applyBorder="1"/>
    <xf numFmtId="0" fontId="0" fillId="0" borderId="15" xfId="0" applyBorder="1"/>
    <xf numFmtId="164" fontId="0" fillId="0" borderId="16" xfId="11" applyFont="1" applyBorder="1"/>
    <xf numFmtId="166" fontId="0" fillId="0" borderId="0" xfId="0" applyNumberFormat="1"/>
    <xf numFmtId="164" fontId="24" fillId="0" borderId="0" xfId="11" applyFont="1"/>
    <xf numFmtId="164" fontId="0" fillId="0" borderId="0" xfId="11" applyFont="1"/>
    <xf numFmtId="167" fontId="0" fillId="0" borderId="0" xfId="11" applyNumberFormat="1" applyFont="1"/>
    <xf numFmtId="0" fontId="0" fillId="0" borderId="17" xfId="0" applyBorder="1"/>
    <xf numFmtId="0" fontId="0" fillId="0" borderId="9" xfId="0" applyBorder="1"/>
    <xf numFmtId="164" fontId="0" fillId="0" borderId="18" xfId="11" applyFont="1" applyBorder="1"/>
    <xf numFmtId="164" fontId="0" fillId="0" borderId="0" xfId="0" applyNumberFormat="1"/>
    <xf numFmtId="0" fontId="0" fillId="0" borderId="16" xfId="0" applyBorder="1"/>
    <xf numFmtId="168" fontId="0" fillId="0" borderId="16" xfId="11" applyNumberFormat="1" applyFont="1" applyBorder="1"/>
    <xf numFmtId="0" fontId="0" fillId="11" borderId="15" xfId="0" applyFill="1" applyBorder="1"/>
    <xf numFmtId="0" fontId="0" fillId="11" borderId="0" xfId="0" applyFill="1"/>
    <xf numFmtId="168" fontId="0" fillId="11" borderId="16" xfId="11" applyNumberFormat="1" applyFont="1" applyFill="1" applyBorder="1"/>
    <xf numFmtId="168" fontId="0" fillId="0" borderId="18" xfId="11" applyNumberFormat="1" applyFont="1" applyBorder="1"/>
    <xf numFmtId="164" fontId="0" fillId="0" borderId="14" xfId="0" applyNumberFormat="1" applyBorder="1"/>
    <xf numFmtId="164" fontId="0" fillId="0" borderId="16" xfId="0" applyNumberFormat="1" applyBorder="1"/>
    <xf numFmtId="2" fontId="0" fillId="0" borderId="0" xfId="0" applyNumberFormat="1"/>
    <xf numFmtId="0" fontId="0" fillId="0" borderId="18" xfId="0" applyBorder="1"/>
    <xf numFmtId="0" fontId="6" fillId="0" borderId="0" xfId="0" applyFont="1" applyAlignment="1">
      <alignment horizontal="left" vertical="center"/>
    </xf>
    <xf numFmtId="0" fontId="26" fillId="0" borderId="0" xfId="9" applyFont="1" applyAlignment="1">
      <alignment horizontal="left" vertical="center" wrapText="1"/>
    </xf>
    <xf numFmtId="0" fontId="20" fillId="0" borderId="0" xfId="9" applyFont="1" applyAlignment="1">
      <alignment horizontal="left" vertical="center"/>
    </xf>
    <xf numFmtId="0" fontId="13" fillId="3" borderId="10" xfId="3" applyFont="1" applyFill="1" applyBorder="1" applyAlignment="1">
      <alignment horizontal="left" vertical="center"/>
    </xf>
    <xf numFmtId="0" fontId="21" fillId="9" borderId="2" xfId="0" applyFont="1" applyFill="1" applyBorder="1" applyAlignment="1">
      <alignment horizontal="left" vertical="center" wrapText="1"/>
    </xf>
    <xf numFmtId="3" fontId="0" fillId="12" borderId="0" xfId="11" applyNumberFormat="1" applyFont="1" applyFill="1" applyAlignment="1">
      <alignment horizontal="left" vertical="center"/>
    </xf>
    <xf numFmtId="3" fontId="27" fillId="12" borderId="0" xfId="11" applyNumberFormat="1" applyFont="1" applyFill="1" applyAlignment="1">
      <alignment horizontal="left" vertical="center"/>
    </xf>
    <xf numFmtId="164" fontId="8" fillId="12" borderId="0" xfId="11" applyFont="1" applyFill="1" applyAlignment="1">
      <alignment horizontal="left" vertical="center"/>
    </xf>
    <xf numFmtId="0" fontId="0" fillId="12" borderId="0" xfId="0" applyFill="1"/>
    <xf numFmtId="169" fontId="0" fillId="0" borderId="0" xfId="11" applyNumberFormat="1" applyFont="1" applyFill="1"/>
    <xf numFmtId="3" fontId="8" fillId="0" borderId="0" xfId="11" applyNumberFormat="1" applyFont="1" applyFill="1" applyAlignment="1">
      <alignment horizontal="left" vertical="center"/>
    </xf>
    <xf numFmtId="164" fontId="0" fillId="0" borderId="0" xfId="11" applyFont="1" applyBorder="1"/>
    <xf numFmtId="0" fontId="0" fillId="0" borderId="9" xfId="0" applyBorder="1" applyAlignment="1">
      <alignment horizontal="left" vertical="center"/>
    </xf>
    <xf numFmtId="164" fontId="0" fillId="0" borderId="9" xfId="11" applyFont="1" applyBorder="1"/>
    <xf numFmtId="169" fontId="0" fillId="0" borderId="0" xfId="0" applyNumberFormat="1"/>
    <xf numFmtId="0" fontId="8" fillId="0" borderId="0" xfId="0" applyFont="1"/>
    <xf numFmtId="0" fontId="0" fillId="0" borderId="4" xfId="0" applyBorder="1"/>
    <xf numFmtId="0" fontId="25" fillId="2" borderId="17" xfId="0" applyFont="1" applyFill="1" applyBorder="1"/>
    <xf numFmtId="0" fontId="25" fillId="2" borderId="6" xfId="0" applyFont="1" applyFill="1" applyBorder="1"/>
    <xf numFmtId="0" fontId="0" fillId="0" borderId="19" xfId="0" applyBorder="1"/>
    <xf numFmtId="0" fontId="0" fillId="12" borderId="19" xfId="0" applyFill="1" applyBorder="1"/>
    <xf numFmtId="0" fontId="0" fillId="0" borderId="6" xfId="0" applyBorder="1"/>
    <xf numFmtId="0" fontId="0" fillId="12" borderId="6" xfId="0" applyFill="1" applyBorder="1"/>
    <xf numFmtId="0" fontId="22" fillId="9" borderId="2" xfId="0" applyFont="1" applyFill="1" applyBorder="1" applyAlignment="1">
      <alignment horizontal="left" vertical="center"/>
    </xf>
    <xf numFmtId="0" fontId="8" fillId="9" borderId="2" xfId="0" applyFont="1" applyFill="1" applyBorder="1"/>
    <xf numFmtId="0" fontId="9" fillId="9" borderId="2" xfId="0" applyFont="1" applyFill="1" applyBorder="1" applyAlignment="1">
      <alignment horizontal="left" vertical="center"/>
    </xf>
    <xf numFmtId="0" fontId="1" fillId="13" borderId="5" xfId="6" applyFill="1" applyBorder="1" applyAlignment="1">
      <alignment vertical="center"/>
    </xf>
    <xf numFmtId="0" fontId="1" fillId="13" borderId="1" xfId="6" applyFill="1" applyBorder="1" applyAlignment="1">
      <alignment vertical="center"/>
    </xf>
    <xf numFmtId="0" fontId="1" fillId="13" borderId="2" xfId="6" applyFill="1" applyBorder="1" applyAlignment="1">
      <alignment vertical="center"/>
    </xf>
    <xf numFmtId="0" fontId="1" fillId="13" borderId="3" xfId="6" applyFill="1" applyBorder="1" applyAlignment="1">
      <alignment vertical="center"/>
    </xf>
    <xf numFmtId="0" fontId="4" fillId="0" borderId="0" xfId="1"/>
    <xf numFmtId="0" fontId="14" fillId="0" borderId="0" xfId="0" applyFont="1"/>
    <xf numFmtId="0" fontId="14" fillId="0" borderId="0" xfId="0" applyFont="1" applyAlignment="1">
      <alignment horizontal="left" wrapText="1"/>
    </xf>
    <xf numFmtId="2" fontId="14" fillId="0" borderId="0" xfId="0" applyNumberFormat="1" applyFont="1"/>
    <xf numFmtId="0" fontId="0" fillId="0" borderId="0" xfId="0" applyAlignment="1">
      <alignment horizontal="left" wrapText="1"/>
    </xf>
    <xf numFmtId="0" fontId="4" fillId="0" borderId="0" xfId="12"/>
    <xf numFmtId="9" fontId="0" fillId="0" borderId="0" xfId="0" applyNumberFormat="1"/>
    <xf numFmtId="10" fontId="0" fillId="0" borderId="0" xfId="0" applyNumberFormat="1"/>
    <xf numFmtId="164" fontId="0" fillId="0" borderId="14" xfId="11" applyFont="1" applyBorder="1"/>
    <xf numFmtId="0" fontId="4" fillId="0" borderId="0" xfId="1" applyAlignment="1">
      <alignment vertical="center"/>
    </xf>
    <xf numFmtId="0" fontId="0" fillId="0" borderId="0" xfId="0" applyAlignment="1">
      <alignment wrapText="1"/>
    </xf>
    <xf numFmtId="0" fontId="23" fillId="0" borderId="0" xfId="0" applyFont="1"/>
    <xf numFmtId="0" fontId="28" fillId="0" borderId="0" xfId="0" applyFont="1"/>
    <xf numFmtId="9" fontId="0" fillId="0" borderId="0" xfId="11" applyNumberFormat="1" applyFont="1"/>
    <xf numFmtId="9" fontId="0" fillId="0" borderId="0" xfId="13" applyFont="1"/>
    <xf numFmtId="168" fontId="0" fillId="0" borderId="0" xfId="11" applyNumberFormat="1" applyFont="1"/>
    <xf numFmtId="170" fontId="0" fillId="0" borderId="0" xfId="0" applyNumberFormat="1"/>
    <xf numFmtId="0" fontId="0" fillId="14" borderId="0" xfId="0" applyFill="1"/>
    <xf numFmtId="164" fontId="0" fillId="14" borderId="0" xfId="11" applyFont="1" applyFill="1"/>
    <xf numFmtId="164" fontId="0" fillId="14" borderId="0" xfId="0" applyNumberFormat="1" applyFill="1"/>
    <xf numFmtId="164" fontId="0" fillId="0" borderId="0" xfId="11" applyFont="1" applyFill="1"/>
    <xf numFmtId="0" fontId="0" fillId="15" borderId="0" xfId="0" applyFill="1"/>
    <xf numFmtId="164" fontId="0" fillId="15" borderId="0" xfId="11" applyFont="1" applyFill="1"/>
    <xf numFmtId="3" fontId="8" fillId="12" borderId="0" xfId="11" applyNumberFormat="1" applyFont="1" applyFill="1" applyAlignment="1">
      <alignment horizontal="left" vertical="center"/>
    </xf>
    <xf numFmtId="3" fontId="27" fillId="12" borderId="9" xfId="11" applyNumberFormat="1" applyFont="1" applyFill="1" applyBorder="1" applyAlignment="1">
      <alignment horizontal="left" vertical="center"/>
    </xf>
    <xf numFmtId="164" fontId="0" fillId="0" borderId="9" xfId="0" applyNumberFormat="1" applyBorder="1"/>
    <xf numFmtId="164" fontId="8" fillId="0" borderId="0" xfId="11" applyFont="1" applyFill="1" applyAlignment="1">
      <alignment horizontal="left" vertical="center"/>
    </xf>
    <xf numFmtId="164" fontId="8" fillId="0" borderId="9" xfId="11" applyFont="1" applyFill="1" applyBorder="1" applyAlignment="1">
      <alignment horizontal="left" vertical="center"/>
    </xf>
    <xf numFmtId="0" fontId="5" fillId="0" borderId="0" xfId="0" applyFont="1"/>
    <xf numFmtId="168" fontId="0" fillId="0" borderId="14" xfId="11" applyNumberFormat="1" applyFont="1" applyBorder="1"/>
    <xf numFmtId="164" fontId="0" fillId="0" borderId="18" xfId="0" applyNumberFormat="1" applyBorder="1"/>
    <xf numFmtId="164" fontId="3" fillId="12" borderId="18" xfId="11" applyFont="1" applyFill="1" applyBorder="1"/>
    <xf numFmtId="3" fontId="27" fillId="12" borderId="0" xfId="11" applyNumberFormat="1" applyFont="1" applyFill="1" applyBorder="1" applyAlignment="1">
      <alignment horizontal="left" vertical="center"/>
    </xf>
    <xf numFmtId="164" fontId="8" fillId="0" borderId="0" xfId="11" applyFont="1" applyFill="1" applyBorder="1" applyAlignment="1">
      <alignment horizontal="left" vertical="center"/>
    </xf>
    <xf numFmtId="3" fontId="27" fillId="0" borderId="9" xfId="11" applyNumberFormat="1" applyFont="1" applyFill="1" applyBorder="1" applyAlignment="1">
      <alignment horizontal="left" vertical="center"/>
    </xf>
    <xf numFmtId="0" fontId="0" fillId="12" borderId="9" xfId="0" applyFill="1" applyBorder="1"/>
    <xf numFmtId="164" fontId="0" fillId="0" borderId="19" xfId="0" applyNumberFormat="1" applyBorder="1"/>
    <xf numFmtId="164" fontId="0" fillId="0" borderId="6" xfId="0" applyNumberFormat="1" applyBorder="1"/>
    <xf numFmtId="164" fontId="0" fillId="0" borderId="0" xfId="14" applyFont="1"/>
    <xf numFmtId="0" fontId="25" fillId="0" borderId="13" xfId="0" applyFont="1" applyBorder="1"/>
    <xf numFmtId="171" fontId="0" fillId="0" borderId="0" xfId="0" applyNumberFormat="1"/>
    <xf numFmtId="171" fontId="0" fillId="0" borderId="16" xfId="0" applyNumberFormat="1" applyBorder="1"/>
    <xf numFmtId="164" fontId="0" fillId="0" borderId="0" xfId="14" applyFont="1" applyBorder="1"/>
    <xf numFmtId="164" fontId="0" fillId="0" borderId="16" xfId="14" applyFont="1" applyBorder="1"/>
    <xf numFmtId="164" fontId="0" fillId="0" borderId="9" xfId="14" applyFont="1" applyBorder="1"/>
    <xf numFmtId="164" fontId="0" fillId="0" borderId="18" xfId="14" applyFont="1" applyBorder="1"/>
    <xf numFmtId="0" fontId="16" fillId="0" borderId="12" xfId="0" applyFont="1" applyBorder="1" applyAlignment="1">
      <alignment horizontal="center" vertical="center" wrapText="1"/>
    </xf>
    <xf numFmtId="0" fontId="10" fillId="3" borderId="2" xfId="6" applyFont="1" applyFill="1" applyBorder="1" applyAlignment="1">
      <alignment vertical="center"/>
    </xf>
    <xf numFmtId="0" fontId="10" fillId="3" borderId="3" xfId="6" applyFont="1" applyFill="1" applyBorder="1" applyAlignment="1">
      <alignment vertical="center"/>
    </xf>
    <xf numFmtId="0" fontId="1" fillId="0" borderId="1" xfId="6" applyBorder="1" applyAlignment="1">
      <alignment vertical="center"/>
    </xf>
    <xf numFmtId="0" fontId="1" fillId="0" borderId="2" xfId="6" applyBorder="1" applyAlignment="1">
      <alignment vertical="center"/>
    </xf>
    <xf numFmtId="0" fontId="1" fillId="0" borderId="3" xfId="6" applyBorder="1" applyAlignment="1">
      <alignment vertical="center"/>
    </xf>
    <xf numFmtId="0" fontId="0" fillId="5" borderId="1" xfId="7" applyFont="1" applyFill="1" applyBorder="1" applyAlignment="1">
      <alignment vertical="center"/>
    </xf>
    <xf numFmtId="0" fontId="0" fillId="5" borderId="2" xfId="7" applyFont="1" applyFill="1" applyBorder="1" applyAlignment="1">
      <alignment vertical="center"/>
    </xf>
    <xf numFmtId="0" fontId="0" fillId="5" borderId="3" xfId="7" applyFont="1" applyFill="1" applyBorder="1" applyAlignment="1">
      <alignment vertical="center"/>
    </xf>
    <xf numFmtId="2" fontId="0" fillId="2" borderId="0" xfId="0" applyNumberFormat="1" applyFill="1" applyAlignment="1">
      <alignment horizontal="left" vertical="center"/>
    </xf>
    <xf numFmtId="0" fontId="7" fillId="2" borderId="0" xfId="15" applyFont="1" applyFill="1" applyAlignment="1">
      <alignment vertical="center"/>
    </xf>
    <xf numFmtId="0" fontId="1" fillId="0" borderId="0" xfId="16" applyAlignment="1">
      <alignment vertical="center"/>
    </xf>
    <xf numFmtId="0" fontId="9" fillId="2" borderId="0" xfId="15" applyFont="1" applyFill="1" applyAlignment="1">
      <alignment vertical="center"/>
    </xf>
    <xf numFmtId="0" fontId="4" fillId="2" borderId="0" xfId="1" applyFill="1" applyAlignment="1">
      <alignment vertical="center"/>
    </xf>
    <xf numFmtId="0" fontId="21" fillId="2" borderId="0" xfId="15" applyFont="1" applyFill="1" applyAlignment="1">
      <alignment vertical="center"/>
    </xf>
  </cellXfs>
  <cellStyles count="17">
    <cellStyle name="Comma" xfId="11" builtinId="3"/>
    <cellStyle name="Comma 38" xfId="14" xr:uid="{848176AF-BB92-4589-8A7B-3430BAD611B0}"/>
    <cellStyle name="Hyperlink" xfId="1" builtinId="8"/>
    <cellStyle name="Hyperlink 2" xfId="12" xr:uid="{320F3291-0977-4816-9BB3-4D3BE9A174E1}"/>
    <cellStyle name="Normal" xfId="0" builtinId="0"/>
    <cellStyle name="Normal 10 2" xfId="9" xr:uid="{9FFBFE5F-0C3B-4A37-8F22-51E7DA3E3B2F}"/>
    <cellStyle name="Normal 2" xfId="3" xr:uid="{FEC26CBC-D6CC-4B67-BCDE-9988279438F6}"/>
    <cellStyle name="Normal 2 10" xfId="15" xr:uid="{148123F7-E44B-4DD7-A6BA-41B69171E1BB}"/>
    <cellStyle name="Normal 2 2" xfId="8" xr:uid="{8F6B1475-00B5-4305-B0A4-A7A9F71AC617}"/>
    <cellStyle name="Normal 2 3" xfId="16" xr:uid="{1BF069FB-9071-47E7-8861-3643F5F2BB45}"/>
    <cellStyle name="Normal 2 45" xfId="2" xr:uid="{F5777D31-DF73-4B3F-BE10-2A76102BFEE8}"/>
    <cellStyle name="Normal 3 28 2" xfId="7" xr:uid="{78412905-285B-4354-AE12-41CE8B7B2E36}"/>
    <cellStyle name="Normal 5 10" xfId="6" xr:uid="{C17544F8-7BA3-4946-A826-347E0F294346}"/>
    <cellStyle name="Normal 50" xfId="4" xr:uid="{F544F0B4-7437-4417-B4C0-33697A175A83}"/>
    <cellStyle name="Normal 50 7" xfId="5" xr:uid="{52D7F03D-9D92-4617-8C00-760D95B7ECDB}"/>
    <cellStyle name="Normal 69" xfId="10" xr:uid="{E15F3E8A-37D2-4F36-B7CB-925FA4F9DFBE}"/>
    <cellStyle name="Percent" xfId="13" builtinId="5"/>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306261914002840" TargetMode="External"/><Relationship Id="rId13" Type="http://schemas.openxmlformats.org/officeDocument/2006/relationships/hyperlink" Target="https://creativecommons.org/licenses/by-nc-sa/4.0/" TargetMode="External"/><Relationship Id="rId3" Type="http://schemas.openxmlformats.org/officeDocument/2006/relationships/hyperlink" Target="https://www.sciencedirect.com/science/article/pii/S0961953415300209" TargetMode="External"/><Relationship Id="rId7" Type="http://schemas.openxmlformats.org/officeDocument/2006/relationships/hyperlink" Target="https://www.build-a-gasifier.com/PDF/BioSNG-final-report-E4tech-14-06-10.pdf" TargetMode="External"/><Relationship Id="rId12" Type="http://schemas.openxmlformats.org/officeDocument/2006/relationships/hyperlink" Target="https://www.sciencedirect.com/science/article/pii/S1750583615001826" TargetMode="External"/><Relationship Id="rId2" Type="http://schemas.openxmlformats.org/officeDocument/2006/relationships/hyperlink" Target="https://www.sciencedirect.com/science/article/pii/S0961953416300502" TargetMode="External"/><Relationship Id="rId1" Type="http://schemas.openxmlformats.org/officeDocument/2006/relationships/hyperlink" Target="https://data.un.org/" TargetMode="External"/><Relationship Id="rId6" Type="http://schemas.openxmlformats.org/officeDocument/2006/relationships/hyperlink" Target="https://www.engineeringtoolbox.com/fossil-fuels-energy-content-d_1298.html" TargetMode="External"/><Relationship Id="rId11" Type="http://schemas.openxmlformats.org/officeDocument/2006/relationships/hyperlink" Target="https://scijournals.onlinelibrary.wiley.com/doi/10.1002/bbb.254" TargetMode="External"/><Relationship Id="rId5" Type="http://schemas.openxmlformats.org/officeDocument/2006/relationships/hyperlink" Target="https://www.sciencedirect.com/science/article/pii/S0960852416307313" TargetMode="External"/><Relationship Id="rId15" Type="http://schemas.openxmlformats.org/officeDocument/2006/relationships/comments" Target="../comments1.xml"/><Relationship Id="rId10" Type="http://schemas.openxmlformats.org/officeDocument/2006/relationships/hyperlink" Target="https://www.sciencedirect.com/science/article/pii/S0196890416308780" TargetMode="External"/><Relationship Id="rId4" Type="http://schemas.openxmlformats.org/officeDocument/2006/relationships/hyperlink" Target="https://sciencedirect.com/science/article/pii/S0016236110003741" TargetMode="External"/><Relationship Id="rId9" Type="http://schemas.openxmlformats.org/officeDocument/2006/relationships/hyperlink" Target="https://www.nrel.gov/docs/fy11osti/51400.pdf" TargetMode="External"/><Relationship Id="rId1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36"/>
  <sheetViews>
    <sheetView tabSelected="1" workbookViewId="0">
      <selection activeCell="A12" sqref="A12"/>
    </sheetView>
  </sheetViews>
  <sheetFormatPr defaultColWidth="9.28515625" defaultRowHeight="15" x14ac:dyDescent="0.25"/>
  <cols>
    <col min="1" max="1" width="61" style="3" bestFit="1" customWidth="1"/>
    <col min="2" max="2" width="32.28515625" style="3" customWidth="1"/>
    <col min="3" max="3" width="54" style="3" customWidth="1"/>
    <col min="4" max="4" width="48" style="3" bestFit="1" customWidth="1"/>
    <col min="5" max="5" width="22.28515625" style="3" customWidth="1"/>
    <col min="6" max="16384" width="9.28515625" style="3"/>
  </cols>
  <sheetData>
    <row r="1" spans="1:4" ht="23.25" x14ac:dyDescent="0.25">
      <c r="A1" s="1" t="s">
        <v>0</v>
      </c>
      <c r="B1" s="2"/>
      <c r="C1" s="2"/>
    </row>
    <row r="2" spans="1:4" ht="15.75" x14ac:dyDescent="0.25">
      <c r="A2" s="4" t="s">
        <v>1</v>
      </c>
      <c r="B2" s="5" t="s">
        <v>2</v>
      </c>
      <c r="C2" s="6"/>
    </row>
    <row r="3" spans="1:4" ht="15.75" x14ac:dyDescent="0.25">
      <c r="A3" s="4" t="s">
        <v>3</v>
      </c>
      <c r="B3" s="7">
        <v>2019</v>
      </c>
      <c r="C3" s="8"/>
    </row>
    <row r="4" spans="1:4" ht="15.75" x14ac:dyDescent="0.25">
      <c r="A4" s="9" t="s">
        <v>4</v>
      </c>
      <c r="B4" s="10" t="s">
        <v>5</v>
      </c>
      <c r="C4" s="11" t="str">
        <f>A87</f>
        <v>UPS</v>
      </c>
    </row>
    <row r="5" spans="1:4" x14ac:dyDescent="0.25">
      <c r="A5" s="9" t="s">
        <v>6</v>
      </c>
      <c r="B5" s="12" t="s">
        <v>7</v>
      </c>
      <c r="C5" s="12"/>
    </row>
    <row r="6" spans="1:4" x14ac:dyDescent="0.25">
      <c r="A6" s="9" t="s">
        <v>8</v>
      </c>
      <c r="B6" s="190">
        <v>1</v>
      </c>
      <c r="C6" s="12"/>
    </row>
    <row r="7" spans="1:4" x14ac:dyDescent="0.25">
      <c r="A7" s="9" t="s">
        <v>9</v>
      </c>
      <c r="B7" s="13">
        <v>45868</v>
      </c>
      <c r="C7" s="12"/>
    </row>
    <row r="8" spans="1:4" x14ac:dyDescent="0.25">
      <c r="A8" s="4" t="s">
        <v>10</v>
      </c>
      <c r="B8" s="14" t="s">
        <v>11</v>
      </c>
      <c r="C8" s="12"/>
    </row>
    <row r="9" spans="1:4" x14ac:dyDescent="0.25">
      <c r="A9" s="191" t="s">
        <v>1207</v>
      </c>
      <c r="B9" s="144"/>
      <c r="C9" s="12"/>
      <c r="D9" s="192"/>
    </row>
    <row r="10" spans="1:4" x14ac:dyDescent="0.25">
      <c r="A10" s="191" t="s">
        <v>1208</v>
      </c>
      <c r="B10" s="193" t="s">
        <v>1209</v>
      </c>
      <c r="C10" s="193"/>
      <c r="D10" s="193"/>
    </row>
    <row r="11" spans="1:4" ht="14.25" customHeight="1" x14ac:dyDescent="0.25">
      <c r="A11" s="192"/>
      <c r="B11" s="194" t="s">
        <v>1210</v>
      </c>
      <c r="C11" s="195"/>
      <c r="D11" s="195"/>
    </row>
    <row r="13" spans="1:4" s="16" customFormat="1" ht="18.75" x14ac:dyDescent="0.25">
      <c r="A13" s="15" t="s">
        <v>12</v>
      </c>
      <c r="B13" s="182"/>
      <c r="C13" s="182"/>
      <c r="D13" s="183"/>
    </row>
    <row r="14" spans="1:4" s="16" customFormat="1" x14ac:dyDescent="0.25">
      <c r="A14" s="17" t="s">
        <v>13</v>
      </c>
      <c r="B14" s="184" t="s">
        <v>14</v>
      </c>
      <c r="C14" s="185"/>
      <c r="D14" s="186"/>
    </row>
    <row r="15" spans="1:4" s="16" customFormat="1" x14ac:dyDescent="0.25">
      <c r="A15" s="18" t="s">
        <v>13</v>
      </c>
      <c r="B15" s="184" t="s">
        <v>15</v>
      </c>
      <c r="C15" s="185"/>
      <c r="D15" s="186"/>
    </row>
    <row r="16" spans="1:4" s="16" customFormat="1" x14ac:dyDescent="0.25">
      <c r="A16" s="19"/>
      <c r="B16" s="184" t="s">
        <v>16</v>
      </c>
      <c r="C16" s="185"/>
      <c r="D16" s="186"/>
    </row>
    <row r="17" spans="1:4" s="16" customFormat="1" x14ac:dyDescent="0.25"/>
    <row r="18" spans="1:4" s="16" customFormat="1" ht="18.75" x14ac:dyDescent="0.25">
      <c r="A18" s="15" t="s">
        <v>17</v>
      </c>
      <c r="B18" s="182"/>
      <c r="C18" s="182"/>
      <c r="D18" s="183"/>
    </row>
    <row r="19" spans="1:4" s="16" customFormat="1" x14ac:dyDescent="0.25">
      <c r="A19" s="20"/>
      <c r="B19" s="187" t="s">
        <v>18</v>
      </c>
      <c r="C19" s="188"/>
      <c r="D19" s="189"/>
    </row>
    <row r="20" spans="1:4" s="16" customFormat="1" x14ac:dyDescent="0.25">
      <c r="A20" s="21"/>
      <c r="B20" s="22" t="s">
        <v>19</v>
      </c>
      <c r="C20" s="22"/>
      <c r="D20" s="23"/>
    </row>
    <row r="21" spans="1:4" s="16" customFormat="1" x14ac:dyDescent="0.25">
      <c r="A21" s="24"/>
      <c r="B21" s="25" t="s">
        <v>20</v>
      </c>
      <c r="C21" s="26"/>
      <c r="D21" s="27"/>
    </row>
    <row r="22" spans="1:4" s="16" customFormat="1" x14ac:dyDescent="0.25">
      <c r="A22" s="28"/>
      <c r="B22" s="29"/>
      <c r="C22" s="29"/>
    </row>
    <row r="23" spans="1:4" ht="21" x14ac:dyDescent="0.25">
      <c r="A23" s="30" t="s">
        <v>21</v>
      </c>
      <c r="B23" s="14"/>
    </row>
    <row r="24" spans="1:4" ht="15.75" x14ac:dyDescent="0.25">
      <c r="A24" s="31" t="s">
        <v>22</v>
      </c>
      <c r="B24" s="31" t="s">
        <v>23</v>
      </c>
      <c r="C24" s="31"/>
      <c r="D24" s="31"/>
    </row>
    <row r="25" spans="1:4" x14ac:dyDescent="0.25">
      <c r="A25" s="32" t="s">
        <v>24</v>
      </c>
      <c r="B25" s="33" t="s">
        <v>25</v>
      </c>
      <c r="C25" s="34"/>
      <c r="D25" s="35"/>
    </row>
    <row r="26" spans="1:4" x14ac:dyDescent="0.25">
      <c r="A26" s="32" t="s">
        <v>26</v>
      </c>
      <c r="B26" s="33" t="s">
        <v>27</v>
      </c>
      <c r="C26" s="34"/>
      <c r="D26" s="35"/>
    </row>
    <row r="27" spans="1:4" x14ac:dyDescent="0.25">
      <c r="A27" s="32" t="s">
        <v>28</v>
      </c>
      <c r="B27" s="33" t="s">
        <v>29</v>
      </c>
      <c r="C27" s="34"/>
      <c r="D27" s="35"/>
    </row>
    <row r="28" spans="1:4" x14ac:dyDescent="0.25">
      <c r="A28" s="32" t="s">
        <v>30</v>
      </c>
      <c r="B28" s="33" t="s">
        <v>31</v>
      </c>
      <c r="C28" s="34"/>
      <c r="D28" s="35"/>
    </row>
    <row r="29" spans="1:4" x14ac:dyDescent="0.25">
      <c r="A29" s="32" t="s">
        <v>32</v>
      </c>
      <c r="B29" s="33" t="s">
        <v>33</v>
      </c>
      <c r="C29" s="34"/>
      <c r="D29" s="35"/>
    </row>
    <row r="30" spans="1:4" x14ac:dyDescent="0.25">
      <c r="A30" s="131" t="s">
        <v>34</v>
      </c>
      <c r="B30" s="132" t="s">
        <v>35</v>
      </c>
      <c r="C30" s="133"/>
      <c r="D30" s="134"/>
    </row>
    <row r="31" spans="1:4" x14ac:dyDescent="0.25">
      <c r="A31" s="131" t="s">
        <v>36</v>
      </c>
      <c r="B31" s="133" t="s">
        <v>37</v>
      </c>
      <c r="C31" s="133"/>
      <c r="D31" s="134"/>
    </row>
    <row r="32" spans="1:4" x14ac:dyDescent="0.25">
      <c r="A32" s="131" t="s">
        <v>38</v>
      </c>
      <c r="B32" s="133" t="s">
        <v>39</v>
      </c>
      <c r="C32" s="133"/>
      <c r="D32" s="134"/>
    </row>
    <row r="33" spans="1:4" x14ac:dyDescent="0.25">
      <c r="A33" s="21"/>
      <c r="B33" s="22"/>
      <c r="C33" s="22"/>
      <c r="D33" s="23"/>
    </row>
    <row r="34" spans="1:4" x14ac:dyDescent="0.25">
      <c r="A34" s="21"/>
      <c r="B34" s="22"/>
      <c r="C34" s="22"/>
      <c r="D34" s="23"/>
    </row>
    <row r="35" spans="1:4" x14ac:dyDescent="0.25">
      <c r="A35" s="36" t="s">
        <v>40</v>
      </c>
      <c r="B35" s="37" t="s">
        <v>41</v>
      </c>
      <c r="C35" s="38"/>
      <c r="D35" s="39"/>
    </row>
    <row r="36" spans="1:4" x14ac:dyDescent="0.25">
      <c r="A36" s="40"/>
      <c r="B36" s="40"/>
      <c r="C36" s="40"/>
      <c r="D36" s="40"/>
    </row>
    <row r="37" spans="1:4" ht="21" x14ac:dyDescent="0.25">
      <c r="A37" s="30" t="s">
        <v>42</v>
      </c>
      <c r="D37" s="144" t="s">
        <v>43</v>
      </c>
    </row>
    <row r="38" spans="1:4" x14ac:dyDescent="0.25">
      <c r="A38" s="41" t="s">
        <v>44</v>
      </c>
      <c r="B38" s="42">
        <v>4.1868000000000002E-2</v>
      </c>
      <c r="C38" s="43" t="s">
        <v>45</v>
      </c>
    </row>
    <row r="39" spans="1:4" x14ac:dyDescent="0.25">
      <c r="A39" s="14" t="s">
        <v>46</v>
      </c>
      <c r="B39" s="44">
        <v>3.7854118000000001E-3</v>
      </c>
      <c r="C39" s="3" t="s">
        <v>47</v>
      </c>
    </row>
    <row r="40" spans="1:4" x14ac:dyDescent="0.25">
      <c r="A40" s="14" t="s">
        <v>48</v>
      </c>
      <c r="B40" s="44">
        <v>5.8</v>
      </c>
      <c r="C40" s="3" t="s">
        <v>49</v>
      </c>
    </row>
    <row r="41" spans="1:4" x14ac:dyDescent="0.25">
      <c r="A41" s="14" t="s">
        <v>50</v>
      </c>
      <c r="B41" s="44">
        <v>1.0549999999999999</v>
      </c>
      <c r="C41" s="3" t="s">
        <v>51</v>
      </c>
    </row>
    <row r="42" spans="1:4" x14ac:dyDescent="0.25">
      <c r="A42" s="14" t="s">
        <v>52</v>
      </c>
      <c r="B42" s="44">
        <v>35.314700000000002</v>
      </c>
      <c r="C42" s="3" t="s">
        <v>53</v>
      </c>
    </row>
    <row r="43" spans="1:4" x14ac:dyDescent="0.25">
      <c r="A43" s="14" t="s">
        <v>54</v>
      </c>
      <c r="B43" s="44">
        <v>36</v>
      </c>
      <c r="C43" s="3" t="s">
        <v>45</v>
      </c>
    </row>
    <row r="44" spans="1:4" x14ac:dyDescent="0.25">
      <c r="A44" s="14" t="s">
        <v>55</v>
      </c>
      <c r="B44" s="44">
        <v>25</v>
      </c>
      <c r="C44" s="3" t="s">
        <v>45</v>
      </c>
    </row>
    <row r="45" spans="1:4" x14ac:dyDescent="0.25">
      <c r="A45" s="14" t="s">
        <v>56</v>
      </c>
      <c r="B45" s="44">
        <v>10.526315789473685</v>
      </c>
      <c r="C45" s="3" t="s">
        <v>45</v>
      </c>
    </row>
    <row r="46" spans="1:4" x14ac:dyDescent="0.25">
      <c r="A46" s="14" t="s">
        <v>57</v>
      </c>
      <c r="B46" s="44">
        <v>28.8</v>
      </c>
      <c r="C46" s="3" t="s">
        <v>58</v>
      </c>
    </row>
    <row r="47" spans="1:4" x14ac:dyDescent="0.25">
      <c r="A47" s="14" t="s">
        <v>59</v>
      </c>
      <c r="B47" s="44">
        <v>18.3</v>
      </c>
      <c r="C47" s="3" t="s">
        <v>58</v>
      </c>
    </row>
    <row r="48" spans="1:4" x14ac:dyDescent="0.25">
      <c r="A48" s="14" t="s">
        <v>60</v>
      </c>
      <c r="B48" s="44">
        <v>83.24</v>
      </c>
      <c r="C48" s="3" t="s">
        <v>45</v>
      </c>
    </row>
    <row r="49" spans="1:3" x14ac:dyDescent="0.25">
      <c r="A49" s="14" t="s">
        <v>61</v>
      </c>
      <c r="B49" s="44">
        <v>9.2029999999999994</v>
      </c>
      <c r="C49" s="3" t="s">
        <v>62</v>
      </c>
    </row>
    <row r="50" spans="1:3" x14ac:dyDescent="0.25">
      <c r="A50" s="14" t="s">
        <v>63</v>
      </c>
      <c r="B50" s="44">
        <v>26</v>
      </c>
      <c r="C50" s="3" t="s">
        <v>58</v>
      </c>
    </row>
    <row r="51" spans="1:3" x14ac:dyDescent="0.25">
      <c r="A51" s="14" t="s">
        <v>64</v>
      </c>
      <c r="B51" s="44">
        <v>140</v>
      </c>
      <c r="C51" s="3" t="s">
        <v>65</v>
      </c>
    </row>
    <row r="52" spans="1:3" x14ac:dyDescent="0.25">
      <c r="A52" s="14" t="s">
        <v>66</v>
      </c>
      <c r="B52" s="44">
        <v>1194</v>
      </c>
      <c r="C52" s="3" t="s">
        <v>50</v>
      </c>
    </row>
    <row r="53" spans="1:3" x14ac:dyDescent="0.25">
      <c r="A53" s="14" t="s">
        <v>67</v>
      </c>
      <c r="B53" s="44">
        <v>26.7</v>
      </c>
      <c r="C53" s="3" t="s">
        <v>68</v>
      </c>
    </row>
    <row r="54" spans="1:3" x14ac:dyDescent="0.25">
      <c r="A54" s="14" t="s">
        <v>69</v>
      </c>
      <c r="B54" s="44">
        <v>76330</v>
      </c>
      <c r="C54" s="3" t="s">
        <v>70</v>
      </c>
    </row>
    <row r="55" spans="1:3" x14ac:dyDescent="0.25">
      <c r="A55" s="14" t="s">
        <v>71</v>
      </c>
      <c r="B55" s="44">
        <v>25.4</v>
      </c>
      <c r="C55" s="3" t="s">
        <v>72</v>
      </c>
    </row>
    <row r="56" spans="1:3" x14ac:dyDescent="0.25">
      <c r="A56" s="14" t="s">
        <v>73</v>
      </c>
      <c r="B56" s="44">
        <v>37.799999999999997</v>
      </c>
      <c r="C56" s="3" t="s">
        <v>68</v>
      </c>
    </row>
    <row r="57" spans="1:3" x14ac:dyDescent="0.25">
      <c r="A57" s="14" t="s">
        <v>74</v>
      </c>
      <c r="B57" s="44">
        <v>42.8</v>
      </c>
      <c r="C57" s="3" t="s">
        <v>68</v>
      </c>
    </row>
    <row r="58" spans="1:3" x14ac:dyDescent="0.25">
      <c r="A58" s="14" t="s">
        <v>75</v>
      </c>
      <c r="B58" s="44">
        <v>123710</v>
      </c>
      <c r="C58" s="3" t="s">
        <v>50</v>
      </c>
    </row>
    <row r="59" spans="1:3" x14ac:dyDescent="0.25">
      <c r="A59" s="14" t="s">
        <v>76</v>
      </c>
      <c r="B59" s="44">
        <v>780</v>
      </c>
      <c r="C59" s="3" t="s">
        <v>72</v>
      </c>
    </row>
    <row r="60" spans="1:3" x14ac:dyDescent="0.25">
      <c r="A60" s="14" t="s">
        <v>77</v>
      </c>
      <c r="B60" s="44">
        <f>1/B59/B39*B58*B41*10^-3</f>
        <v>44.202774749158102</v>
      </c>
      <c r="C60" s="3" t="s">
        <v>68</v>
      </c>
    </row>
    <row r="61" spans="1:3" x14ac:dyDescent="0.25">
      <c r="A61" s="14" t="s">
        <v>78</v>
      </c>
      <c r="B61" s="44">
        <v>43.2</v>
      </c>
      <c r="C61" s="3" t="s">
        <v>68</v>
      </c>
    </row>
    <row r="62" spans="1:3" x14ac:dyDescent="0.25">
      <c r="A62" s="14" t="s">
        <v>79</v>
      </c>
      <c r="B62" s="44">
        <v>1.2129999999999999E-4</v>
      </c>
      <c r="C62" s="3" t="s">
        <v>80</v>
      </c>
    </row>
    <row r="63" spans="1:3" x14ac:dyDescent="0.25">
      <c r="A63" s="14" t="s">
        <v>81</v>
      </c>
      <c r="B63" s="44">
        <v>30</v>
      </c>
      <c r="C63" s="3" t="s">
        <v>68</v>
      </c>
    </row>
    <row r="64" spans="1:3" x14ac:dyDescent="0.25">
      <c r="A64" s="14" t="s">
        <v>82</v>
      </c>
      <c r="B64" s="44">
        <v>14</v>
      </c>
      <c r="C64" s="3" t="s">
        <v>68</v>
      </c>
    </row>
    <row r="65" spans="1:3" x14ac:dyDescent="0.25">
      <c r="A65" s="14" t="s">
        <v>83</v>
      </c>
      <c r="B65" s="44">
        <v>20</v>
      </c>
      <c r="C65" s="3" t="s">
        <v>68</v>
      </c>
    </row>
    <row r="66" spans="1:3" x14ac:dyDescent="0.25">
      <c r="A66" s="14" t="s">
        <v>84</v>
      </c>
      <c r="B66" s="44">
        <v>8760</v>
      </c>
      <c r="C66" s="3" t="s">
        <v>85</v>
      </c>
    </row>
    <row r="67" spans="1:3" x14ac:dyDescent="0.25">
      <c r="A67" s="45" t="s">
        <v>86</v>
      </c>
      <c r="B67" s="44">
        <v>3.6000000000000003E-3</v>
      </c>
      <c r="C67" s="3" t="s">
        <v>45</v>
      </c>
    </row>
    <row r="68" spans="1:3" x14ac:dyDescent="0.25">
      <c r="A68" s="46" t="s">
        <v>87</v>
      </c>
      <c r="B68" s="42">
        <v>1.1423602200000003</v>
      </c>
      <c r="C68" s="47" t="s">
        <v>88</v>
      </c>
    </row>
    <row r="69" spans="1:3" x14ac:dyDescent="0.25">
      <c r="A69" s="16" t="s">
        <v>89</v>
      </c>
      <c r="B69" s="44">
        <v>1.1198999999999999</v>
      </c>
      <c r="C69" s="48" t="s">
        <v>90</v>
      </c>
    </row>
    <row r="70" spans="1:3" x14ac:dyDescent="0.25">
      <c r="A70" s="16" t="s">
        <v>91</v>
      </c>
      <c r="B70" s="44">
        <v>1.109729</v>
      </c>
      <c r="C70" s="48" t="s">
        <v>92</v>
      </c>
    </row>
    <row r="71" spans="1:3" x14ac:dyDescent="0.25">
      <c r="A71" s="16" t="s">
        <v>93</v>
      </c>
      <c r="B71" s="44">
        <v>0.14705882352941177</v>
      </c>
      <c r="C71" s="48" t="s">
        <v>94</v>
      </c>
    </row>
    <row r="72" spans="1:3" x14ac:dyDescent="0.25">
      <c r="A72" s="16" t="s">
        <v>95</v>
      </c>
      <c r="B72" s="44">
        <v>0.96179999999999999</v>
      </c>
      <c r="C72" s="48" t="s">
        <v>96</v>
      </c>
    </row>
    <row r="73" spans="1:3" x14ac:dyDescent="0.25">
      <c r="A73" s="16" t="s">
        <v>97</v>
      </c>
      <c r="B73" s="44">
        <v>1.0407</v>
      </c>
      <c r="C73" s="48" t="s">
        <v>98</v>
      </c>
    </row>
    <row r="74" spans="1:3" x14ac:dyDescent="0.25">
      <c r="A74" s="16" t="s">
        <v>92</v>
      </c>
      <c r="B74" s="44">
        <v>1.3068708002744269</v>
      </c>
      <c r="C74" s="48" t="s">
        <v>88</v>
      </c>
    </row>
    <row r="75" spans="1:3" x14ac:dyDescent="0.25">
      <c r="A75" s="16" t="s">
        <v>99</v>
      </c>
      <c r="B75" s="44">
        <v>1.2630443699688176</v>
      </c>
      <c r="C75" s="48" t="s">
        <v>88</v>
      </c>
    </row>
    <row r="76" spans="1:3" x14ac:dyDescent="0.25">
      <c r="A76" s="16" t="s">
        <v>96</v>
      </c>
      <c r="B76" s="44">
        <v>1.2426641382583801</v>
      </c>
      <c r="C76" s="48" t="s">
        <v>88</v>
      </c>
    </row>
    <row r="77" spans="1:3" x14ac:dyDescent="0.25">
      <c r="A77" s="16" t="s">
        <v>100</v>
      </c>
      <c r="B77" s="44">
        <v>1.1446064782384293</v>
      </c>
      <c r="C77" s="48" t="s">
        <v>88</v>
      </c>
    </row>
    <row r="78" spans="1:3" x14ac:dyDescent="0.25">
      <c r="A78" s="16" t="s">
        <v>98</v>
      </c>
      <c r="B78" s="44">
        <v>1.1432502731871508</v>
      </c>
      <c r="C78" s="48" t="s">
        <v>88</v>
      </c>
    </row>
    <row r="79" spans="1:3" x14ac:dyDescent="0.25">
      <c r="A79" s="16" t="s">
        <v>94</v>
      </c>
      <c r="B79" s="44">
        <v>1.1054594101178474</v>
      </c>
      <c r="C79" s="48" t="s">
        <v>88</v>
      </c>
    </row>
    <row r="80" spans="1:3" x14ac:dyDescent="0.25">
      <c r="A80" s="16" t="s">
        <v>90</v>
      </c>
      <c r="B80" s="44">
        <v>1.06</v>
      </c>
      <c r="C80" s="48" t="s">
        <v>88</v>
      </c>
    </row>
    <row r="81" spans="1:10" x14ac:dyDescent="0.25">
      <c r="A81" s="16" t="s">
        <v>101</v>
      </c>
      <c r="B81" s="44">
        <v>1.05</v>
      </c>
      <c r="C81" s="48" t="s">
        <v>88</v>
      </c>
    </row>
    <row r="82" spans="1:10" x14ac:dyDescent="0.25">
      <c r="A82" s="16" t="s">
        <v>102</v>
      </c>
      <c r="B82" s="44">
        <v>0.88929551016992059</v>
      </c>
      <c r="C82" s="48" t="s">
        <v>88</v>
      </c>
    </row>
    <row r="83" spans="1:10" x14ac:dyDescent="0.25">
      <c r="A83" s="49" t="s">
        <v>103</v>
      </c>
      <c r="B83" s="50">
        <v>0.12</v>
      </c>
      <c r="C83" s="51" t="s">
        <v>58</v>
      </c>
    </row>
    <row r="84" spans="1:10" ht="15.75" x14ac:dyDescent="0.25">
      <c r="A84" s="14"/>
      <c r="B84" s="52"/>
    </row>
    <row r="85" spans="1:10" ht="21" x14ac:dyDescent="0.25">
      <c r="A85" s="30" t="s">
        <v>104</v>
      </c>
    </row>
    <row r="86" spans="1:10" ht="15.75" thickBot="1" x14ac:dyDescent="0.3">
      <c r="A86" s="53" t="s">
        <v>105</v>
      </c>
      <c r="B86" s="53" t="s">
        <v>23</v>
      </c>
    </row>
    <row r="87" spans="1:10" ht="15.75" x14ac:dyDescent="0.25">
      <c r="A87" s="54" t="s">
        <v>106</v>
      </c>
      <c r="B87" s="54" t="str">
        <f>B4</f>
        <v>Upstream - Biofuel production</v>
      </c>
    </row>
    <row r="88" spans="1:10" s="14" customFormat="1" x14ac:dyDescent="0.25"/>
    <row r="89" spans="1:10" s="14" customFormat="1" ht="21" x14ac:dyDescent="0.25">
      <c r="A89" s="30" t="s">
        <v>107</v>
      </c>
    </row>
    <row r="90" spans="1:10" s="14" customFormat="1" x14ac:dyDescent="0.25">
      <c r="A90" s="55" t="s">
        <v>108</v>
      </c>
      <c r="B90" s="55" t="s">
        <v>109</v>
      </c>
    </row>
    <row r="92" spans="1:10" s="14" customFormat="1" ht="18.75" x14ac:dyDescent="0.25">
      <c r="A92" s="56" t="s">
        <v>110</v>
      </c>
      <c r="B92" s="57"/>
      <c r="C92" s="57"/>
      <c r="D92" s="3"/>
      <c r="H92" s="3"/>
      <c r="I92" s="3"/>
      <c r="J92" s="3"/>
    </row>
    <row r="93" spans="1:10" s="14" customFormat="1" ht="15.75" thickBot="1" x14ac:dyDescent="0.3">
      <c r="A93" s="53" t="s">
        <v>110</v>
      </c>
      <c r="B93" s="53" t="s">
        <v>23</v>
      </c>
      <c r="C93" s="53" t="s">
        <v>111</v>
      </c>
      <c r="D93" s="53"/>
      <c r="H93" s="3"/>
      <c r="I93" s="3"/>
      <c r="J93" s="3"/>
    </row>
    <row r="94" spans="1:10" s="14" customFormat="1" ht="15.75" thickBot="1" x14ac:dyDescent="0.3">
      <c r="A94" s="14" t="s">
        <v>112</v>
      </c>
      <c r="B94" s="14" t="s">
        <v>113</v>
      </c>
      <c r="C94" s="181" t="s">
        <v>114</v>
      </c>
      <c r="D94" s="181"/>
      <c r="H94" s="3"/>
      <c r="I94" s="3"/>
      <c r="J94" s="3"/>
    </row>
    <row r="95" spans="1:10" s="14" customFormat="1" ht="15.75" thickBot="1" x14ac:dyDescent="0.3">
      <c r="A95" s="58" t="s">
        <v>115</v>
      </c>
      <c r="B95" s="58" t="s">
        <v>116</v>
      </c>
      <c r="C95" s="181" t="s">
        <v>117</v>
      </c>
      <c r="D95" s="181"/>
      <c r="H95" s="3"/>
      <c r="I95" s="3"/>
      <c r="J95" s="3"/>
    </row>
    <row r="96" spans="1:10" s="14" customFormat="1" ht="15.75" thickBot="1" x14ac:dyDescent="0.3">
      <c r="A96" s="58" t="s">
        <v>118</v>
      </c>
      <c r="B96" s="58" t="s">
        <v>119</v>
      </c>
      <c r="C96" s="181" t="s">
        <v>120</v>
      </c>
      <c r="D96" s="181"/>
      <c r="H96" s="3"/>
      <c r="I96" s="3"/>
      <c r="J96" s="3"/>
    </row>
    <row r="97" spans="1:10" s="14" customFormat="1" ht="15.75" thickBot="1" x14ac:dyDescent="0.3">
      <c r="A97" s="58" t="s">
        <v>121</v>
      </c>
      <c r="B97" s="58" t="s">
        <v>122</v>
      </c>
      <c r="C97" s="181" t="s">
        <v>123</v>
      </c>
      <c r="D97" s="181"/>
      <c r="H97" s="3"/>
      <c r="I97" s="3"/>
      <c r="J97" s="3"/>
    </row>
    <row r="98" spans="1:10" s="14" customFormat="1" ht="15.75" thickBot="1" x14ac:dyDescent="0.3">
      <c r="A98" s="14" t="s">
        <v>124</v>
      </c>
      <c r="B98" s="14" t="s">
        <v>125</v>
      </c>
      <c r="C98" s="181" t="s">
        <v>126</v>
      </c>
      <c r="D98" s="181"/>
      <c r="H98" s="3"/>
      <c r="I98" s="3"/>
      <c r="J98" s="3"/>
    </row>
    <row r="99" spans="1:10" s="14" customFormat="1" ht="15.75" thickBot="1" x14ac:dyDescent="0.3">
      <c r="A99" s="14" t="s">
        <v>127</v>
      </c>
      <c r="B99" s="14" t="s">
        <v>128</v>
      </c>
      <c r="C99" s="181" t="s">
        <v>129</v>
      </c>
      <c r="D99" s="181"/>
      <c r="H99" s="3"/>
      <c r="I99" s="3"/>
      <c r="J99" s="3"/>
    </row>
    <row r="100" spans="1:10" s="14" customFormat="1" ht="15.75" thickBot="1" x14ac:dyDescent="0.3">
      <c r="A100" s="14" t="s">
        <v>130</v>
      </c>
      <c r="B100" s="14" t="s">
        <v>131</v>
      </c>
      <c r="C100" s="181" t="s">
        <v>132</v>
      </c>
      <c r="D100" s="181"/>
      <c r="H100" s="3"/>
      <c r="I100" s="3"/>
      <c r="J100" s="3"/>
    </row>
    <row r="101" spans="1:10" s="14" customFormat="1" ht="15.75" thickBot="1" x14ac:dyDescent="0.3">
      <c r="A101" s="14" t="s">
        <v>133</v>
      </c>
      <c r="B101" s="14" t="s">
        <v>134</v>
      </c>
      <c r="C101" s="181" t="s">
        <v>135</v>
      </c>
      <c r="D101" s="181"/>
      <c r="H101" s="3"/>
      <c r="I101" s="3"/>
      <c r="J101" s="3"/>
    </row>
    <row r="102" spans="1:10" s="14" customFormat="1" ht="15.75" thickBot="1" x14ac:dyDescent="0.3">
      <c r="A102" s="14" t="s">
        <v>136</v>
      </c>
      <c r="B102" s="14" t="s">
        <v>137</v>
      </c>
      <c r="C102" s="181" t="s">
        <v>137</v>
      </c>
      <c r="D102" s="181"/>
      <c r="H102" s="3"/>
      <c r="I102" s="3"/>
      <c r="J102" s="3"/>
    </row>
    <row r="103" spans="1:10" s="14" customFormat="1" ht="15.75" thickBot="1" x14ac:dyDescent="0.3">
      <c r="A103" s="14" t="s">
        <v>138</v>
      </c>
      <c r="B103" s="14" t="s">
        <v>139</v>
      </c>
      <c r="C103" s="181" t="s">
        <v>139</v>
      </c>
      <c r="D103" s="181"/>
      <c r="H103" s="3"/>
      <c r="I103" s="3"/>
      <c r="J103" s="3"/>
    </row>
    <row r="104" spans="1:10" s="14" customFormat="1" ht="15.75" thickBot="1" x14ac:dyDescent="0.3">
      <c r="A104" s="14" t="s">
        <v>140</v>
      </c>
      <c r="B104" s="14" t="s">
        <v>141</v>
      </c>
      <c r="C104" s="181" t="s">
        <v>141</v>
      </c>
      <c r="D104" s="181"/>
      <c r="H104" s="3"/>
      <c r="I104" s="3"/>
      <c r="J104" s="3"/>
    </row>
    <row r="105" spans="1:10" s="14" customFormat="1" ht="15.75" thickBot="1" x14ac:dyDescent="0.3">
      <c r="A105" s="14" t="s">
        <v>142</v>
      </c>
      <c r="B105" s="14" t="s">
        <v>143</v>
      </c>
      <c r="C105" s="181" t="s">
        <v>144</v>
      </c>
      <c r="D105" s="181"/>
      <c r="H105" s="3"/>
      <c r="I105" s="3"/>
      <c r="J105" s="3"/>
    </row>
    <row r="106" spans="1:10" s="14" customFormat="1" ht="15.75" thickBot="1" x14ac:dyDescent="0.3">
      <c r="A106" s="14" t="s">
        <v>145</v>
      </c>
      <c r="B106" s="14" t="s">
        <v>146</v>
      </c>
      <c r="C106" s="181" t="s">
        <v>147</v>
      </c>
      <c r="D106" s="181"/>
      <c r="H106" s="3"/>
      <c r="I106" s="3"/>
      <c r="J106" s="3"/>
    </row>
    <row r="107" spans="1:10" s="14" customFormat="1" ht="15.75" thickBot="1" x14ac:dyDescent="0.3">
      <c r="A107" s="14" t="s">
        <v>148</v>
      </c>
      <c r="B107" s="14" t="s">
        <v>149</v>
      </c>
      <c r="C107" s="181" t="s">
        <v>150</v>
      </c>
      <c r="D107" s="181"/>
      <c r="H107" s="3"/>
      <c r="I107" s="3"/>
      <c r="J107" s="3"/>
    </row>
    <row r="108" spans="1:10" s="14" customFormat="1" ht="15.75" thickBot="1" x14ac:dyDescent="0.3">
      <c r="A108" s="14" t="s">
        <v>151</v>
      </c>
      <c r="B108" s="14" t="s">
        <v>152</v>
      </c>
      <c r="C108" s="181" t="s">
        <v>153</v>
      </c>
      <c r="D108" s="181"/>
      <c r="H108" s="3"/>
      <c r="I108" s="3"/>
      <c r="J108" s="3"/>
    </row>
    <row r="109" spans="1:10" s="14" customFormat="1" ht="15.75" thickBot="1" x14ac:dyDescent="0.3">
      <c r="A109" s="14" t="s">
        <v>154</v>
      </c>
      <c r="B109" s="14" t="s">
        <v>155</v>
      </c>
      <c r="C109" s="181" t="s">
        <v>156</v>
      </c>
      <c r="D109" s="181"/>
      <c r="H109" s="3"/>
      <c r="I109" s="3"/>
      <c r="J109" s="3"/>
    </row>
    <row r="110" spans="1:10" s="14" customFormat="1" ht="15.75" thickBot="1" x14ac:dyDescent="0.3">
      <c r="A110" s="14" t="s">
        <v>157</v>
      </c>
      <c r="B110" s="14" t="s">
        <v>158</v>
      </c>
      <c r="C110" s="181" t="s">
        <v>159</v>
      </c>
      <c r="D110" s="181"/>
      <c r="H110" s="3"/>
      <c r="I110" s="3"/>
      <c r="J110" s="3"/>
    </row>
    <row r="111" spans="1:10" s="14" customFormat="1" ht="15.75" thickBot="1" x14ac:dyDescent="0.3">
      <c r="A111" s="14" t="s">
        <v>160</v>
      </c>
      <c r="B111" s="14" t="s">
        <v>161</v>
      </c>
      <c r="C111" s="181" t="s">
        <v>162</v>
      </c>
      <c r="D111" s="181"/>
      <c r="H111" s="3"/>
      <c r="I111" s="3"/>
      <c r="J111" s="3"/>
    </row>
    <row r="112" spans="1:10" s="14" customFormat="1" ht="15.75" thickBot="1" x14ac:dyDescent="0.3">
      <c r="A112" s="14" t="s">
        <v>163</v>
      </c>
      <c r="B112" s="14" t="s">
        <v>164</v>
      </c>
      <c r="C112" s="181" t="s">
        <v>164</v>
      </c>
      <c r="D112" s="181"/>
      <c r="H112" s="3"/>
      <c r="I112" s="3"/>
      <c r="J112" s="3"/>
    </row>
    <row r="113" spans="1:10" s="14" customFormat="1" ht="15.75" thickBot="1" x14ac:dyDescent="0.3">
      <c r="A113" s="14" t="s">
        <v>165</v>
      </c>
      <c r="B113" s="14" t="s">
        <v>166</v>
      </c>
      <c r="C113" s="181" t="s">
        <v>166</v>
      </c>
      <c r="D113" s="181"/>
      <c r="H113" s="3"/>
      <c r="I113" s="3"/>
      <c r="J113" s="3"/>
    </row>
    <row r="114" spans="1:10" s="14" customFormat="1" ht="15.75" thickBot="1" x14ac:dyDescent="0.3">
      <c r="A114" s="14" t="s">
        <v>167</v>
      </c>
      <c r="B114" s="14" t="s">
        <v>168</v>
      </c>
      <c r="C114" s="181" t="s">
        <v>169</v>
      </c>
      <c r="D114" s="181"/>
      <c r="H114" s="3"/>
      <c r="I114" s="3"/>
      <c r="J114" s="3"/>
    </row>
    <row r="115" spans="1:10" s="14" customFormat="1" ht="15.75" thickBot="1" x14ac:dyDescent="0.3">
      <c r="A115" s="14" t="s">
        <v>170</v>
      </c>
      <c r="B115" s="14" t="s">
        <v>171</v>
      </c>
      <c r="C115" s="181" t="s">
        <v>172</v>
      </c>
      <c r="D115" s="181"/>
      <c r="H115" s="3"/>
      <c r="I115" s="3"/>
      <c r="J115" s="3"/>
    </row>
    <row r="116" spans="1:10" s="14" customFormat="1" ht="15.75" thickBot="1" x14ac:dyDescent="0.3">
      <c r="A116" s="14" t="s">
        <v>173</v>
      </c>
      <c r="B116" s="14" t="s">
        <v>174</v>
      </c>
      <c r="C116" s="181" t="s">
        <v>175</v>
      </c>
      <c r="D116" s="181"/>
      <c r="H116" s="3"/>
      <c r="I116" s="3"/>
      <c r="J116" s="3"/>
    </row>
    <row r="117" spans="1:10" s="14" customFormat="1" ht="15.75" thickBot="1" x14ac:dyDescent="0.3">
      <c r="A117" s="14" t="s">
        <v>176</v>
      </c>
      <c r="B117" s="14" t="s">
        <v>177</v>
      </c>
      <c r="C117" s="181" t="s">
        <v>177</v>
      </c>
      <c r="D117" s="181"/>
      <c r="H117" s="3"/>
      <c r="I117" s="3"/>
      <c r="J117" s="3"/>
    </row>
    <row r="118" spans="1:10" s="14" customFormat="1" ht="15.75" thickBot="1" x14ac:dyDescent="0.3">
      <c r="A118" s="14" t="s">
        <v>178</v>
      </c>
      <c r="B118" s="14" t="s">
        <v>179</v>
      </c>
      <c r="C118" s="181" t="s">
        <v>179</v>
      </c>
      <c r="D118" s="181"/>
      <c r="H118" s="3"/>
      <c r="I118" s="3"/>
      <c r="J118" s="3"/>
    </row>
    <row r="119" spans="1:10" s="14" customFormat="1" ht="15.75" thickBot="1" x14ac:dyDescent="0.3">
      <c r="A119" s="14" t="s">
        <v>180</v>
      </c>
      <c r="B119" s="14" t="s">
        <v>181</v>
      </c>
      <c r="C119" s="181" t="s">
        <v>182</v>
      </c>
      <c r="D119" s="181"/>
      <c r="H119" s="3"/>
      <c r="I119" s="3"/>
      <c r="J119" s="3"/>
    </row>
    <row r="120" spans="1:10" s="14" customFormat="1" ht="15.75" thickBot="1" x14ac:dyDescent="0.3">
      <c r="A120" s="14" t="s">
        <v>183</v>
      </c>
      <c r="B120" s="14" t="s">
        <v>184</v>
      </c>
      <c r="C120" s="181" t="s">
        <v>185</v>
      </c>
      <c r="D120" s="181"/>
      <c r="H120" s="3"/>
      <c r="I120" s="3"/>
      <c r="J120" s="3"/>
    </row>
    <row r="121" spans="1:10" s="14" customFormat="1" x14ac:dyDescent="0.25">
      <c r="A121" s="14" t="s">
        <v>186</v>
      </c>
      <c r="B121" s="14" t="s">
        <v>187</v>
      </c>
      <c r="C121" s="181" t="s">
        <v>188</v>
      </c>
      <c r="D121" s="181"/>
      <c r="H121" s="3"/>
      <c r="I121" s="3"/>
      <c r="J121" s="3"/>
    </row>
    <row r="122" spans="1:10" s="14" customFormat="1" x14ac:dyDescent="0.25">
      <c r="C122" s="3"/>
      <c r="H122" s="3"/>
      <c r="I122" s="3"/>
      <c r="J122" s="3"/>
    </row>
    <row r="123" spans="1:10" s="14" customFormat="1" x14ac:dyDescent="0.25">
      <c r="C123" s="3"/>
      <c r="H123" s="3"/>
      <c r="I123" s="3"/>
      <c r="J123" s="3"/>
    </row>
    <row r="124" spans="1:10" s="16" customFormat="1" ht="21" x14ac:dyDescent="0.25">
      <c r="A124" s="59" t="s">
        <v>189</v>
      </c>
    </row>
    <row r="125" spans="1:10" s="16" customFormat="1" x14ac:dyDescent="0.25">
      <c r="A125" s="60" t="s">
        <v>190</v>
      </c>
      <c r="B125" s="60" t="s">
        <v>191</v>
      </c>
      <c r="C125" s="60" t="s">
        <v>192</v>
      </c>
      <c r="D125" s="60" t="s">
        <v>193</v>
      </c>
      <c r="E125" s="60" t="s">
        <v>194</v>
      </c>
    </row>
    <row r="126" spans="1:10" s="16" customFormat="1" x14ac:dyDescent="0.25">
      <c r="A126" s="61" t="s">
        <v>195</v>
      </c>
      <c r="B126" s="62" t="s">
        <v>196</v>
      </c>
      <c r="C126" s="63" t="s">
        <v>197</v>
      </c>
      <c r="D126" s="64" t="s">
        <v>198</v>
      </c>
      <c r="E126" s="65" t="s">
        <v>199</v>
      </c>
      <c r="F126" s="66"/>
    </row>
    <row r="127" spans="1:10" s="16" customFormat="1" ht="60" x14ac:dyDescent="0.25">
      <c r="A127" s="61" t="s">
        <v>200</v>
      </c>
      <c r="B127" s="62" t="s">
        <v>201</v>
      </c>
      <c r="C127" s="63" t="s">
        <v>202</v>
      </c>
      <c r="D127" s="64" t="s">
        <v>198</v>
      </c>
      <c r="E127" s="65" t="s">
        <v>203</v>
      </c>
      <c r="F127" s="66"/>
    </row>
    <row r="128" spans="1:10" s="16" customFormat="1" ht="60" x14ac:dyDescent="0.25">
      <c r="A128" s="61" t="s">
        <v>200</v>
      </c>
      <c r="B128" s="62" t="s">
        <v>204</v>
      </c>
      <c r="C128" s="63" t="s">
        <v>205</v>
      </c>
      <c r="D128" s="64" t="s">
        <v>198</v>
      </c>
      <c r="E128" s="65" t="s">
        <v>206</v>
      </c>
      <c r="F128" s="66"/>
    </row>
    <row r="129" spans="1:6" s="16" customFormat="1" ht="45" x14ac:dyDescent="0.25">
      <c r="A129" s="61" t="s">
        <v>207</v>
      </c>
      <c r="B129" s="62" t="s">
        <v>208</v>
      </c>
      <c r="C129" s="63" t="s">
        <v>209</v>
      </c>
      <c r="D129" s="64" t="s">
        <v>198</v>
      </c>
      <c r="E129" s="65" t="s">
        <v>210</v>
      </c>
      <c r="F129" s="66"/>
    </row>
    <row r="130" spans="1:6" s="16" customFormat="1" ht="60" x14ac:dyDescent="0.25">
      <c r="A130" s="61" t="s">
        <v>211</v>
      </c>
      <c r="B130" s="62" t="s">
        <v>212</v>
      </c>
      <c r="C130" s="63" t="s">
        <v>213</v>
      </c>
      <c r="D130" s="64" t="s">
        <v>198</v>
      </c>
      <c r="E130" s="65" t="s">
        <v>214</v>
      </c>
      <c r="F130" s="66"/>
    </row>
    <row r="131" spans="1:6" s="16" customFormat="1" ht="60" x14ac:dyDescent="0.25">
      <c r="A131" s="61" t="s">
        <v>215</v>
      </c>
      <c r="B131" s="62" t="s">
        <v>216</v>
      </c>
      <c r="C131" s="63" t="s">
        <v>217</v>
      </c>
      <c r="D131" s="64" t="s">
        <v>198</v>
      </c>
      <c r="E131" s="65" t="s">
        <v>218</v>
      </c>
      <c r="F131" s="66"/>
    </row>
    <row r="132" spans="1:6" s="16" customFormat="1" ht="60" x14ac:dyDescent="0.25">
      <c r="A132" s="61" t="s">
        <v>215</v>
      </c>
      <c r="B132" s="62" t="s">
        <v>219</v>
      </c>
      <c r="C132" s="63" t="s">
        <v>220</v>
      </c>
      <c r="D132" s="64" t="s">
        <v>198</v>
      </c>
      <c r="E132" s="65" t="s">
        <v>221</v>
      </c>
      <c r="F132" s="66"/>
    </row>
    <row r="133" spans="1:6" s="16" customFormat="1" ht="60" x14ac:dyDescent="0.25">
      <c r="A133" s="61" t="s">
        <v>222</v>
      </c>
      <c r="B133" s="62" t="s">
        <v>223</v>
      </c>
      <c r="C133" s="63" t="s">
        <v>224</v>
      </c>
      <c r="D133" s="64" t="s">
        <v>198</v>
      </c>
      <c r="E133" s="65" t="s">
        <v>225</v>
      </c>
      <c r="F133" s="66"/>
    </row>
    <row r="134" spans="1:6" s="16" customFormat="1" ht="45" x14ac:dyDescent="0.25">
      <c r="A134" s="61" t="s">
        <v>226</v>
      </c>
      <c r="B134" s="62" t="s">
        <v>227</v>
      </c>
      <c r="C134" s="63" t="s">
        <v>228</v>
      </c>
      <c r="D134" s="64" t="s">
        <v>198</v>
      </c>
      <c r="E134" s="65" t="s">
        <v>229</v>
      </c>
      <c r="F134" s="66"/>
    </row>
    <row r="135" spans="1:6" s="16" customFormat="1" ht="45" x14ac:dyDescent="0.25">
      <c r="A135" s="61" t="s">
        <v>230</v>
      </c>
      <c r="B135" s="62" t="s">
        <v>231</v>
      </c>
      <c r="C135" s="63" t="s">
        <v>232</v>
      </c>
      <c r="D135" s="64" t="s">
        <v>198</v>
      </c>
      <c r="E135" s="65" t="s">
        <v>233</v>
      </c>
      <c r="F135" s="66"/>
    </row>
    <row r="136" spans="1:6" s="16" customFormat="1" ht="75" x14ac:dyDescent="0.25">
      <c r="A136" s="61" t="s">
        <v>234</v>
      </c>
      <c r="B136" s="62" t="s">
        <v>235</v>
      </c>
      <c r="C136" s="63" t="s">
        <v>236</v>
      </c>
      <c r="D136" s="64" t="s">
        <v>198</v>
      </c>
      <c r="E136" s="65" t="s">
        <v>237</v>
      </c>
      <c r="F136" s="66"/>
    </row>
  </sheetData>
  <mergeCells count="35">
    <mergeCell ref="B10:D10"/>
    <mergeCell ref="C118:D118"/>
    <mergeCell ref="C119:D119"/>
    <mergeCell ref="C120:D120"/>
    <mergeCell ref="C121:D121"/>
    <mergeCell ref="C112:D112"/>
    <mergeCell ref="C113:D113"/>
    <mergeCell ref="C114:D114"/>
    <mergeCell ref="C115:D115"/>
    <mergeCell ref="C116:D116"/>
    <mergeCell ref="C117:D117"/>
    <mergeCell ref="C111:D111"/>
    <mergeCell ref="C100:D100"/>
    <mergeCell ref="C101:D101"/>
    <mergeCell ref="C102:D102"/>
    <mergeCell ref="C103:D103"/>
    <mergeCell ref="C104:D104"/>
    <mergeCell ref="C105:D105"/>
    <mergeCell ref="C106:D106"/>
    <mergeCell ref="C107:D107"/>
    <mergeCell ref="C108:D108"/>
    <mergeCell ref="C109:D109"/>
    <mergeCell ref="C110:D110"/>
    <mergeCell ref="C99:D99"/>
    <mergeCell ref="B13:D13"/>
    <mergeCell ref="B14:D14"/>
    <mergeCell ref="B15:D15"/>
    <mergeCell ref="B16:D16"/>
    <mergeCell ref="B18:D18"/>
    <mergeCell ref="B19:D19"/>
    <mergeCell ref="C94:D94"/>
    <mergeCell ref="C95:D95"/>
    <mergeCell ref="C96:D96"/>
    <mergeCell ref="C97:D97"/>
    <mergeCell ref="C98:D98"/>
  </mergeCells>
  <hyperlinks>
    <hyperlink ref="E126" r:id="rId1" xr:uid="{08C17E1B-BB50-4626-ADD5-EDE51597D8B8}"/>
    <hyperlink ref="E127" r:id="rId2" xr:uid="{B1AF867E-2EEC-44A0-8FE2-3F4D393F75BF}"/>
    <hyperlink ref="E128" r:id="rId3" xr:uid="{42049D8B-EEFD-48F4-A1F3-E63C3A71CFFF}"/>
    <hyperlink ref="E129" r:id="rId4" xr:uid="{712739D7-44AB-4C1D-9E28-FE5C036F3E4F}"/>
    <hyperlink ref="E130" r:id="rId5" xr:uid="{96D705AE-304B-45BF-A3E1-F47CE0D776B7}"/>
    <hyperlink ref="D37" r:id="rId6" xr:uid="{A52E3D2B-E67E-47A8-9A0C-91C99732DA1D}"/>
    <hyperlink ref="E132" r:id="rId7" xr:uid="{663E31BC-43CE-4C82-80FE-559BDAC23591}"/>
    <hyperlink ref="E133" r:id="rId8" xr:uid="{F18BDF9D-3A16-4235-8050-A860D033A5C6}"/>
    <hyperlink ref="E134" r:id="rId9" xr:uid="{5325DCFC-C1CB-4DDA-8368-630E46CDFABA}"/>
    <hyperlink ref="E131" r:id="rId10" location="s0135" xr:uid="{F179FAEA-A1B2-4672-A5B2-34EED5BAD253}"/>
    <hyperlink ref="E135" r:id="rId11" xr:uid="{C048785A-F8AD-46B4-9AAC-2C4378552E38}"/>
    <hyperlink ref="E136" r:id="rId12" xr:uid="{E0706072-9757-4D4D-B0EC-3D5C2E567E57}"/>
    <hyperlink ref="B11" r:id="rId13" xr:uid="{EE2CD260-B519-4A69-9144-427CF00B5B0E}"/>
  </hyperlinks>
  <pageMargins left="0.7" right="0.7" top="0.75" bottom="0.75" header="0.3" footer="0.3"/>
  <legacy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801E6-0120-429B-B8B5-AB4B1FD200DD}">
  <sheetPr>
    <tabColor theme="8" tint="0.39997558519241921"/>
  </sheetPr>
  <dimension ref="A1:C95"/>
  <sheetViews>
    <sheetView workbookViewId="0">
      <selection activeCell="A17" sqref="A17:XFD17"/>
    </sheetView>
  </sheetViews>
  <sheetFormatPr defaultRowHeight="15" x14ac:dyDescent="0.25"/>
  <cols>
    <col min="1" max="1" width="72.28515625" bestFit="1" customWidth="1"/>
    <col min="2" max="2" width="25.85546875" bestFit="1" customWidth="1"/>
    <col min="3" max="3" width="65.85546875" bestFit="1" customWidth="1"/>
  </cols>
  <sheetData>
    <row r="1" spans="1:3" ht="15.75" x14ac:dyDescent="0.25">
      <c r="A1" s="81" t="s">
        <v>405</v>
      </c>
    </row>
    <row r="2" spans="1:3" x14ac:dyDescent="0.25">
      <c r="A2" t="s">
        <v>406</v>
      </c>
      <c r="C2" s="135"/>
    </row>
    <row r="4" spans="1:3" ht="15.75" x14ac:dyDescent="0.25">
      <c r="A4" s="81" t="s">
        <v>407</v>
      </c>
    </row>
    <row r="6" spans="1:3" x14ac:dyDescent="0.25">
      <c r="A6" s="82" t="s">
        <v>373</v>
      </c>
      <c r="B6" s="83" t="s">
        <v>348</v>
      </c>
      <c r="C6" s="143">
        <f>'Shahrukh(2016)_Pellet'!$C$2</f>
        <v>30</v>
      </c>
    </row>
    <row r="7" spans="1:3" x14ac:dyDescent="0.25">
      <c r="A7" s="85" t="s">
        <v>398</v>
      </c>
      <c r="B7" t="s">
        <v>408</v>
      </c>
      <c r="C7" s="86">
        <f>'Shahrukh(2016)_Pellet'!$C$4*Legend!B65</f>
        <v>10.8</v>
      </c>
    </row>
    <row r="8" spans="1:3" x14ac:dyDescent="0.25">
      <c r="A8" s="85" t="s">
        <v>409</v>
      </c>
      <c r="B8" t="s">
        <v>410</v>
      </c>
      <c r="C8" s="86">
        <f>'Shahrukh(2016)_Pellet'!C13</f>
        <v>0.81111111111111112</v>
      </c>
    </row>
    <row r="9" spans="1:3" x14ac:dyDescent="0.25">
      <c r="A9" s="85" t="s">
        <v>411</v>
      </c>
      <c r="B9" t="s">
        <v>412</v>
      </c>
      <c r="C9" s="86">
        <f>'Shahrukh(2016)_Pellet'!$C$10*10^-6*Legend!$B$78</f>
        <v>1.3719003278245809E-2</v>
      </c>
    </row>
    <row r="10" spans="1:3" x14ac:dyDescent="0.25">
      <c r="A10" s="85" t="s">
        <v>390</v>
      </c>
      <c r="B10" t="s">
        <v>412</v>
      </c>
      <c r="C10" s="86">
        <f>'Shahrukh(2016)_Pellet'!$C$11*'Shahrukh(2016)_Pellet'!$C$10*10^-3*Legend!$B$78</f>
        <v>0.34297508195614523</v>
      </c>
    </row>
    <row r="11" spans="1:3" x14ac:dyDescent="0.25">
      <c r="A11" s="85" t="s">
        <v>413</v>
      </c>
      <c r="B11" t="s">
        <v>414</v>
      </c>
      <c r="C11" s="86"/>
    </row>
    <row r="12" spans="1:3" x14ac:dyDescent="0.25">
      <c r="A12" s="91" t="s">
        <v>415</v>
      </c>
      <c r="B12" s="92" t="s">
        <v>416</v>
      </c>
      <c r="C12" s="93">
        <f>'Shahrukh(2016)_Pellet'!$C$7</f>
        <v>0.83713850837138504</v>
      </c>
    </row>
    <row r="14" spans="1:3" ht="15.75" x14ac:dyDescent="0.25">
      <c r="A14" s="81" t="s">
        <v>417</v>
      </c>
    </row>
    <row r="15" spans="1:3" x14ac:dyDescent="0.25">
      <c r="A15" s="136"/>
      <c r="B15" s="103"/>
      <c r="C15" s="135"/>
    </row>
    <row r="16" spans="1:3" x14ac:dyDescent="0.25">
      <c r="A16" s="82" t="s">
        <v>373</v>
      </c>
      <c r="B16" s="83" t="s">
        <v>348</v>
      </c>
      <c r="C16" s="143">
        <f>'Diederichs (2016) Biojet'!$C$4</f>
        <v>20</v>
      </c>
    </row>
    <row r="17" spans="1:3" x14ac:dyDescent="0.25">
      <c r="A17" s="85" t="s">
        <v>398</v>
      </c>
      <c r="B17" t="s">
        <v>408</v>
      </c>
      <c r="C17" s="86">
        <f>('Diederichs (2016) Biojet'!$C$15*Legend!$B$57+'Diederichs (2016) Biojet'!$C$16*Legend!$B$61)*365*24/('Diederichs (2016) Biojet'!$C$6*24*365)</f>
        <v>5.6837699024139701</v>
      </c>
    </row>
    <row r="18" spans="1:3" x14ac:dyDescent="0.25">
      <c r="A18" s="85" t="s">
        <v>267</v>
      </c>
      <c r="B18" t="s">
        <v>418</v>
      </c>
      <c r="C18" s="86">
        <f>('Diederichs (2016) Biojet'!$C$15*Legend!$B$57)/('Diederichs (2016) Biojet'!$C$15*Legend!$B$57+'Diederichs (2016) Biojet'!$C$16*Legend!$B$61)</f>
        <v>0.76675130802526592</v>
      </c>
    </row>
    <row r="19" spans="1:3" x14ac:dyDescent="0.25">
      <c r="A19" s="85" t="s">
        <v>419</v>
      </c>
      <c r="B19" t="s">
        <v>418</v>
      </c>
      <c r="C19" s="86">
        <f>1-C18</f>
        <v>0.23324869197473408</v>
      </c>
    </row>
    <row r="20" spans="1:3" x14ac:dyDescent="0.25">
      <c r="A20" s="85" t="s">
        <v>377</v>
      </c>
      <c r="B20" t="s">
        <v>410</v>
      </c>
      <c r="C20" s="86"/>
    </row>
    <row r="21" spans="1:3" x14ac:dyDescent="0.25">
      <c r="A21" s="85" t="s">
        <v>411</v>
      </c>
      <c r="B21" t="s">
        <v>412</v>
      </c>
      <c r="C21" s="86">
        <f>'Diederichs (2016) Biojet'!$C$19/(('Diederichs (2016) Biojet'!$C$15*Legend!$B$57+'Diederichs (2016) Biojet'!$C$16*Legend!$B$61)*365*24*10^-3)</f>
        <v>0.16089718602246147</v>
      </c>
    </row>
    <row r="22" spans="1:3" x14ac:dyDescent="0.25">
      <c r="A22" s="85" t="s">
        <v>390</v>
      </c>
      <c r="B22" t="s">
        <v>412</v>
      </c>
      <c r="C22" s="86">
        <f>'Diederichs (2016) Biojet'!$C$20/(('Diederichs (2016) Biojet'!$C$15*Legend!$B$57+'Diederichs (2016) Biojet'!$C$16*Legend!$B$61)*365*24*10^-3)</f>
        <v>7.182219315155558E-3</v>
      </c>
    </row>
    <row r="23" spans="1:3" x14ac:dyDescent="0.25">
      <c r="A23" s="85" t="s">
        <v>413</v>
      </c>
      <c r="B23" t="s">
        <v>414</v>
      </c>
      <c r="C23" s="86"/>
    </row>
    <row r="24" spans="1:3" x14ac:dyDescent="0.25">
      <c r="A24" s="91" t="s">
        <v>415</v>
      </c>
      <c r="B24" s="92" t="s">
        <v>416</v>
      </c>
      <c r="C24" s="93">
        <f>8000/8760</f>
        <v>0.91324200913242004</v>
      </c>
    </row>
    <row r="26" spans="1:3" ht="15.75" x14ac:dyDescent="0.25">
      <c r="A26" s="81" t="s">
        <v>420</v>
      </c>
    </row>
    <row r="27" spans="1:3" x14ac:dyDescent="0.25">
      <c r="A27" s="137"/>
      <c r="B27" s="103"/>
      <c r="C27" s="135"/>
    </row>
    <row r="28" spans="1:3" x14ac:dyDescent="0.25">
      <c r="A28" s="82" t="s">
        <v>373</v>
      </c>
      <c r="B28" s="83" t="s">
        <v>348</v>
      </c>
      <c r="C28" s="143">
        <f>'NREL(2011)_Ethanol'!C2</f>
        <v>30</v>
      </c>
    </row>
    <row r="29" spans="1:3" x14ac:dyDescent="0.25">
      <c r="A29" s="85" t="s">
        <v>398</v>
      </c>
      <c r="B29" t="s">
        <v>408</v>
      </c>
      <c r="C29" s="86">
        <f>'NREL(2011)_Ethanol'!C8/'NREL(2011)_Ethanol'!C5</f>
        <v>18.269644494649224</v>
      </c>
    </row>
    <row r="30" spans="1:3" x14ac:dyDescent="0.25">
      <c r="A30" s="85" t="s">
        <v>377</v>
      </c>
      <c r="B30" t="s">
        <v>410</v>
      </c>
      <c r="C30" s="86">
        <f>('NREL(2011)_Ethanol'!C12+'NREL(2011)_Ethanol'!C14)/'NREL(2011)_Ethanol'!C10</f>
        <v>0.50951047056215748</v>
      </c>
    </row>
    <row r="31" spans="1:3" x14ac:dyDescent="0.25">
      <c r="A31" s="85" t="s">
        <v>379</v>
      </c>
      <c r="B31" t="s">
        <v>361</v>
      </c>
      <c r="C31" s="86">
        <f>'NREL(2011)_Ethanol'!C12/SUM('NREL(2011)_Ethanol'!C12,'NREL(2011)_Ethanol'!C14)</f>
        <v>0.73351321565320715</v>
      </c>
    </row>
    <row r="32" spans="1:3" x14ac:dyDescent="0.25">
      <c r="A32" s="85" t="s">
        <v>421</v>
      </c>
      <c r="B32" t="s">
        <v>361</v>
      </c>
      <c r="C32" s="86">
        <f>1-C31</f>
        <v>0.26648678434679285</v>
      </c>
    </row>
    <row r="33" spans="1:3" x14ac:dyDescent="0.25">
      <c r="A33" s="85" t="s">
        <v>411</v>
      </c>
      <c r="B33" t="s">
        <v>412</v>
      </c>
      <c r="C33" s="86">
        <f>'NREL(2011)_Ethanol'!C16*Legend!$B$74</f>
        <v>5.0546921856732402E-2</v>
      </c>
    </row>
    <row r="34" spans="1:3" x14ac:dyDescent="0.25">
      <c r="A34" s="85" t="s">
        <v>390</v>
      </c>
      <c r="B34" t="s">
        <v>412</v>
      </c>
      <c r="C34" s="86">
        <f>'NREL(2011)_Ethanol'!C18*Legend!$B$74</f>
        <v>2.2772767989114083E-3</v>
      </c>
    </row>
    <row r="35" spans="1:3" x14ac:dyDescent="0.25">
      <c r="A35" s="85" t="s">
        <v>413</v>
      </c>
      <c r="B35" t="s">
        <v>414</v>
      </c>
      <c r="C35" s="86">
        <f>'NREL(2011)_Ethanol'!C20*Legend!$B$74</f>
        <v>7.4305196584682927E-4</v>
      </c>
    </row>
    <row r="36" spans="1:3" x14ac:dyDescent="0.25">
      <c r="A36" s="91" t="s">
        <v>415</v>
      </c>
      <c r="B36" s="92" t="s">
        <v>416</v>
      </c>
      <c r="C36" s="93">
        <f>'NREL(2011)_Ethanol'!C3</f>
        <v>0.96004566210045661</v>
      </c>
    </row>
    <row r="37" spans="1:3" ht="18.75" customHeight="1" x14ac:dyDescent="0.25">
      <c r="A37" s="137"/>
      <c r="B37" s="138"/>
      <c r="C37" s="135"/>
    </row>
    <row r="38" spans="1:3" ht="15.75" x14ac:dyDescent="0.25">
      <c r="A38" s="81" t="s">
        <v>422</v>
      </c>
    </row>
    <row r="39" spans="1:3" x14ac:dyDescent="0.25">
      <c r="A39" s="139"/>
      <c r="B39" s="103"/>
      <c r="C39" s="140"/>
    </row>
    <row r="40" spans="1:3" x14ac:dyDescent="0.25">
      <c r="A40" s="82" t="s">
        <v>373</v>
      </c>
      <c r="B40" s="83" t="s">
        <v>348</v>
      </c>
      <c r="C40" s="143">
        <f>'Moret(2017)_Syngas'!$D$3</f>
        <v>25</v>
      </c>
    </row>
    <row r="41" spans="1:3" x14ac:dyDescent="0.25">
      <c r="A41" s="85" t="s">
        <v>398</v>
      </c>
      <c r="B41" t="s">
        <v>423</v>
      </c>
      <c r="C41" s="86">
        <f>'Moret(2017)_Syngas'!$D$10/('Moret(2017)_Syngas'!$D$4*24*365*10^-3)</f>
        <v>16.541176470588237</v>
      </c>
    </row>
    <row r="42" spans="1:3" x14ac:dyDescent="0.25">
      <c r="A42" s="85" t="s">
        <v>377</v>
      </c>
      <c r="B42" t="s">
        <v>410</v>
      </c>
      <c r="C42" s="86"/>
    </row>
    <row r="43" spans="1:3" x14ac:dyDescent="0.25">
      <c r="A43" s="85" t="s">
        <v>411</v>
      </c>
      <c r="B43" t="s">
        <v>412</v>
      </c>
      <c r="C43" s="86">
        <f>'Moret(2017)_Syngas'!$D$19*Legend!$B$73*Legend!$B$78/10^6</f>
        <v>3.0282945007815493E-2</v>
      </c>
    </row>
    <row r="44" spans="1:3" x14ac:dyDescent="0.25">
      <c r="A44" s="85" t="s">
        <v>390</v>
      </c>
      <c r="B44" t="s">
        <v>412</v>
      </c>
      <c r="C44" s="86">
        <f>'Moret(2017)_Syngas'!$D$27*('Moret(2017)_Syngas'!$D$28+'Moret(2017)_Syngas'!$D$29+'Moret(2017)_Syngas'!$D$30)/'Moret(2017)_Syngas'!$D$10*10^-6</f>
        <v>1.2204169730957886E-3</v>
      </c>
    </row>
    <row r="45" spans="1:3" x14ac:dyDescent="0.25">
      <c r="A45" s="85" t="s">
        <v>413</v>
      </c>
      <c r="B45" t="s">
        <v>414</v>
      </c>
      <c r="C45" s="86">
        <f>'Moret(2017)_Syngas'!$D$27*('Moret(2017)_Syngas'!$D$32+'Moret(2017)_Syngas'!$D$33)/'Moret(2017)_Syngas'!$D$10*10^-6</f>
        <v>1.7947308427879239E-4</v>
      </c>
    </row>
    <row r="46" spans="1:3" x14ac:dyDescent="0.25">
      <c r="A46" s="91" t="s">
        <v>415</v>
      </c>
      <c r="B46" s="92" t="s">
        <v>416</v>
      </c>
      <c r="C46" s="93">
        <f>8000/8760</f>
        <v>0.91324200913242004</v>
      </c>
    </row>
    <row r="47" spans="1:3" x14ac:dyDescent="0.25">
      <c r="A47" s="139"/>
      <c r="B47" s="103"/>
      <c r="C47" s="140"/>
    </row>
    <row r="48" spans="1:3" ht="15.75" x14ac:dyDescent="0.25">
      <c r="A48" s="81" t="s">
        <v>424</v>
      </c>
    </row>
    <row r="49" spans="1:3" x14ac:dyDescent="0.25">
      <c r="A49" s="139"/>
      <c r="B49" s="103"/>
      <c r="C49" s="140"/>
    </row>
    <row r="50" spans="1:3" x14ac:dyDescent="0.25">
      <c r="A50" s="82" t="s">
        <v>373</v>
      </c>
      <c r="B50" s="83" t="s">
        <v>348</v>
      </c>
      <c r="C50" s="143">
        <f>'Moret(2017)_Syngas'!$E$3</f>
        <v>25</v>
      </c>
    </row>
    <row r="51" spans="1:3" x14ac:dyDescent="0.25">
      <c r="A51" s="85" t="s">
        <v>398</v>
      </c>
      <c r="B51" t="s">
        <v>425</v>
      </c>
      <c r="C51" s="86">
        <f>'Moret(2017)_Syngas'!E13/'Moret(2017)_Syngas'!E10</f>
        <v>0.85</v>
      </c>
    </row>
    <row r="52" spans="1:3" x14ac:dyDescent="0.25">
      <c r="A52" s="85" t="s">
        <v>377</v>
      </c>
      <c r="B52" t="s">
        <v>410</v>
      </c>
      <c r="C52" s="86"/>
    </row>
    <row r="53" spans="1:3" x14ac:dyDescent="0.25">
      <c r="A53" s="85" t="s">
        <v>411</v>
      </c>
      <c r="B53" t="s">
        <v>412</v>
      </c>
      <c r="C53" s="86">
        <f>'Moret(2017)_Syngas'!$E$19*Legend!$B$73*Legend!$B$78/10^6</f>
        <v>1.2517592531052509E-2</v>
      </c>
    </row>
    <row r="54" spans="1:3" x14ac:dyDescent="0.25">
      <c r="A54" s="85" t="s">
        <v>390</v>
      </c>
      <c r="B54" t="s">
        <v>412</v>
      </c>
      <c r="C54" s="86">
        <f>'Moret(2017)_Syngas'!$E$27*('Moret(2017)_Syngas'!$E$28+'Moret(2017)_Syngas'!$E$29+'Moret(2017)_Syngas'!$E$30)/'Moret(2017)_Syngas'!$E$10*10^-6</f>
        <v>4.2879515270933106E-4</v>
      </c>
    </row>
    <row r="55" spans="1:3" x14ac:dyDescent="0.25">
      <c r="A55" s="85" t="s">
        <v>413</v>
      </c>
      <c r="B55" t="s">
        <v>414</v>
      </c>
      <c r="C55" s="86">
        <f>'Moret(2017)_Syngas'!$E$27*('Moret(2017)_Syngas'!$E$32+'Moret(2017)_Syngas'!$E$33)/'Moret(2017)_Syngas'!$E$10*10^-6</f>
        <v>6.3058110692548679E-5</v>
      </c>
    </row>
    <row r="56" spans="1:3" x14ac:dyDescent="0.25">
      <c r="A56" s="91" t="s">
        <v>415</v>
      </c>
      <c r="B56" s="92" t="s">
        <v>416</v>
      </c>
      <c r="C56" s="93">
        <f>8000/8760</f>
        <v>0.91324200913242004</v>
      </c>
    </row>
    <row r="57" spans="1:3" x14ac:dyDescent="0.25">
      <c r="C57" s="116"/>
    </row>
    <row r="58" spans="1:3" ht="15.75" x14ac:dyDescent="0.25">
      <c r="A58" s="81" t="s">
        <v>426</v>
      </c>
    </row>
    <row r="59" spans="1:3" x14ac:dyDescent="0.25">
      <c r="A59" s="137"/>
      <c r="B59" s="103"/>
      <c r="C59" s="135"/>
    </row>
    <row r="60" spans="1:3" x14ac:dyDescent="0.25">
      <c r="A60" s="82" t="s">
        <v>373</v>
      </c>
      <c r="B60" s="83" t="s">
        <v>348</v>
      </c>
      <c r="C60" s="143">
        <f>'Zhu(2014)_HTL'!$D$3</f>
        <v>20</v>
      </c>
    </row>
    <row r="61" spans="1:3" x14ac:dyDescent="0.25">
      <c r="A61" s="85" t="s">
        <v>398</v>
      </c>
      <c r="B61" t="s">
        <v>408</v>
      </c>
      <c r="C61" s="86">
        <f>'Zhu(2014)_HTL'!$D$11/'Zhu(2014)_HTL'!$D$5</f>
        <v>13.956000000000001</v>
      </c>
    </row>
    <row r="62" spans="1:3" x14ac:dyDescent="0.25">
      <c r="A62" s="85" t="s">
        <v>427</v>
      </c>
      <c r="B62" t="s">
        <v>418</v>
      </c>
      <c r="C62" s="86">
        <f>'Zhu(2014)_HTL'!$D$14</f>
        <v>0.48470012239902088</v>
      </c>
    </row>
    <row r="63" spans="1:3" x14ac:dyDescent="0.25">
      <c r="A63" s="85" t="s">
        <v>419</v>
      </c>
      <c r="B63" t="s">
        <v>418</v>
      </c>
      <c r="C63" s="86">
        <f>'Zhu(2014)_HTL'!$D$12</f>
        <v>0.51529987760097917</v>
      </c>
    </row>
    <row r="64" spans="1:3" x14ac:dyDescent="0.25">
      <c r="A64" s="85" t="s">
        <v>379</v>
      </c>
      <c r="B64" t="s">
        <v>410</v>
      </c>
      <c r="C64" s="86">
        <f>'Zhu(2014)_HTL'!$D$28/'Zhu(2014)_HTL'!$D$11</f>
        <v>4.8675219260533108E-2</v>
      </c>
    </row>
    <row r="65" spans="1:3" x14ac:dyDescent="0.25">
      <c r="A65" s="85" t="s">
        <v>428</v>
      </c>
      <c r="B65" t="s">
        <v>429</v>
      </c>
      <c r="C65" s="86">
        <f>'Zhu(2014)_HTL'!$D$21/'Zhu(2014)_HTL'!$D$11</f>
        <v>0.17876182287188302</v>
      </c>
    </row>
    <row r="66" spans="1:3" x14ac:dyDescent="0.25">
      <c r="A66" s="85" t="s">
        <v>411</v>
      </c>
      <c r="B66" t="s">
        <v>412</v>
      </c>
      <c r="C66" s="86">
        <f>'Zhu(2014)_HTL'!D29*Legend!$B$74/'Zhu(2014)_HTL'!D11</f>
        <v>6.0033641398252797E-2</v>
      </c>
    </row>
    <row r="67" spans="1:3" x14ac:dyDescent="0.25">
      <c r="A67" s="85" t="s">
        <v>390</v>
      </c>
      <c r="B67" t="s">
        <v>430</v>
      </c>
      <c r="C67" s="86">
        <f>'Zhu(2014)_HTL'!D30*Legend!$B$74/'Zhu(2014)_HTL'!D11</f>
        <v>2.8477496560709659E-3</v>
      </c>
    </row>
    <row r="68" spans="1:3" x14ac:dyDescent="0.25">
      <c r="A68" s="85" t="s">
        <v>413</v>
      </c>
      <c r="B68" t="s">
        <v>414</v>
      </c>
      <c r="C68" s="86">
        <f>'Zhu(2014)_HTL'!D31*Legend!$B$74/'Zhu(2014)_HTL'!D11</f>
        <v>2.4847257134276855E-3</v>
      </c>
    </row>
    <row r="69" spans="1:3" x14ac:dyDescent="0.25">
      <c r="A69" s="91" t="s">
        <v>415</v>
      </c>
      <c r="B69" s="92" t="s">
        <v>416</v>
      </c>
      <c r="C69" s="93">
        <f>8000/8760</f>
        <v>0.91324200913242004</v>
      </c>
    </row>
    <row r="70" spans="1:3" x14ac:dyDescent="0.25">
      <c r="A70" s="137"/>
      <c r="B70" s="103"/>
      <c r="C70" s="135"/>
    </row>
    <row r="71" spans="1:3" ht="15.75" x14ac:dyDescent="0.25">
      <c r="A71" s="81" t="s">
        <v>431</v>
      </c>
    </row>
    <row r="72" spans="1:3" x14ac:dyDescent="0.25">
      <c r="A72" s="136"/>
      <c r="B72" s="103"/>
      <c r="C72" s="135"/>
    </row>
    <row r="73" spans="1:3" x14ac:dyDescent="0.25">
      <c r="A73" s="82" t="s">
        <v>373</v>
      </c>
      <c r="B73" s="83" t="s">
        <v>348</v>
      </c>
      <c r="C73" s="143">
        <f>'Swanson(2010)_Liquid_Biofuel'!$D$3</f>
        <v>20</v>
      </c>
    </row>
    <row r="74" spans="1:3" x14ac:dyDescent="0.25">
      <c r="A74" s="85" t="s">
        <v>398</v>
      </c>
      <c r="B74" t="s">
        <v>408</v>
      </c>
      <c r="C74" s="86">
        <f>'Swanson(2010)_Liquid_Biofuel'!$D$9/('Swanson(2010)_Liquid_Biofuel'!$D$4*365*10^-3)</f>
        <v>6.9290547945205478</v>
      </c>
    </row>
    <row r="75" spans="1:3" x14ac:dyDescent="0.25">
      <c r="A75" s="85" t="s">
        <v>432</v>
      </c>
      <c r="B75" t="s">
        <v>418</v>
      </c>
      <c r="C75" s="86">
        <f>'Swanson(2010)_Liquid_Biofuel'!$D$10</f>
        <v>0.62</v>
      </c>
    </row>
    <row r="76" spans="1:3" x14ac:dyDescent="0.25">
      <c r="A76" s="85" t="s">
        <v>419</v>
      </c>
      <c r="B76" t="s">
        <v>418</v>
      </c>
      <c r="C76" s="86">
        <f>'Swanson(2010)_Liquid_Biofuel'!$D$11</f>
        <v>0.26</v>
      </c>
    </row>
    <row r="77" spans="1:3" x14ac:dyDescent="0.25">
      <c r="A77" s="85" t="s">
        <v>433</v>
      </c>
      <c r="B77" t="s">
        <v>418</v>
      </c>
      <c r="C77" s="86">
        <f>'Swanson(2010)_Liquid_Biofuel'!$D$12</f>
        <v>0.12</v>
      </c>
    </row>
    <row r="78" spans="1:3" x14ac:dyDescent="0.25">
      <c r="A78" s="85" t="s">
        <v>434</v>
      </c>
      <c r="B78" t="s">
        <v>410</v>
      </c>
      <c r="C78" s="86">
        <f>'Swanson(2010)_Liquid_Biofuel'!$D$15/'Swanson(2010)_Liquid_Biofuel'!$D$9</f>
        <v>0.13716156505957641</v>
      </c>
    </row>
    <row r="79" spans="1:3" x14ac:dyDescent="0.25">
      <c r="A79" s="85" t="s">
        <v>411</v>
      </c>
      <c r="B79" t="s">
        <v>412</v>
      </c>
      <c r="C79" s="86">
        <f>'Swanson(2010)_Liquid_Biofuel'!$D$13/'Swanson(2010)_Liquid_Biofuel'!$D$9*Legend!$B$74</f>
        <v>0.15656995359352471</v>
      </c>
    </row>
    <row r="80" spans="1:3" x14ac:dyDescent="0.25">
      <c r="A80" s="85" t="s">
        <v>390</v>
      </c>
      <c r="B80" t="s">
        <v>412</v>
      </c>
      <c r="C80" s="86">
        <f>'Swanson(2010)_Liquid_Biofuel'!$D$16/'Swanson(2010)_Liquid_Biofuel'!$D$9*Legend!$B$74</f>
        <v>3.6171276407744985E-3</v>
      </c>
    </row>
    <row r="81" spans="1:3" x14ac:dyDescent="0.25">
      <c r="A81" s="85" t="s">
        <v>413</v>
      </c>
      <c r="B81" t="s">
        <v>414</v>
      </c>
      <c r="C81" s="86">
        <f>'Swanson(2010)_Liquid_Biofuel'!$D$17/'Swanson(2010)_Liquid_Biofuel'!$D$9*Legend!$B$74</f>
        <v>3.3587613807191776E-3</v>
      </c>
    </row>
    <row r="82" spans="1:3" x14ac:dyDescent="0.25">
      <c r="A82" s="91" t="s">
        <v>415</v>
      </c>
      <c r="B82" s="92" t="s">
        <v>416</v>
      </c>
      <c r="C82" s="93">
        <f>'Shahrukh(2016)_Pellet'!$C$7</f>
        <v>0.83713850837138504</v>
      </c>
    </row>
    <row r="83" spans="1:3" x14ac:dyDescent="0.25">
      <c r="A83" s="136"/>
      <c r="B83" s="103"/>
      <c r="C83" s="135"/>
    </row>
    <row r="85" spans="1:3" ht="15.75" x14ac:dyDescent="0.25">
      <c r="A85" s="81" t="s">
        <v>435</v>
      </c>
    </row>
    <row r="86" spans="1:3" x14ac:dyDescent="0.25">
      <c r="A86" s="139"/>
      <c r="C86" s="140"/>
    </row>
    <row r="87" spans="1:3" x14ac:dyDescent="0.25">
      <c r="A87" s="82" t="s">
        <v>373</v>
      </c>
      <c r="B87" s="83" t="s">
        <v>348</v>
      </c>
      <c r="C87" s="143">
        <f>'Brown(2010)_Pyrolysis'!C3</f>
        <v>25</v>
      </c>
    </row>
    <row r="88" spans="1:3" x14ac:dyDescent="0.25">
      <c r="A88" s="85" t="s">
        <v>398</v>
      </c>
      <c r="B88" t="s">
        <v>408</v>
      </c>
      <c r="C88" s="86">
        <f>('Brown(2010)_Pyrolysis'!C11+'Brown(2010)_Pyrolysis'!C19)/'Brown(2010)_Pyrolysis'!C5</f>
        <v>16.809000000000001</v>
      </c>
    </row>
    <row r="89" spans="1:3" x14ac:dyDescent="0.25">
      <c r="A89" s="85" t="s">
        <v>281</v>
      </c>
      <c r="B89" t="s">
        <v>418</v>
      </c>
      <c r="C89" s="86">
        <f>'Brown(2010)_Pyrolysis'!C11/SUM('Brown(2010)_Pyrolysis'!C11,'Brown(2010)_Pyrolysis'!C19)</f>
        <v>0.64519007674460105</v>
      </c>
    </row>
    <row r="90" spans="1:3" x14ac:dyDescent="0.25">
      <c r="A90" s="85" t="s">
        <v>271</v>
      </c>
      <c r="B90" t="s">
        <v>418</v>
      </c>
      <c r="C90" s="86">
        <f>1-C89</f>
        <v>0.35480992325539895</v>
      </c>
    </row>
    <row r="91" spans="1:3" x14ac:dyDescent="0.25">
      <c r="A91" s="85" t="s">
        <v>377</v>
      </c>
      <c r="B91" t="s">
        <v>410</v>
      </c>
      <c r="C91" s="86"/>
    </row>
    <row r="92" spans="1:3" x14ac:dyDescent="0.25">
      <c r="A92" s="85" t="s">
        <v>411</v>
      </c>
      <c r="B92" t="s">
        <v>412</v>
      </c>
      <c r="C92" s="86">
        <f>'Brown(2010)_Pyrolysis'!C22*Legend!$B$76</f>
        <v>1.2456445707557249E-2</v>
      </c>
    </row>
    <row r="93" spans="1:3" x14ac:dyDescent="0.25">
      <c r="A93" s="85" t="s">
        <v>390</v>
      </c>
      <c r="B93" t="s">
        <v>412</v>
      </c>
      <c r="C93" s="86">
        <f>'Brown(2010)_Pyrolysis'!C24*Legend!$B$76</f>
        <v>7.0890341425122554E-4</v>
      </c>
    </row>
    <row r="94" spans="1:3" x14ac:dyDescent="0.25">
      <c r="A94" s="85" t="s">
        <v>413</v>
      </c>
      <c r="B94" t="s">
        <v>414</v>
      </c>
      <c r="C94" s="86"/>
    </row>
    <row r="95" spans="1:3" x14ac:dyDescent="0.25">
      <c r="A95" s="91" t="s">
        <v>415</v>
      </c>
      <c r="B95" s="92" t="s">
        <v>416</v>
      </c>
      <c r="C95" s="93">
        <f>8000/8760</f>
        <v>0.91324200913242004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E5959-E8E0-4621-93D5-91F918634168}">
  <sheetPr>
    <tabColor theme="8" tint="0.39997558519241921"/>
  </sheetPr>
  <dimension ref="A1:E94"/>
  <sheetViews>
    <sheetView topLeftCell="A20" workbookViewId="0">
      <selection activeCell="A20" sqref="A1:XFD1048576"/>
    </sheetView>
  </sheetViews>
  <sheetFormatPr defaultRowHeight="15" x14ac:dyDescent="0.25"/>
  <cols>
    <col min="1" max="1" width="72.28515625" bestFit="1" customWidth="1"/>
    <col min="2" max="2" width="25.85546875" bestFit="1" customWidth="1"/>
    <col min="3" max="3" width="65.85546875" bestFit="1" customWidth="1"/>
  </cols>
  <sheetData>
    <row r="1" spans="1:3" ht="15.75" x14ac:dyDescent="0.25">
      <c r="A1" s="81" t="s">
        <v>436</v>
      </c>
    </row>
    <row r="2" spans="1:3" ht="15.75" x14ac:dyDescent="0.25">
      <c r="A2" s="163"/>
    </row>
    <row r="3" spans="1:3" x14ac:dyDescent="0.25">
      <c r="A3" s="82" t="s">
        <v>373</v>
      </c>
      <c r="B3" s="83" t="s">
        <v>348</v>
      </c>
      <c r="C3" s="164">
        <v>20</v>
      </c>
    </row>
    <row r="4" spans="1:3" x14ac:dyDescent="0.25">
      <c r="A4" s="85" t="s">
        <v>437</v>
      </c>
      <c r="B4" t="s">
        <v>361</v>
      </c>
      <c r="C4" s="96">
        <v>0.9</v>
      </c>
    </row>
    <row r="5" spans="1:3" x14ac:dyDescent="0.25">
      <c r="A5" s="85" t="s">
        <v>434</v>
      </c>
      <c r="B5" t="s">
        <v>438</v>
      </c>
      <c r="C5" s="96">
        <f>'Berghout(2015)_CCS'!C5*10^-3</f>
        <v>8.0000000000000004E-4</v>
      </c>
    </row>
    <row r="6" spans="1:3" x14ac:dyDescent="0.25">
      <c r="A6" s="85" t="s">
        <v>439</v>
      </c>
      <c r="B6" t="s">
        <v>438</v>
      </c>
      <c r="C6" s="96">
        <f>'Berghout(2015)_CCS'!C6*10^-3</f>
        <v>3.7499999999999999E-3</v>
      </c>
    </row>
    <row r="7" spans="1:3" x14ac:dyDescent="0.25">
      <c r="A7" s="85" t="s">
        <v>440</v>
      </c>
      <c r="B7" t="s">
        <v>441</v>
      </c>
      <c r="C7" s="96">
        <f>'Berghout(2015)_CCS'!C9*10^-6*Legend!$B$70*Legend!$B$74</f>
        <v>1.6546701964018957E-4</v>
      </c>
    </row>
    <row r="8" spans="1:3" x14ac:dyDescent="0.25">
      <c r="A8" s="85" t="s">
        <v>390</v>
      </c>
      <c r="B8" t="s">
        <v>441</v>
      </c>
      <c r="C8" s="96">
        <f>'Berghout(2015)_CCS'!C10*10^-6*Legend!$B$70*Legend!$B$74</f>
        <v>9.5595613401000243E-6</v>
      </c>
    </row>
    <row r="9" spans="1:3" x14ac:dyDescent="0.25">
      <c r="A9" s="91" t="s">
        <v>413</v>
      </c>
      <c r="B9" s="92" t="s">
        <v>441</v>
      </c>
      <c r="C9" s="100">
        <f>'Berghout(2015)_CCS'!C11*10^-6*Legend!$B$70*Legend!$B$74</f>
        <v>3.6256810657943489E-6</v>
      </c>
    </row>
    <row r="10" spans="1:3" ht="15.75" x14ac:dyDescent="0.25">
      <c r="A10" s="163"/>
    </row>
    <row r="11" spans="1:3" ht="15.75" x14ac:dyDescent="0.25">
      <c r="A11" s="81" t="s">
        <v>442</v>
      </c>
    </row>
    <row r="12" spans="1:3" x14ac:dyDescent="0.25">
      <c r="A12" s="136"/>
      <c r="B12" s="103"/>
      <c r="C12" s="135"/>
    </row>
    <row r="13" spans="1:3" x14ac:dyDescent="0.25">
      <c r="A13" s="82" t="s">
        <v>373</v>
      </c>
      <c r="B13" s="83" t="s">
        <v>348</v>
      </c>
      <c r="C13" s="143">
        <f>'Key input_Biofuel production2'!C16</f>
        <v>20</v>
      </c>
    </row>
    <row r="14" spans="1:3" x14ac:dyDescent="0.25">
      <c r="A14" s="85" t="s">
        <v>398</v>
      </c>
      <c r="B14" t="s">
        <v>408</v>
      </c>
      <c r="C14" s="86">
        <f>'Key input_Biofuel production2'!C17</f>
        <v>5.6837699024139701</v>
      </c>
    </row>
    <row r="15" spans="1:3" x14ac:dyDescent="0.25">
      <c r="A15" s="85" t="s">
        <v>267</v>
      </c>
      <c r="B15" t="s">
        <v>418</v>
      </c>
      <c r="C15" s="86">
        <f>'Key input_Biofuel production2'!C18</f>
        <v>0.76675130802526592</v>
      </c>
    </row>
    <row r="16" spans="1:3" x14ac:dyDescent="0.25">
      <c r="A16" s="85" t="s">
        <v>419</v>
      </c>
      <c r="B16" t="s">
        <v>418</v>
      </c>
      <c r="C16" s="86">
        <f>'Key input_Biofuel production2'!C19</f>
        <v>0.23324869197473408</v>
      </c>
    </row>
    <row r="17" spans="1:5" x14ac:dyDescent="0.25">
      <c r="A17" s="85" t="s">
        <v>434</v>
      </c>
      <c r="B17" t="s">
        <v>410</v>
      </c>
      <c r="C17" s="86">
        <f>'Key input_Biofuel production2'!C20+C5*C23/C14</f>
        <v>0.16050109288863906</v>
      </c>
    </row>
    <row r="18" spans="1:5" x14ac:dyDescent="0.25">
      <c r="A18" s="85" t="s">
        <v>439</v>
      </c>
      <c r="B18" t="s">
        <v>410</v>
      </c>
      <c r="C18" s="86">
        <f>+C6*C23/C14</f>
        <v>0.75234887291549557</v>
      </c>
    </row>
    <row r="19" spans="1:5" x14ac:dyDescent="0.25">
      <c r="A19" s="85" t="s">
        <v>440</v>
      </c>
      <c r="B19" t="s">
        <v>412</v>
      </c>
      <c r="C19" s="86">
        <f>'Key input_Biofuel production2'!C21+C7*C23/C14</f>
        <v>0.19409423288405689</v>
      </c>
    </row>
    <row r="20" spans="1:5" x14ac:dyDescent="0.25">
      <c r="A20" s="85" t="s">
        <v>390</v>
      </c>
      <c r="B20" t="s">
        <v>412</v>
      </c>
      <c r="C20" s="86">
        <f>'Key input_Biofuel production2'!C22+C8*C23/C14</f>
        <v>9.1001193684331037E-3</v>
      </c>
    </row>
    <row r="21" spans="1:5" x14ac:dyDescent="0.25">
      <c r="A21" s="85" t="s">
        <v>413</v>
      </c>
      <c r="B21" t="s">
        <v>414</v>
      </c>
      <c r="C21" s="86">
        <f>'Key input_Biofuel production2'!C23+C9*C23/C14</f>
        <v>7.2740721690704832E-4</v>
      </c>
    </row>
    <row r="22" spans="1:5" x14ac:dyDescent="0.25">
      <c r="A22" s="91" t="s">
        <v>415</v>
      </c>
      <c r="B22" s="92" t="s">
        <v>416</v>
      </c>
      <c r="C22" s="93">
        <f>'Key input_Biofuel production2'!C24</f>
        <v>0.91324200913242004</v>
      </c>
    </row>
    <row r="23" spans="1:5" x14ac:dyDescent="0.25">
      <c r="A23" s="91" t="s">
        <v>443</v>
      </c>
      <c r="B23" s="92" t="s">
        <v>444</v>
      </c>
      <c r="C23" s="93">
        <f>C4*(((50%*12)/(50%*12+6%*1+44%*16)/'Key input_Biomass'!$C$6*C24*1000-252/296*C25/Legend!$B$57*1000-84/100*C26/Legend!$B$61*1000)*44/12)</f>
        <v>1140.3141013312445</v>
      </c>
      <c r="E23" s="94"/>
    </row>
    <row r="24" spans="1:5" x14ac:dyDescent="0.25">
      <c r="A24" s="82" t="s">
        <v>445</v>
      </c>
      <c r="B24" s="83" t="s">
        <v>80</v>
      </c>
      <c r="C24" s="84">
        <v>19</v>
      </c>
    </row>
    <row r="25" spans="1:5" x14ac:dyDescent="0.25">
      <c r="A25" s="85" t="s">
        <v>267</v>
      </c>
      <c r="B25" t="s">
        <v>80</v>
      </c>
      <c r="C25" s="102">
        <f>C14*C24/'Key input_Biomass'!$C$6*C15</f>
        <v>4.35803800719055</v>
      </c>
    </row>
    <row r="26" spans="1:5" x14ac:dyDescent="0.25">
      <c r="A26" s="91" t="s">
        <v>419</v>
      </c>
      <c r="B26" s="92" t="s">
        <v>80</v>
      </c>
      <c r="C26" s="93">
        <f>C14*C24/'Key input_Biomass'!$C$6*C16</f>
        <v>1.3257318952234205</v>
      </c>
    </row>
    <row r="30" spans="1:5" ht="15.75" x14ac:dyDescent="0.25">
      <c r="A30" s="81" t="s">
        <v>420</v>
      </c>
    </row>
    <row r="31" spans="1:5" x14ac:dyDescent="0.25">
      <c r="A31" s="137"/>
      <c r="B31" s="103"/>
      <c r="C31" s="135"/>
    </row>
    <row r="32" spans="1:5" x14ac:dyDescent="0.25">
      <c r="A32" s="82" t="s">
        <v>373</v>
      </c>
      <c r="B32" s="83" t="s">
        <v>348</v>
      </c>
      <c r="C32" s="143">
        <f>'Key input_Biofuel production2'!C28</f>
        <v>30</v>
      </c>
    </row>
    <row r="33" spans="1:5" x14ac:dyDescent="0.25">
      <c r="A33" s="85" t="s">
        <v>398</v>
      </c>
      <c r="B33" t="s">
        <v>408</v>
      </c>
      <c r="C33" s="86">
        <f>'Key input_Biofuel production2'!C29</f>
        <v>18.269644494649224</v>
      </c>
    </row>
    <row r="34" spans="1:5" x14ac:dyDescent="0.25">
      <c r="A34" s="85" t="s">
        <v>377</v>
      </c>
      <c r="B34" t="s">
        <v>410</v>
      </c>
      <c r="C34" s="86">
        <f>'Key input_Biofuel production2'!C30+(C5+C6)*C41/C33</f>
        <v>0.59252765825350906</v>
      </c>
      <c r="D34" s="94"/>
    </row>
    <row r="35" spans="1:5" x14ac:dyDescent="0.25">
      <c r="A35" s="85" t="s">
        <v>379</v>
      </c>
      <c r="B35" t="s">
        <v>410</v>
      </c>
      <c r="C35" s="86">
        <f>'Key input_Biofuel production2'!C30*'Key input_Biofuel production2'!C31+(C5)*C41/C33</f>
        <v>0.38832909227609969</v>
      </c>
    </row>
    <row r="36" spans="1:5" x14ac:dyDescent="0.25">
      <c r="A36" s="85" t="s">
        <v>421</v>
      </c>
      <c r="B36" t="s">
        <v>410</v>
      </c>
      <c r="C36" s="86">
        <f>'Key input_Biofuel production2'!C30*'Key input_Biofuel production2'!C32+(C6)*C41/C33</f>
        <v>0.20419856597740937</v>
      </c>
    </row>
    <row r="37" spans="1:5" x14ac:dyDescent="0.25">
      <c r="A37" s="85" t="s">
        <v>411</v>
      </c>
      <c r="B37" t="s">
        <v>412</v>
      </c>
      <c r="C37" s="86">
        <f>'Key input_Biofuel production2'!C33+C7*C41/C33</f>
        <v>5.3565956280072657E-2</v>
      </c>
    </row>
    <row r="38" spans="1:5" x14ac:dyDescent="0.25">
      <c r="A38" s="85" t="s">
        <v>390</v>
      </c>
      <c r="B38" t="s">
        <v>412</v>
      </c>
      <c r="C38" s="86">
        <f>'Key input_Biofuel production2'!C34+C8*C41/C33</f>
        <v>2.4516961171571383E-3</v>
      </c>
    </row>
    <row r="39" spans="1:5" x14ac:dyDescent="0.25">
      <c r="A39" s="85" t="s">
        <v>413</v>
      </c>
      <c r="B39" t="s">
        <v>414</v>
      </c>
      <c r="C39" s="86">
        <f>'Key input_Biofuel production2'!C35+C9*C41/C33</f>
        <v>8.0920445937386859E-4</v>
      </c>
    </row>
    <row r="40" spans="1:5" x14ac:dyDescent="0.25">
      <c r="A40" s="91" t="s">
        <v>415</v>
      </c>
      <c r="B40" s="92" t="s">
        <v>416</v>
      </c>
      <c r="C40" s="93">
        <f>'Key input_Biofuel production2'!C36</f>
        <v>0.96004566210045661</v>
      </c>
    </row>
    <row r="41" spans="1:5" x14ac:dyDescent="0.25">
      <c r="A41" s="91" t="s">
        <v>443</v>
      </c>
      <c r="B41" s="92" t="s">
        <v>444</v>
      </c>
      <c r="C41" s="93">
        <f>C4*(((50%*12)/(50%*12+6%*1+44%*16)/'Key input_Biomass'!$C$6*C42*1000-24/46*C43/Legend!$B$53*1000)*44/12)</f>
        <v>333.33945188276107</v>
      </c>
      <c r="E41" s="94"/>
    </row>
    <row r="42" spans="1:5" x14ac:dyDescent="0.25">
      <c r="A42" s="82" t="s">
        <v>445</v>
      </c>
      <c r="B42" s="83" t="s">
        <v>80</v>
      </c>
      <c r="C42" s="84">
        <v>19</v>
      </c>
    </row>
    <row r="43" spans="1:5" x14ac:dyDescent="0.25">
      <c r="A43" s="91" t="s">
        <v>446</v>
      </c>
      <c r="B43" s="92" t="s">
        <v>80</v>
      </c>
      <c r="C43" s="165">
        <f>C33*C42/'Key input_Biomass'!$C$6</f>
        <v>18.269644494649224</v>
      </c>
    </row>
    <row r="44" spans="1:5" ht="18.75" customHeight="1" x14ac:dyDescent="0.25">
      <c r="A44" s="137"/>
      <c r="B44" s="138"/>
      <c r="C44" s="135"/>
    </row>
    <row r="45" spans="1:5" ht="15.75" x14ac:dyDescent="0.25">
      <c r="A45" s="81" t="s">
        <v>422</v>
      </c>
    </row>
    <row r="46" spans="1:5" x14ac:dyDescent="0.25">
      <c r="A46" s="139"/>
      <c r="B46" s="103"/>
      <c r="C46" s="140"/>
    </row>
    <row r="47" spans="1:5" x14ac:dyDescent="0.25">
      <c r="A47" s="82" t="s">
        <v>373</v>
      </c>
      <c r="B47" s="83" t="s">
        <v>348</v>
      </c>
      <c r="C47" s="143">
        <f>'Key input_Biofuel production2'!C40</f>
        <v>25</v>
      </c>
    </row>
    <row r="48" spans="1:5" x14ac:dyDescent="0.25">
      <c r="A48" s="85" t="s">
        <v>398</v>
      </c>
      <c r="B48" t="s">
        <v>423</v>
      </c>
      <c r="C48" s="86">
        <f>'Key input_Biofuel production2'!C41</f>
        <v>16.541176470588237</v>
      </c>
      <c r="D48" s="94"/>
    </row>
    <row r="49" spans="1:5" x14ac:dyDescent="0.25">
      <c r="A49" s="85" t="s">
        <v>434</v>
      </c>
      <c r="B49" t="s">
        <v>410</v>
      </c>
      <c r="C49" s="86">
        <f>'Key input_Biofuel production2'!C42+C5*C55/C48</f>
        <v>3.0427604666497167E-2</v>
      </c>
    </row>
    <row r="50" spans="1:5" x14ac:dyDescent="0.25">
      <c r="A50" s="85" t="s">
        <v>439</v>
      </c>
      <c r="B50" t="s">
        <v>410</v>
      </c>
      <c r="C50" s="86">
        <f>C6*C55/C48</f>
        <v>0.14262939687420545</v>
      </c>
    </row>
    <row r="51" spans="1:5" x14ac:dyDescent="0.25">
      <c r="A51" s="85" t="s">
        <v>411</v>
      </c>
      <c r="B51" t="s">
        <v>412</v>
      </c>
      <c r="C51" s="86">
        <f>'Key input_Biofuel production2'!C43+C7*C55/C48</f>
        <v>3.6576401331509509E-2</v>
      </c>
    </row>
    <row r="52" spans="1:5" x14ac:dyDescent="0.25">
      <c r="A52" s="85" t="s">
        <v>390</v>
      </c>
      <c r="B52" t="s">
        <v>412</v>
      </c>
      <c r="C52" s="86">
        <f>'Key input_Biofuel production2'!C44+C8*C55/C48</f>
        <v>1.5840101646479054E-3</v>
      </c>
    </row>
    <row r="53" spans="1:5" x14ac:dyDescent="0.25">
      <c r="A53" s="85" t="s">
        <v>413</v>
      </c>
      <c r="B53" t="s">
        <v>414</v>
      </c>
      <c r="C53" s="86">
        <f>'Key input_Biofuel production2'!C45+C9*C55/C48</f>
        <v>3.1737407192478556E-4</v>
      </c>
    </row>
    <row r="54" spans="1:5" x14ac:dyDescent="0.25">
      <c r="A54" s="91" t="s">
        <v>415</v>
      </c>
      <c r="B54" s="92" t="s">
        <v>416</v>
      </c>
      <c r="C54" s="93">
        <f>'Key input_Biofuel production2'!C46</f>
        <v>0.91324200913242004</v>
      </c>
    </row>
    <row r="55" spans="1:5" x14ac:dyDescent="0.25">
      <c r="A55" s="91" t="s">
        <v>443</v>
      </c>
      <c r="B55" s="92" t="s">
        <v>444</v>
      </c>
      <c r="C55" s="166">
        <f>C4*(((50%*12)/(50%*12+6%*1+44%*16)/'Key input_Biomass'!$C$6*C56*1000-12/16*C57/46.4*1000)*44/12)</f>
        <v>629.1354729572796</v>
      </c>
      <c r="E55" s="94"/>
    </row>
    <row r="56" spans="1:5" x14ac:dyDescent="0.25">
      <c r="A56" s="82" t="s">
        <v>445</v>
      </c>
      <c r="B56" s="83" t="s">
        <v>80</v>
      </c>
      <c r="C56" s="143">
        <v>19</v>
      </c>
      <c r="D56" s="94"/>
      <c r="E56" s="89"/>
    </row>
    <row r="57" spans="1:5" x14ac:dyDescent="0.25">
      <c r="A57" s="91" t="s">
        <v>271</v>
      </c>
      <c r="B57" s="92" t="s">
        <v>80</v>
      </c>
      <c r="C57" s="93">
        <f>C48*C56/'Key input_Biomass'!$C$6</f>
        <v>16.541176470588237</v>
      </c>
      <c r="D57" s="94"/>
      <c r="E57" s="89"/>
    </row>
    <row r="58" spans="1:5" x14ac:dyDescent="0.25">
      <c r="A58" s="139"/>
      <c r="B58" s="103"/>
      <c r="C58" s="140"/>
    </row>
    <row r="59" spans="1:5" ht="15.75" x14ac:dyDescent="0.25">
      <c r="A59" s="81" t="s">
        <v>426</v>
      </c>
    </row>
    <row r="60" spans="1:5" x14ac:dyDescent="0.25">
      <c r="A60" s="137"/>
      <c r="B60" s="103"/>
      <c r="C60" s="135"/>
    </row>
    <row r="61" spans="1:5" x14ac:dyDescent="0.25">
      <c r="A61" s="82" t="s">
        <v>373</v>
      </c>
      <c r="B61" s="83" t="s">
        <v>348</v>
      </c>
      <c r="C61" s="143">
        <f>'Key input_Biofuel production2'!C60</f>
        <v>20</v>
      </c>
    </row>
    <row r="62" spans="1:5" x14ac:dyDescent="0.25">
      <c r="A62" s="85" t="s">
        <v>398</v>
      </c>
      <c r="B62" t="s">
        <v>408</v>
      </c>
      <c r="C62" s="86">
        <f>'Key input_Biofuel production2'!C61</f>
        <v>13.956000000000001</v>
      </c>
    </row>
    <row r="63" spans="1:5" x14ac:dyDescent="0.25">
      <c r="A63" s="85" t="s">
        <v>427</v>
      </c>
      <c r="B63" t="s">
        <v>418</v>
      </c>
      <c r="C63" s="86">
        <f>'Key input_Biofuel production2'!C62</f>
        <v>0.48470012239902088</v>
      </c>
    </row>
    <row r="64" spans="1:5" x14ac:dyDescent="0.25">
      <c r="A64" s="85" t="s">
        <v>419</v>
      </c>
      <c r="B64" t="s">
        <v>418</v>
      </c>
      <c r="C64" s="86">
        <f>'Key input_Biofuel production2'!C63</f>
        <v>0.51529987760097917</v>
      </c>
    </row>
    <row r="65" spans="1:5" x14ac:dyDescent="0.25">
      <c r="A65" s="85" t="s">
        <v>379</v>
      </c>
      <c r="B65" t="s">
        <v>410</v>
      </c>
      <c r="C65" s="86">
        <f>'Key input_Biofuel production2'!C64+C5*C72/C62</f>
        <v>8.4218624685290483E-2</v>
      </c>
    </row>
    <row r="66" spans="1:5" x14ac:dyDescent="0.25">
      <c r="A66" s="85" t="s">
        <v>421</v>
      </c>
      <c r="B66" t="s">
        <v>410</v>
      </c>
      <c r="C66" s="86">
        <f>+C6*C72/C62</f>
        <v>0.1666097129285502</v>
      </c>
    </row>
    <row r="67" spans="1:5" x14ac:dyDescent="0.25">
      <c r="A67" s="85" t="s">
        <v>428</v>
      </c>
      <c r="B67" t="s">
        <v>429</v>
      </c>
      <c r="C67" s="86">
        <f>'Key input_Biofuel production2'!C65</f>
        <v>0.17876182287188302</v>
      </c>
    </row>
    <row r="68" spans="1:5" x14ac:dyDescent="0.25">
      <c r="A68" s="85" t="s">
        <v>411</v>
      </c>
      <c r="B68" t="s">
        <v>412</v>
      </c>
      <c r="C68" s="86">
        <f>'Key input_Biofuel production2'!C66+C7*C72/C62</f>
        <v>6.7385218102624739E-2</v>
      </c>
    </row>
    <row r="69" spans="1:5" x14ac:dyDescent="0.25">
      <c r="A69" s="85" t="s">
        <v>390</v>
      </c>
      <c r="B69" t="s">
        <v>430</v>
      </c>
      <c r="C69" s="86">
        <f>'Key input_Biofuel production2'!C67+C8*C72/C62</f>
        <v>3.2724738615634809E-3</v>
      </c>
    </row>
    <row r="70" spans="1:5" x14ac:dyDescent="0.25">
      <c r="A70" s="85" t="s">
        <v>413</v>
      </c>
      <c r="B70" t="s">
        <v>414</v>
      </c>
      <c r="C70" s="86">
        <f>'Key input_Biofuel production2'!C68+C9*C72/C62</f>
        <v>2.6458120285056791E-3</v>
      </c>
    </row>
    <row r="71" spans="1:5" x14ac:dyDescent="0.25">
      <c r="A71" s="91" t="s">
        <v>415</v>
      </c>
      <c r="B71" s="92" t="s">
        <v>416</v>
      </c>
      <c r="C71" s="93">
        <f>'Key input_Biofuel production2'!C69</f>
        <v>0.91324200913242004</v>
      </c>
    </row>
    <row r="72" spans="1:5" x14ac:dyDescent="0.25">
      <c r="A72" s="91" t="s">
        <v>443</v>
      </c>
      <c r="B72" s="92" t="s">
        <v>444</v>
      </c>
      <c r="C72" s="93">
        <f>C4*(((50%*12)/(50%*12+6%*1+44%*16)/'Key input_Biomass'!$C$6*C73*1000-84/100*C75/Legend!$B$61*1000-252/296*C74/Legend!$B$60*1000)*44/12)</f>
        <v>620.05470763489245</v>
      </c>
      <c r="E72" s="94"/>
    </row>
    <row r="73" spans="1:5" x14ac:dyDescent="0.25">
      <c r="A73" s="82" t="s">
        <v>445</v>
      </c>
      <c r="B73" s="83" t="s">
        <v>80</v>
      </c>
      <c r="C73" s="143">
        <v>19</v>
      </c>
      <c r="D73" s="94"/>
      <c r="E73" s="89"/>
    </row>
    <row r="74" spans="1:5" x14ac:dyDescent="0.25">
      <c r="A74" s="85" t="s">
        <v>427</v>
      </c>
      <c r="B74" t="s">
        <v>80</v>
      </c>
      <c r="C74" s="86">
        <f>C62*C63*C73/'Key input_Biomass'!$C$6</f>
        <v>6.7644749082007358</v>
      </c>
      <c r="D74" s="94"/>
      <c r="E74" s="89"/>
    </row>
    <row r="75" spans="1:5" x14ac:dyDescent="0.25">
      <c r="A75" s="91" t="s">
        <v>419</v>
      </c>
      <c r="B75" s="92" t="s">
        <v>80</v>
      </c>
      <c r="C75" s="93">
        <f>C62*C64*C73/'Key input_Biomass'!$C$6</f>
        <v>7.1915250917992664</v>
      </c>
      <c r="D75" s="94"/>
      <c r="E75" s="89"/>
    </row>
    <row r="76" spans="1:5" x14ac:dyDescent="0.25">
      <c r="A76" s="137"/>
      <c r="B76" s="103"/>
      <c r="C76" s="135"/>
    </row>
    <row r="77" spans="1:5" ht="15.75" x14ac:dyDescent="0.25">
      <c r="A77" s="81" t="s">
        <v>431</v>
      </c>
    </row>
    <row r="78" spans="1:5" x14ac:dyDescent="0.25">
      <c r="A78" s="136"/>
      <c r="B78" s="103"/>
      <c r="C78" s="135"/>
    </row>
    <row r="79" spans="1:5" x14ac:dyDescent="0.25">
      <c r="A79" s="82" t="s">
        <v>373</v>
      </c>
      <c r="B79" s="83" t="s">
        <v>348</v>
      </c>
      <c r="C79" s="143">
        <f>'Key input_Biofuel production2'!C73</f>
        <v>20</v>
      </c>
    </row>
    <row r="80" spans="1:5" x14ac:dyDescent="0.25">
      <c r="A80" s="85" t="s">
        <v>398</v>
      </c>
      <c r="B80" t="s">
        <v>408</v>
      </c>
      <c r="C80" s="86">
        <f>'Key input_Biofuel production2'!C74</f>
        <v>6.9290547945205478</v>
      </c>
    </row>
    <row r="81" spans="1:5" x14ac:dyDescent="0.25">
      <c r="A81" s="85" t="s">
        <v>432</v>
      </c>
      <c r="B81" t="s">
        <v>418</v>
      </c>
      <c r="C81" s="86">
        <f>'Key input_Biofuel production2'!C75</f>
        <v>0.62</v>
      </c>
    </row>
    <row r="82" spans="1:5" x14ac:dyDescent="0.25">
      <c r="A82" s="85" t="s">
        <v>419</v>
      </c>
      <c r="B82" t="s">
        <v>418</v>
      </c>
      <c r="C82" s="86">
        <f>'Key input_Biofuel production2'!C76</f>
        <v>0.26</v>
      </c>
    </row>
    <row r="83" spans="1:5" x14ac:dyDescent="0.25">
      <c r="A83" s="85" t="s">
        <v>433</v>
      </c>
      <c r="B83" t="s">
        <v>418</v>
      </c>
      <c r="C83" s="86">
        <f>'Key input_Biofuel production2'!C77</f>
        <v>0.12</v>
      </c>
    </row>
    <row r="84" spans="1:5" x14ac:dyDescent="0.25">
      <c r="A84" s="85" t="s">
        <v>434</v>
      </c>
      <c r="B84" t="s">
        <v>410</v>
      </c>
      <c r="C84" s="86">
        <f>'Key input_Biofuel production2'!C78+C5*C90/C80</f>
        <v>0.26063571952504561</v>
      </c>
    </row>
    <row r="85" spans="1:5" x14ac:dyDescent="0.25">
      <c r="A85" s="85" t="s">
        <v>439</v>
      </c>
      <c r="B85" t="s">
        <v>410</v>
      </c>
      <c r="C85" s="86">
        <f>C6*C90/C80</f>
        <v>0.57878509905688669</v>
      </c>
    </row>
    <row r="86" spans="1:5" x14ac:dyDescent="0.25">
      <c r="A86" s="85" t="s">
        <v>411</v>
      </c>
      <c r="B86" t="s">
        <v>412</v>
      </c>
      <c r="C86" s="86">
        <f>'Key input_Biofuel production2'!C79+C7*C90/C80</f>
        <v>0.18210857902101668</v>
      </c>
    </row>
    <row r="87" spans="1:5" x14ac:dyDescent="0.25">
      <c r="A87" s="85" t="s">
        <v>390</v>
      </c>
      <c r="B87" t="s">
        <v>412</v>
      </c>
      <c r="C87" s="86">
        <f>'Key input_Biofuel production2'!C80+C8*C90/C80</f>
        <v>5.0925760826865457E-3</v>
      </c>
    </row>
    <row r="88" spans="1:5" x14ac:dyDescent="0.25">
      <c r="A88" s="85" t="s">
        <v>413</v>
      </c>
      <c r="B88" t="s">
        <v>414</v>
      </c>
      <c r="C88" s="86">
        <f>'Key input_Biofuel production2'!C81+C9*C90/C80</f>
        <v>3.9183587606697002E-3</v>
      </c>
    </row>
    <row r="89" spans="1:5" x14ac:dyDescent="0.25">
      <c r="A89" s="91" t="s">
        <v>415</v>
      </c>
      <c r="B89" s="92" t="s">
        <v>416</v>
      </c>
      <c r="C89" s="93">
        <f>'Key input_Biofuel production2'!C82</f>
        <v>0.83713850837138504</v>
      </c>
    </row>
    <row r="90" spans="1:5" x14ac:dyDescent="0.25">
      <c r="A90" s="91" t="s">
        <v>443</v>
      </c>
      <c r="B90" s="92" t="s">
        <v>444</v>
      </c>
      <c r="C90" s="93">
        <f>C4*(((50%*12)/(50%*12+6%*1+44%*16)/'Key input_Biomass'!$C$6*C91*1000-84/100*C93/Legend!$B$61*1000-252/296*C92/Legend!$B$60*1000)*44/12)</f>
        <v>1069.4489774979122</v>
      </c>
      <c r="E90" s="94"/>
    </row>
    <row r="91" spans="1:5" x14ac:dyDescent="0.25">
      <c r="A91" s="82" t="s">
        <v>445</v>
      </c>
      <c r="B91" s="83" t="s">
        <v>80</v>
      </c>
      <c r="C91" s="143">
        <v>19</v>
      </c>
      <c r="D91" s="94"/>
      <c r="E91" s="89"/>
    </row>
    <row r="92" spans="1:5" x14ac:dyDescent="0.25">
      <c r="A92" s="85" t="s">
        <v>447</v>
      </c>
      <c r="B92" t="s">
        <v>80</v>
      </c>
      <c r="C92" s="86">
        <f>C80*C81*C91/'Key input_Biomass'!$C$6</f>
        <v>4.29601397260274</v>
      </c>
      <c r="D92" s="94"/>
      <c r="E92" s="89"/>
    </row>
    <row r="93" spans="1:5" x14ac:dyDescent="0.25">
      <c r="A93" s="91" t="s">
        <v>419</v>
      </c>
      <c r="B93" s="92" t="s">
        <v>80</v>
      </c>
      <c r="C93" s="93">
        <f>C80*(C82+C83)*C91/'Key input_Biomass'!$C$6</f>
        <v>2.6330408219178083</v>
      </c>
      <c r="D93" s="94"/>
      <c r="E93" s="89"/>
    </row>
    <row r="94" spans="1:5" x14ac:dyDescent="0.25">
      <c r="A94" s="136"/>
      <c r="B94" s="103"/>
      <c r="C94" s="13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3ACC9-B14A-4560-A8AF-96B5C5DD1ECD}">
  <sheetPr>
    <tabColor theme="8" tint="0.39997558519241921"/>
  </sheetPr>
  <dimension ref="A1:E10"/>
  <sheetViews>
    <sheetView workbookViewId="0">
      <selection activeCell="L37" sqref="L37"/>
    </sheetView>
  </sheetViews>
  <sheetFormatPr defaultRowHeight="15" x14ac:dyDescent="0.25"/>
  <cols>
    <col min="1" max="1" width="41.7109375" bestFit="1" customWidth="1"/>
    <col min="2" max="3" width="16.85546875" bestFit="1" customWidth="1"/>
    <col min="4" max="4" width="18.5703125" bestFit="1" customWidth="1"/>
  </cols>
  <sheetData>
    <row r="1" spans="1:5" ht="15.75" x14ac:dyDescent="0.25">
      <c r="A1" s="81"/>
    </row>
    <row r="4" spans="1:5" x14ac:dyDescent="0.25">
      <c r="A4" s="82"/>
      <c r="B4" s="121" t="s">
        <v>448</v>
      </c>
      <c r="C4" s="121" t="s">
        <v>449</v>
      </c>
    </row>
    <row r="5" spans="1:5" ht="15.75" x14ac:dyDescent="0.25">
      <c r="A5" s="122" t="s">
        <v>450</v>
      </c>
      <c r="B5" s="123"/>
      <c r="C5" s="123" t="s">
        <v>451</v>
      </c>
    </row>
    <row r="6" spans="1:5" x14ac:dyDescent="0.25">
      <c r="A6" s="85" t="s">
        <v>251</v>
      </c>
      <c r="B6" s="124" t="s">
        <v>307</v>
      </c>
      <c r="C6" s="125">
        <v>19</v>
      </c>
      <c r="E6" s="94"/>
    </row>
    <row r="7" spans="1:5" x14ac:dyDescent="0.25">
      <c r="A7" s="85" t="s">
        <v>253</v>
      </c>
      <c r="B7" s="124" t="s">
        <v>307</v>
      </c>
      <c r="C7" s="125">
        <v>19</v>
      </c>
    </row>
    <row r="8" spans="1:5" x14ac:dyDescent="0.25">
      <c r="A8" s="85" t="s">
        <v>255</v>
      </c>
      <c r="B8" s="124" t="s">
        <v>307</v>
      </c>
      <c r="C8" s="125">
        <v>16.760000000000002</v>
      </c>
    </row>
    <row r="9" spans="1:5" x14ac:dyDescent="0.25">
      <c r="A9" s="85" t="s">
        <v>257</v>
      </c>
      <c r="B9" s="124" t="s">
        <v>80</v>
      </c>
      <c r="C9" s="125">
        <v>1</v>
      </c>
    </row>
    <row r="10" spans="1:5" x14ac:dyDescent="0.25">
      <c r="A10" s="91" t="s">
        <v>259</v>
      </c>
      <c r="B10" s="126" t="s">
        <v>80</v>
      </c>
      <c r="C10" s="127">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05ED-7334-4799-B5DF-AF8079F57D86}">
  <sheetPr>
    <tabColor theme="8" tint="0.39997558519241921"/>
  </sheetPr>
  <dimension ref="A1:AD145"/>
  <sheetViews>
    <sheetView workbookViewId="0">
      <selection activeCell="C34" sqref="C34"/>
    </sheetView>
  </sheetViews>
  <sheetFormatPr defaultRowHeight="15" x14ac:dyDescent="0.25"/>
  <cols>
    <col min="1" max="1" width="66.7109375" bestFit="1" customWidth="1"/>
    <col min="2" max="2" width="34.5703125" bestFit="1" customWidth="1"/>
    <col min="3" max="3" width="11" bestFit="1" customWidth="1"/>
    <col min="4" max="4" width="12.7109375" bestFit="1" customWidth="1"/>
    <col min="5" max="5" width="11" bestFit="1" customWidth="1"/>
    <col min="6" max="6" width="15.42578125" bestFit="1" customWidth="1"/>
    <col min="7" max="7" width="15.7109375" bestFit="1" customWidth="1"/>
    <col min="8" max="11" width="11" bestFit="1" customWidth="1"/>
    <col min="12" max="12" width="15.7109375" bestFit="1" customWidth="1"/>
    <col min="13" max="15" width="11" bestFit="1" customWidth="1"/>
    <col min="16" max="19" width="15.7109375" bestFit="1" customWidth="1"/>
    <col min="20" max="21" width="11" bestFit="1" customWidth="1"/>
    <col min="22" max="22" width="15.7109375" bestFit="1" customWidth="1"/>
    <col min="23" max="28" width="11" bestFit="1" customWidth="1"/>
    <col min="29" max="30" width="15.7109375" bestFit="1" customWidth="1"/>
  </cols>
  <sheetData>
    <row r="1" spans="1:6" ht="15.75" x14ac:dyDescent="0.25">
      <c r="A1" s="81" t="s">
        <v>452</v>
      </c>
    </row>
    <row r="3" spans="1:6" x14ac:dyDescent="0.25">
      <c r="A3" s="82"/>
      <c r="B3" s="83"/>
      <c r="C3" s="83" t="s">
        <v>453</v>
      </c>
      <c r="D3" s="83" t="s">
        <v>454</v>
      </c>
      <c r="E3" s="84" t="s">
        <v>455</v>
      </c>
      <c r="F3" s="121" t="s">
        <v>456</v>
      </c>
    </row>
    <row r="4" spans="1:6" x14ac:dyDescent="0.25">
      <c r="A4" s="85"/>
      <c r="C4" t="s">
        <v>457</v>
      </c>
      <c r="D4" t="s">
        <v>457</v>
      </c>
      <c r="E4" s="95" t="s">
        <v>457</v>
      </c>
      <c r="F4" s="124" t="s">
        <v>457</v>
      </c>
    </row>
    <row r="5" spans="1:6" x14ac:dyDescent="0.25">
      <c r="A5" s="85" t="s">
        <v>458</v>
      </c>
      <c r="B5" t="s">
        <v>459</v>
      </c>
      <c r="C5" s="94">
        <v>0</v>
      </c>
      <c r="D5" s="94">
        <v>3.0000000000000001E-3</v>
      </c>
      <c r="E5" s="102">
        <v>5.9999999999999995E-4</v>
      </c>
      <c r="F5" s="171">
        <v>70.8</v>
      </c>
    </row>
    <row r="6" spans="1:6" x14ac:dyDescent="0.25">
      <c r="A6" s="85" t="s">
        <v>460</v>
      </c>
      <c r="B6" t="s">
        <v>461</v>
      </c>
      <c r="C6" s="94">
        <v>0</v>
      </c>
      <c r="D6" s="94">
        <v>3.0000000000000001E-3</v>
      </c>
      <c r="E6" s="102">
        <v>5.9999999999999995E-4</v>
      </c>
      <c r="F6" s="171">
        <v>70.8</v>
      </c>
    </row>
    <row r="7" spans="1:6" x14ac:dyDescent="0.25">
      <c r="A7" s="85" t="s">
        <v>462</v>
      </c>
      <c r="B7" t="s">
        <v>463</v>
      </c>
      <c r="C7" s="94">
        <v>0</v>
      </c>
      <c r="D7" s="94">
        <v>3.0000000000000001E-3</v>
      </c>
      <c r="E7" s="102">
        <v>5.9999999999999995E-4</v>
      </c>
      <c r="F7" s="171">
        <v>79.599999999999994</v>
      </c>
    </row>
    <row r="8" spans="1:6" x14ac:dyDescent="0.25">
      <c r="A8" s="85" t="s">
        <v>464</v>
      </c>
      <c r="B8" t="s">
        <v>465</v>
      </c>
      <c r="C8" s="94">
        <v>260</v>
      </c>
      <c r="D8" s="94">
        <v>0</v>
      </c>
      <c r="E8" s="102">
        <v>0</v>
      </c>
      <c r="F8" s="171">
        <v>0</v>
      </c>
    </row>
    <row r="9" spans="1:6" x14ac:dyDescent="0.25">
      <c r="A9" s="85" t="s">
        <v>466</v>
      </c>
      <c r="B9" t="s">
        <v>467</v>
      </c>
      <c r="C9" s="94">
        <v>0</v>
      </c>
      <c r="D9" s="94">
        <v>1E-3</v>
      </c>
      <c r="E9" s="102">
        <v>1E-4</v>
      </c>
      <c r="F9" s="171">
        <v>54.6</v>
      </c>
    </row>
    <row r="10" spans="1:6" x14ac:dyDescent="0.25">
      <c r="A10" s="85" t="s">
        <v>468</v>
      </c>
      <c r="B10" t="s">
        <v>469</v>
      </c>
      <c r="C10" s="94">
        <v>0</v>
      </c>
      <c r="D10" s="94">
        <v>0.03</v>
      </c>
      <c r="E10" s="102">
        <v>4.0000000000000001E-3</v>
      </c>
      <c r="F10" s="171">
        <v>112</v>
      </c>
    </row>
    <row r="11" spans="1:6" x14ac:dyDescent="0.25">
      <c r="A11" s="85" t="s">
        <v>470</v>
      </c>
      <c r="B11" t="s">
        <v>471</v>
      </c>
      <c r="C11" s="94">
        <v>96.333333333333329</v>
      </c>
      <c r="D11" s="94">
        <v>1E-3</v>
      </c>
      <c r="E11" s="102">
        <v>1.5E-3</v>
      </c>
      <c r="F11" s="171">
        <v>0</v>
      </c>
    </row>
    <row r="12" spans="1:6" x14ac:dyDescent="0.25">
      <c r="A12" s="85" t="s">
        <v>472</v>
      </c>
      <c r="B12" t="s">
        <v>473</v>
      </c>
      <c r="C12" s="94">
        <v>101</v>
      </c>
      <c r="D12" s="94">
        <v>1E-3</v>
      </c>
      <c r="E12" s="102">
        <v>1.5E-3</v>
      </c>
      <c r="F12" s="171">
        <v>0</v>
      </c>
    </row>
    <row r="13" spans="1:6" x14ac:dyDescent="0.25">
      <c r="A13" s="85" t="s">
        <v>474</v>
      </c>
      <c r="B13" t="s">
        <v>475</v>
      </c>
      <c r="C13" s="94">
        <v>44.4</v>
      </c>
      <c r="D13" s="94">
        <v>1E-3</v>
      </c>
      <c r="E13" s="102">
        <v>1E-4</v>
      </c>
      <c r="F13" s="171">
        <v>0</v>
      </c>
    </row>
    <row r="14" spans="1:6" x14ac:dyDescent="0.25">
      <c r="A14" s="85" t="s">
        <v>476</v>
      </c>
      <c r="B14" t="s">
        <v>477</v>
      </c>
      <c r="C14" s="94">
        <v>107</v>
      </c>
      <c r="D14" s="94">
        <v>1E-3</v>
      </c>
      <c r="E14" s="102">
        <v>1.5E-3</v>
      </c>
      <c r="F14" s="171">
        <v>0</v>
      </c>
    </row>
    <row r="15" spans="1:6" x14ac:dyDescent="0.25">
      <c r="A15" s="85" t="s">
        <v>478</v>
      </c>
      <c r="B15" t="s">
        <v>479</v>
      </c>
      <c r="C15" s="94">
        <v>74.099999999999994</v>
      </c>
      <c r="D15" s="94">
        <v>3.0000000000000001E-3</v>
      </c>
      <c r="E15" s="102">
        <v>5.9999999999999995E-4</v>
      </c>
      <c r="F15" s="171">
        <v>0</v>
      </c>
    </row>
    <row r="16" spans="1:6" x14ac:dyDescent="0.25">
      <c r="A16" s="85" t="s">
        <v>288</v>
      </c>
      <c r="B16" t="s">
        <v>289</v>
      </c>
      <c r="C16" s="94">
        <v>0</v>
      </c>
      <c r="D16" s="94">
        <v>0</v>
      </c>
      <c r="E16" s="102">
        <v>0</v>
      </c>
      <c r="F16" s="171">
        <v>0</v>
      </c>
    </row>
    <row r="17" spans="1:29" x14ac:dyDescent="0.25">
      <c r="A17" s="85" t="s">
        <v>292</v>
      </c>
      <c r="B17" t="s">
        <v>293</v>
      </c>
      <c r="C17" s="94">
        <v>56.1</v>
      </c>
      <c r="D17" s="94">
        <v>1E-3</v>
      </c>
      <c r="E17" s="102">
        <v>1E-4</v>
      </c>
      <c r="F17" s="171">
        <v>0</v>
      </c>
    </row>
    <row r="18" spans="1:29" x14ac:dyDescent="0.25">
      <c r="A18" s="85" t="s">
        <v>480</v>
      </c>
      <c r="B18" t="s">
        <v>481</v>
      </c>
      <c r="C18" s="94">
        <v>69.3</v>
      </c>
      <c r="D18" s="94">
        <v>3.0000000000000001E-3</v>
      </c>
      <c r="E18" s="102">
        <v>5.9999999999999995E-4</v>
      </c>
      <c r="F18" s="171">
        <v>0</v>
      </c>
    </row>
    <row r="19" spans="1:29" x14ac:dyDescent="0.25">
      <c r="A19" s="85" t="s">
        <v>294</v>
      </c>
      <c r="B19" t="s">
        <v>295</v>
      </c>
      <c r="C19" s="94">
        <v>0</v>
      </c>
      <c r="D19" s="94">
        <v>0</v>
      </c>
      <c r="E19" s="102">
        <v>0</v>
      </c>
      <c r="F19" s="171">
        <v>0</v>
      </c>
    </row>
    <row r="20" spans="1:29" x14ac:dyDescent="0.25">
      <c r="A20" s="85" t="s">
        <v>482</v>
      </c>
      <c r="B20" t="s">
        <v>483</v>
      </c>
      <c r="C20" s="94">
        <v>77.400000000000006</v>
      </c>
      <c r="D20" s="94">
        <v>1E-3</v>
      </c>
      <c r="E20" s="102">
        <v>5.9999999999999995E-4</v>
      </c>
      <c r="F20" s="171">
        <v>0</v>
      </c>
    </row>
    <row r="21" spans="1:29" x14ac:dyDescent="0.25">
      <c r="A21" s="85" t="s">
        <v>484</v>
      </c>
      <c r="B21" t="s">
        <v>485</v>
      </c>
      <c r="C21" s="94">
        <v>71.5</v>
      </c>
      <c r="D21" s="94">
        <v>3.0000000000000001E-3</v>
      </c>
      <c r="E21" s="102">
        <v>5.9999999999999995E-4</v>
      </c>
      <c r="F21" s="171">
        <v>0</v>
      </c>
    </row>
    <row r="22" spans="1:29" x14ac:dyDescent="0.25">
      <c r="A22" s="85" t="s">
        <v>486</v>
      </c>
      <c r="B22" t="s">
        <v>487</v>
      </c>
      <c r="C22" s="94">
        <v>63.1</v>
      </c>
      <c r="D22" s="94">
        <v>1E-3</v>
      </c>
      <c r="E22" s="102">
        <v>1E-4</v>
      </c>
      <c r="F22" s="171">
        <v>0</v>
      </c>
    </row>
    <row r="23" spans="1:29" x14ac:dyDescent="0.25">
      <c r="A23" s="85" t="s">
        <v>488</v>
      </c>
      <c r="B23" t="s">
        <v>489</v>
      </c>
      <c r="C23" s="94">
        <v>73.3</v>
      </c>
      <c r="D23" s="94">
        <v>3.0000000000000001E-3</v>
      </c>
      <c r="E23" s="102">
        <v>5.9999999999999995E-4</v>
      </c>
      <c r="F23" s="171">
        <v>0</v>
      </c>
    </row>
    <row r="24" spans="1:29" x14ac:dyDescent="0.25">
      <c r="A24" s="85" t="s">
        <v>490</v>
      </c>
      <c r="B24" t="s">
        <v>491</v>
      </c>
      <c r="C24" s="94">
        <v>73.3</v>
      </c>
      <c r="D24" s="94">
        <v>3.0000000000000001E-3</v>
      </c>
      <c r="E24" s="102">
        <v>5.9999999999999995E-4</v>
      </c>
      <c r="F24" s="171">
        <v>0</v>
      </c>
    </row>
    <row r="25" spans="1:29" x14ac:dyDescent="0.25">
      <c r="A25" s="85" t="s">
        <v>492</v>
      </c>
      <c r="B25" t="s">
        <v>493</v>
      </c>
      <c r="C25" s="94">
        <v>80</v>
      </c>
      <c r="D25" s="94">
        <v>3.0000000000000001E-3</v>
      </c>
      <c r="E25" s="102">
        <v>5.9999999999999995E-4</v>
      </c>
      <c r="F25" s="171">
        <v>0</v>
      </c>
    </row>
    <row r="26" spans="1:29" x14ac:dyDescent="0.25">
      <c r="A26" s="85" t="s">
        <v>494</v>
      </c>
      <c r="B26" t="s">
        <v>495</v>
      </c>
      <c r="C26" s="94">
        <v>0</v>
      </c>
      <c r="D26" s="94">
        <v>0.03</v>
      </c>
      <c r="E26" s="102">
        <v>4.0000000000000001E-3</v>
      </c>
      <c r="F26" s="171">
        <v>100</v>
      </c>
    </row>
    <row r="27" spans="1:29" x14ac:dyDescent="0.25">
      <c r="A27" s="91" t="s">
        <v>365</v>
      </c>
      <c r="B27" s="92" t="s">
        <v>496</v>
      </c>
      <c r="C27" s="160">
        <v>0</v>
      </c>
      <c r="D27" s="160">
        <v>0</v>
      </c>
      <c r="E27" s="165">
        <v>0</v>
      </c>
      <c r="F27" s="172">
        <v>0</v>
      </c>
    </row>
    <row r="30" spans="1:29" ht="15.75" x14ac:dyDescent="0.25">
      <c r="A30" s="81" t="s">
        <v>497</v>
      </c>
    </row>
    <row r="32" spans="1:29" x14ac:dyDescent="0.25">
      <c r="B32" t="s">
        <v>112</v>
      </c>
      <c r="C32" t="s">
        <v>115</v>
      </c>
      <c r="D32" t="s">
        <v>118</v>
      </c>
      <c r="E32" t="s">
        <v>121</v>
      </c>
      <c r="F32" t="s">
        <v>124</v>
      </c>
      <c r="G32" t="s">
        <v>127</v>
      </c>
      <c r="H32" t="s">
        <v>130</v>
      </c>
      <c r="I32" t="s">
        <v>133</v>
      </c>
      <c r="J32" t="s">
        <v>136</v>
      </c>
      <c r="K32" t="s">
        <v>138</v>
      </c>
      <c r="L32" t="s">
        <v>140</v>
      </c>
      <c r="M32" t="s">
        <v>142</v>
      </c>
      <c r="N32" t="s">
        <v>145</v>
      </c>
      <c r="O32" t="s">
        <v>148</v>
      </c>
      <c r="P32" t="s">
        <v>151</v>
      </c>
      <c r="Q32" t="s">
        <v>154</v>
      </c>
      <c r="R32" t="s">
        <v>157</v>
      </c>
      <c r="S32" t="s">
        <v>160</v>
      </c>
      <c r="T32" t="s">
        <v>163</v>
      </c>
      <c r="U32" t="s">
        <v>165</v>
      </c>
      <c r="V32" t="s">
        <v>167</v>
      </c>
      <c r="W32" t="s">
        <v>170</v>
      </c>
      <c r="X32" t="s">
        <v>173</v>
      </c>
      <c r="Y32" t="s">
        <v>176</v>
      </c>
      <c r="Z32" t="s">
        <v>178</v>
      </c>
      <c r="AA32" t="s">
        <v>180</v>
      </c>
      <c r="AB32" t="s">
        <v>183</v>
      </c>
      <c r="AC32" t="s">
        <v>186</v>
      </c>
    </row>
    <row r="33" spans="1:30" x14ac:dyDescent="0.25">
      <c r="A33" t="s">
        <v>498</v>
      </c>
      <c r="B33" s="173">
        <v>0</v>
      </c>
      <c r="C33" s="173">
        <v>0</v>
      </c>
      <c r="D33" s="173">
        <v>1</v>
      </c>
      <c r="E33" s="173">
        <v>0.57870370370370372</v>
      </c>
      <c r="F33" s="173">
        <v>0.63603818615751795</v>
      </c>
      <c r="G33" s="173">
        <v>0.9263157894736842</v>
      </c>
      <c r="H33" s="173">
        <v>0.28301886792452829</v>
      </c>
      <c r="I33" s="173">
        <v>1</v>
      </c>
      <c r="J33" s="173">
        <v>0.66666666666666663</v>
      </c>
      <c r="K33" s="173">
        <v>0.87179487179487181</v>
      </c>
      <c r="L33" s="173">
        <v>0</v>
      </c>
      <c r="M33" s="173">
        <v>0.23708450140168202</v>
      </c>
      <c r="N33" s="173">
        <v>0.69090909090909092</v>
      </c>
      <c r="O33" s="173">
        <v>0</v>
      </c>
      <c r="P33" s="173">
        <v>0.76699029126213591</v>
      </c>
      <c r="Q33" s="173">
        <v>1</v>
      </c>
      <c r="R33" s="173">
        <v>1</v>
      </c>
      <c r="S33" s="173">
        <v>0.89859154929577467</v>
      </c>
      <c r="T33" s="173">
        <v>0.91475644699140402</v>
      </c>
      <c r="U33" s="173">
        <v>0</v>
      </c>
      <c r="V33" s="173">
        <v>0.84285714285714286</v>
      </c>
      <c r="W33" s="173">
        <v>0.47252747252747251</v>
      </c>
      <c r="X33" s="173">
        <v>1</v>
      </c>
      <c r="Y33" s="173">
        <v>0.1</v>
      </c>
      <c r="Z33" s="173">
        <v>0</v>
      </c>
      <c r="AA33" s="173">
        <v>0.77948717948717949</v>
      </c>
      <c r="AB33" s="173">
        <v>0</v>
      </c>
      <c r="AC33" s="173">
        <v>0.6353944562899787</v>
      </c>
    </row>
    <row r="34" spans="1:30" x14ac:dyDescent="0.25">
      <c r="A34" t="s">
        <v>499</v>
      </c>
      <c r="B34" s="173">
        <v>1</v>
      </c>
      <c r="C34" s="173">
        <v>1</v>
      </c>
      <c r="D34" s="173">
        <v>0</v>
      </c>
      <c r="E34" s="173">
        <v>0.42129629629629628</v>
      </c>
      <c r="F34" s="173">
        <v>0.36396181384248211</v>
      </c>
      <c r="G34" s="173">
        <v>7.3684210526315783E-2</v>
      </c>
      <c r="H34" s="173">
        <v>0.71698113207547165</v>
      </c>
      <c r="I34" s="173">
        <v>0</v>
      </c>
      <c r="J34" s="173">
        <v>0.33333333333333331</v>
      </c>
      <c r="K34" s="173">
        <v>0.12820512820512819</v>
      </c>
      <c r="L34" s="173">
        <v>1</v>
      </c>
      <c r="M34" s="173">
        <v>0.76291549859831798</v>
      </c>
      <c r="N34" s="173">
        <v>0.30909090909090908</v>
      </c>
      <c r="O34" s="173">
        <v>1</v>
      </c>
      <c r="P34" s="173">
        <v>0.23300970873786409</v>
      </c>
      <c r="Q34" s="173">
        <v>0</v>
      </c>
      <c r="R34" s="173">
        <v>0</v>
      </c>
      <c r="S34" s="173">
        <v>0.10140845070422536</v>
      </c>
      <c r="T34" s="173">
        <v>8.5243553008595985E-2</v>
      </c>
      <c r="U34" s="173">
        <v>1</v>
      </c>
      <c r="V34" s="173">
        <v>0.15714285714285714</v>
      </c>
      <c r="W34" s="173">
        <v>0.52747252747252749</v>
      </c>
      <c r="X34" s="173">
        <v>0</v>
      </c>
      <c r="Y34" s="173">
        <v>0.9</v>
      </c>
      <c r="Z34" s="173">
        <v>1</v>
      </c>
      <c r="AA34" s="173">
        <v>0.22051282051282051</v>
      </c>
      <c r="AB34" s="173">
        <v>1</v>
      </c>
      <c r="AC34" s="173">
        <v>0.3646055437100213</v>
      </c>
    </row>
    <row r="35" spans="1:30" x14ac:dyDescent="0.25">
      <c r="C35" s="94"/>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row>
    <row r="37" spans="1:30" ht="15.75" x14ac:dyDescent="0.25">
      <c r="A37" s="81" t="s">
        <v>500</v>
      </c>
      <c r="D37" s="94"/>
    </row>
    <row r="39" spans="1:30" ht="15.75" x14ac:dyDescent="0.25">
      <c r="A39" s="174" t="s">
        <v>501</v>
      </c>
      <c r="B39" s="83"/>
      <c r="C39" s="83" t="s">
        <v>112</v>
      </c>
      <c r="D39" s="83" t="s">
        <v>115</v>
      </c>
      <c r="E39" s="83" t="s">
        <v>118</v>
      </c>
      <c r="F39" s="83" t="s">
        <v>121</v>
      </c>
      <c r="G39" s="83" t="s">
        <v>124</v>
      </c>
      <c r="H39" s="83" t="s">
        <v>127</v>
      </c>
      <c r="I39" s="83" t="s">
        <v>130</v>
      </c>
      <c r="J39" s="83" t="s">
        <v>133</v>
      </c>
      <c r="K39" s="83" t="s">
        <v>136</v>
      </c>
      <c r="L39" s="83" t="s">
        <v>138</v>
      </c>
      <c r="M39" s="83" t="s">
        <v>140</v>
      </c>
      <c r="N39" s="83" t="s">
        <v>142</v>
      </c>
      <c r="O39" s="83" t="s">
        <v>145</v>
      </c>
      <c r="P39" s="83" t="s">
        <v>148</v>
      </c>
      <c r="Q39" s="83" t="s">
        <v>151</v>
      </c>
      <c r="R39" s="83" t="s">
        <v>154</v>
      </c>
      <c r="S39" s="83" t="s">
        <v>157</v>
      </c>
      <c r="T39" s="83" t="s">
        <v>160</v>
      </c>
      <c r="U39" s="83" t="s">
        <v>163</v>
      </c>
      <c r="V39" s="83" t="s">
        <v>165</v>
      </c>
      <c r="W39" s="83" t="s">
        <v>167</v>
      </c>
      <c r="X39" s="83" t="s">
        <v>170</v>
      </c>
      <c r="Y39" s="83" t="s">
        <v>173</v>
      </c>
      <c r="Z39" s="83" t="s">
        <v>176</v>
      </c>
      <c r="AA39" s="83" t="s">
        <v>178</v>
      </c>
      <c r="AB39" s="83" t="s">
        <v>180</v>
      </c>
      <c r="AC39" s="83" t="s">
        <v>183</v>
      </c>
      <c r="AD39" s="84" t="s">
        <v>186</v>
      </c>
    </row>
    <row r="40" spans="1:30" x14ac:dyDescent="0.25">
      <c r="A40" s="85"/>
      <c r="C40" t="s">
        <v>502</v>
      </c>
      <c r="D40" t="s">
        <v>502</v>
      </c>
      <c r="E40" t="s">
        <v>502</v>
      </c>
      <c r="F40" t="s">
        <v>502</v>
      </c>
      <c r="G40" t="s">
        <v>502</v>
      </c>
      <c r="H40" t="s">
        <v>502</v>
      </c>
      <c r="I40" t="s">
        <v>502</v>
      </c>
      <c r="J40" t="s">
        <v>502</v>
      </c>
      <c r="K40" t="s">
        <v>502</v>
      </c>
      <c r="L40" t="s">
        <v>502</v>
      </c>
      <c r="M40" t="s">
        <v>502</v>
      </c>
      <c r="N40" t="s">
        <v>502</v>
      </c>
      <c r="O40" t="s">
        <v>502</v>
      </c>
      <c r="P40" t="s">
        <v>502</v>
      </c>
      <c r="Q40" t="s">
        <v>502</v>
      </c>
      <c r="R40" t="s">
        <v>502</v>
      </c>
      <c r="S40" t="s">
        <v>502</v>
      </c>
      <c r="T40" t="s">
        <v>502</v>
      </c>
      <c r="U40" t="s">
        <v>502</v>
      </c>
      <c r="V40" t="s">
        <v>502</v>
      </c>
      <c r="W40" t="s">
        <v>502</v>
      </c>
      <c r="X40" t="s">
        <v>502</v>
      </c>
      <c r="Y40" t="s">
        <v>502</v>
      </c>
      <c r="Z40" t="s">
        <v>502</v>
      </c>
      <c r="AA40" t="s">
        <v>502</v>
      </c>
      <c r="AB40" t="s">
        <v>502</v>
      </c>
      <c r="AC40" t="s">
        <v>502</v>
      </c>
      <c r="AD40" s="95" t="s">
        <v>502</v>
      </c>
    </row>
    <row r="41" spans="1:30" x14ac:dyDescent="0.25">
      <c r="A41" s="85" t="s">
        <v>503</v>
      </c>
      <c r="B41" t="s">
        <v>504</v>
      </c>
      <c r="C41" s="175">
        <v>0.58322717622080678</v>
      </c>
      <c r="D41" s="175">
        <v>0.58322717622080678</v>
      </c>
      <c r="E41" s="175">
        <v>3.6985138004246285E-2</v>
      </c>
      <c r="F41" s="175">
        <v>0.26711488558622315</v>
      </c>
      <c r="G41" s="175">
        <v>0.23579638103056011</v>
      </c>
      <c r="H41" s="175">
        <v>7.7234551346519173E-2</v>
      </c>
      <c r="I41" s="175">
        <v>0.42863037295196893</v>
      </c>
      <c r="J41" s="175">
        <v>3.6985138004246285E-2</v>
      </c>
      <c r="K41" s="175">
        <v>0.21906581740976647</v>
      </c>
      <c r="L41" s="175">
        <v>0.10701616854483097</v>
      </c>
      <c r="M41" s="175">
        <v>0.58322717622080678</v>
      </c>
      <c r="N41" s="175">
        <v>0.45372165494559513</v>
      </c>
      <c r="O41" s="175">
        <v>0.20582358618027408</v>
      </c>
      <c r="P41" s="175">
        <v>0.58322717622080678</v>
      </c>
      <c r="Q41" s="175">
        <v>0.16426483622946431</v>
      </c>
      <c r="R41" s="175">
        <v>3.6985138004246285E-2</v>
      </c>
      <c r="S41" s="175">
        <v>3.6985138004246285E-2</v>
      </c>
      <c r="T41" s="175">
        <v>9.2378696809305952E-2</v>
      </c>
      <c r="U41" s="175">
        <v>8.3548750144483167E-2</v>
      </c>
      <c r="V41" s="175">
        <v>0.58322717622080678</v>
      </c>
      <c r="W41" s="175">
        <v>0.12282317258113434</v>
      </c>
      <c r="X41" s="175">
        <v>0.32511280651408042</v>
      </c>
      <c r="Y41" s="175">
        <v>3.6985138004246285E-2</v>
      </c>
      <c r="Z41" s="175">
        <v>0.52860297239915077</v>
      </c>
      <c r="AA41" s="175">
        <v>0.58322717622080678</v>
      </c>
      <c r="AB41" s="175">
        <v>0.15743851053405192</v>
      </c>
      <c r="AC41" s="175">
        <v>0.58322717622080678</v>
      </c>
      <c r="AD41" s="176">
        <v>0.23614801334546559</v>
      </c>
    </row>
    <row r="42" spans="1:30" x14ac:dyDescent="0.25">
      <c r="A42" s="85" t="s">
        <v>505</v>
      </c>
      <c r="B42" t="s">
        <v>506</v>
      </c>
      <c r="C42" s="177">
        <v>0.66666666666666663</v>
      </c>
      <c r="D42" s="177">
        <v>0.66666666666666663</v>
      </c>
      <c r="E42" s="177">
        <v>0.66666666666666663</v>
      </c>
      <c r="F42" s="177">
        <v>0.66666666666666663</v>
      </c>
      <c r="G42" s="177">
        <v>6.3888888888888884E-2</v>
      </c>
      <c r="H42" s="177">
        <v>0.66666666666666663</v>
      </c>
      <c r="I42" s="177">
        <v>0.66666666666666663</v>
      </c>
      <c r="J42" s="177">
        <v>0.66666666666666663</v>
      </c>
      <c r="K42" s="177">
        <v>0.66666666666666663</v>
      </c>
      <c r="L42" s="177">
        <v>6.3888888888888884E-2</v>
      </c>
      <c r="M42" s="177">
        <v>0.66666666666666663</v>
      </c>
      <c r="N42" s="177">
        <v>0.66666666666666663</v>
      </c>
      <c r="O42" s="177">
        <v>0.66666666666666663</v>
      </c>
      <c r="P42" s="177">
        <v>6.3888888888888884E-2</v>
      </c>
      <c r="Q42" s="177">
        <v>6.3888888888888884E-2</v>
      </c>
      <c r="R42" s="177">
        <v>6.3888888888888884E-2</v>
      </c>
      <c r="S42" s="177">
        <v>6.3888888888888884E-2</v>
      </c>
      <c r="T42" s="177">
        <v>0.66666666666666663</v>
      </c>
      <c r="U42" s="177">
        <v>0.66666666666666663</v>
      </c>
      <c r="V42" s="177">
        <v>6.3888888888888884E-2</v>
      </c>
      <c r="W42" s="177">
        <v>0.66666666666666663</v>
      </c>
      <c r="X42" s="177">
        <v>0.66666666666666663</v>
      </c>
      <c r="Y42" s="177">
        <v>0.66666666666666663</v>
      </c>
      <c r="Z42" s="177">
        <v>0.66666666666666663</v>
      </c>
      <c r="AA42" s="177">
        <v>0.66666666666666663</v>
      </c>
      <c r="AB42" s="177">
        <v>0.66666666666666663</v>
      </c>
      <c r="AC42" s="177">
        <v>6.3888888888888884E-2</v>
      </c>
      <c r="AD42" s="178">
        <v>6.3888888888888884E-2</v>
      </c>
    </row>
    <row r="43" spans="1:30" x14ac:dyDescent="0.25">
      <c r="A43" s="85" t="s">
        <v>507</v>
      </c>
      <c r="B43" t="s">
        <v>506</v>
      </c>
      <c r="C43" s="177">
        <v>2.7777777777777779E-5</v>
      </c>
      <c r="D43" s="177">
        <v>2.7777777777777779E-5</v>
      </c>
      <c r="E43" s="177">
        <v>2.7777777777777779E-5</v>
      </c>
      <c r="F43" s="177">
        <v>2.7777777777777779E-5</v>
      </c>
      <c r="G43" s="177">
        <v>2.1111111111111111E-5</v>
      </c>
      <c r="H43" s="177">
        <v>2.7777777777777779E-5</v>
      </c>
      <c r="I43" s="177">
        <v>2.7777777777777779E-5</v>
      </c>
      <c r="J43" s="177">
        <v>2.7777777777777779E-5</v>
      </c>
      <c r="K43" s="177">
        <v>2.7777777777777779E-5</v>
      </c>
      <c r="L43" s="177">
        <v>2.1111111111111111E-5</v>
      </c>
      <c r="M43" s="177">
        <v>2.7777777777777779E-5</v>
      </c>
      <c r="N43" s="177">
        <v>2.7777777777777779E-5</v>
      </c>
      <c r="O43" s="177">
        <v>2.7777777777777779E-5</v>
      </c>
      <c r="P43" s="177">
        <v>2.1111111111111111E-5</v>
      </c>
      <c r="Q43" s="177">
        <v>2.1111111111111111E-5</v>
      </c>
      <c r="R43" s="177">
        <v>2.1111111111111111E-5</v>
      </c>
      <c r="S43" s="177">
        <v>2.1111111111111111E-5</v>
      </c>
      <c r="T43" s="177">
        <v>2.7777777777777779E-5</v>
      </c>
      <c r="U43" s="177">
        <v>2.7777777777777779E-5</v>
      </c>
      <c r="V43" s="177">
        <v>2.1111111111111111E-5</v>
      </c>
      <c r="W43" s="177">
        <v>2.7777777777777779E-5</v>
      </c>
      <c r="X43" s="177">
        <v>2.7777777777777779E-5</v>
      </c>
      <c r="Y43" s="177">
        <v>2.7777777777777779E-5</v>
      </c>
      <c r="Z43" s="177">
        <v>2.7777777777777779E-5</v>
      </c>
      <c r="AA43" s="177">
        <v>2.7777777777777779E-5</v>
      </c>
      <c r="AB43" s="177">
        <v>2.7777777777777779E-5</v>
      </c>
      <c r="AC43" s="177">
        <v>2.1111111111111111E-5</v>
      </c>
      <c r="AD43" s="178">
        <v>2.1111111111111111E-5</v>
      </c>
    </row>
    <row r="44" spans="1:30" x14ac:dyDescent="0.25">
      <c r="A44" s="85" t="s">
        <v>508</v>
      </c>
      <c r="B44" t="s">
        <v>509</v>
      </c>
      <c r="C44" s="177">
        <v>9.7222222222222224E-3</v>
      </c>
      <c r="D44" s="177">
        <v>9.7222222222222224E-3</v>
      </c>
      <c r="E44" s="177">
        <v>9.7222222222222224E-3</v>
      </c>
      <c r="F44" s="177">
        <v>9.7222222222222224E-3</v>
      </c>
      <c r="G44" s="177">
        <v>2.8611111111111111E-2</v>
      </c>
      <c r="H44" s="177">
        <v>9.7222222222222224E-3</v>
      </c>
      <c r="I44" s="177">
        <v>9.7222222222222224E-3</v>
      </c>
      <c r="J44" s="177">
        <v>9.7222222222222224E-3</v>
      </c>
      <c r="K44" s="177">
        <v>9.7222222222222224E-3</v>
      </c>
      <c r="L44" s="177">
        <v>2.8611111111111111E-2</v>
      </c>
      <c r="M44" s="177">
        <v>9.7222222222222224E-3</v>
      </c>
      <c r="N44" s="177">
        <v>9.7222222222222224E-3</v>
      </c>
      <c r="O44" s="177">
        <v>9.7222222222222224E-3</v>
      </c>
      <c r="P44" s="177">
        <v>2.8611111111111111E-2</v>
      </c>
      <c r="Q44" s="177">
        <v>2.8611111111111111E-2</v>
      </c>
      <c r="R44" s="177">
        <v>2.8611111111111111E-2</v>
      </c>
      <c r="S44" s="177">
        <v>2.8611111111111111E-2</v>
      </c>
      <c r="T44" s="177">
        <v>9.7222222222222224E-3</v>
      </c>
      <c r="U44" s="177">
        <v>9.7222222222222224E-3</v>
      </c>
      <c r="V44" s="177">
        <v>2.8611111111111111E-2</v>
      </c>
      <c r="W44" s="177">
        <v>9.7222222222222224E-3</v>
      </c>
      <c r="X44" s="177">
        <v>9.7222222222222224E-3</v>
      </c>
      <c r="Y44" s="177">
        <v>9.7222222222222224E-3</v>
      </c>
      <c r="Z44" s="177">
        <v>9.7222222222222224E-3</v>
      </c>
      <c r="AA44" s="177">
        <v>9.7222222222222224E-3</v>
      </c>
      <c r="AB44" s="177">
        <v>9.7222222222222224E-3</v>
      </c>
      <c r="AC44" s="177">
        <v>2.8611111111111111E-2</v>
      </c>
      <c r="AD44" s="178">
        <v>2.8611111111111111E-2</v>
      </c>
    </row>
    <row r="45" spans="1:30" x14ac:dyDescent="0.25">
      <c r="A45" s="85" t="s">
        <v>510</v>
      </c>
      <c r="B45" t="s">
        <v>509</v>
      </c>
      <c r="C45" s="177">
        <v>7.7777777777777782E-5</v>
      </c>
      <c r="D45" s="177">
        <v>7.7777777777777782E-5</v>
      </c>
      <c r="E45" s="177">
        <v>7.7777777777777782E-5</v>
      </c>
      <c r="F45" s="177">
        <v>7.7777777777777782E-5</v>
      </c>
      <c r="G45" s="177">
        <v>5.5555555555555558E-5</v>
      </c>
      <c r="H45" s="177">
        <v>7.7777777777777782E-5</v>
      </c>
      <c r="I45" s="177">
        <v>7.7777777777777782E-5</v>
      </c>
      <c r="J45" s="177">
        <v>7.7777777777777782E-5</v>
      </c>
      <c r="K45" s="177">
        <v>7.7777777777777782E-5</v>
      </c>
      <c r="L45" s="177">
        <v>5.5555555555555558E-5</v>
      </c>
      <c r="M45" s="177">
        <v>7.7777777777777782E-5</v>
      </c>
      <c r="N45" s="177">
        <v>7.7777777777777782E-5</v>
      </c>
      <c r="O45" s="177">
        <v>7.7777777777777782E-5</v>
      </c>
      <c r="P45" s="177">
        <v>5.5555555555555558E-5</v>
      </c>
      <c r="Q45" s="177">
        <v>5.5555555555555558E-5</v>
      </c>
      <c r="R45" s="177">
        <v>5.5555555555555558E-5</v>
      </c>
      <c r="S45" s="177">
        <v>5.5555555555555558E-5</v>
      </c>
      <c r="T45" s="177">
        <v>7.7777777777777782E-5</v>
      </c>
      <c r="U45" s="177">
        <v>7.7777777777777782E-5</v>
      </c>
      <c r="V45" s="177">
        <v>5.5555555555555558E-5</v>
      </c>
      <c r="W45" s="177">
        <v>7.7777777777777782E-5</v>
      </c>
      <c r="X45" s="177">
        <v>7.7777777777777782E-5</v>
      </c>
      <c r="Y45" s="177">
        <v>7.7777777777777782E-5</v>
      </c>
      <c r="Z45" s="177">
        <v>7.7777777777777782E-5</v>
      </c>
      <c r="AA45" s="177">
        <v>7.7777777777777782E-5</v>
      </c>
      <c r="AB45" s="177">
        <v>7.7777777777777782E-5</v>
      </c>
      <c r="AC45" s="177">
        <v>5.5555555555555558E-5</v>
      </c>
      <c r="AD45" s="178">
        <v>5.5555555555555558E-5</v>
      </c>
    </row>
    <row r="46" spans="1:30" x14ac:dyDescent="0.25">
      <c r="A46" s="85" t="s">
        <v>511</v>
      </c>
      <c r="B46" t="s">
        <v>509</v>
      </c>
      <c r="C46" s="177">
        <v>0</v>
      </c>
      <c r="D46" s="177">
        <v>0</v>
      </c>
      <c r="E46" s="177">
        <v>0</v>
      </c>
      <c r="F46" s="177">
        <v>0</v>
      </c>
      <c r="G46" s="177">
        <v>0</v>
      </c>
      <c r="H46" s="177">
        <v>0</v>
      </c>
      <c r="I46" s="177">
        <v>0</v>
      </c>
      <c r="J46" s="177">
        <v>0</v>
      </c>
      <c r="K46" s="177">
        <v>0</v>
      </c>
      <c r="L46" s="177">
        <v>0</v>
      </c>
      <c r="M46" s="177">
        <v>0</v>
      </c>
      <c r="N46" s="177">
        <v>0</v>
      </c>
      <c r="O46" s="177">
        <v>0</v>
      </c>
      <c r="P46" s="177">
        <v>0</v>
      </c>
      <c r="Q46" s="177">
        <v>0</v>
      </c>
      <c r="R46" s="177">
        <v>0</v>
      </c>
      <c r="S46" s="177">
        <v>0</v>
      </c>
      <c r="T46" s="177">
        <v>0</v>
      </c>
      <c r="U46" s="177">
        <v>0</v>
      </c>
      <c r="V46" s="177">
        <v>0</v>
      </c>
      <c r="W46" s="177">
        <v>0</v>
      </c>
      <c r="X46" s="177">
        <v>0</v>
      </c>
      <c r="Y46" s="177">
        <v>0</v>
      </c>
      <c r="Z46" s="177">
        <v>0</v>
      </c>
      <c r="AA46" s="177">
        <v>0</v>
      </c>
      <c r="AB46" s="177">
        <v>0</v>
      </c>
      <c r="AC46" s="177">
        <v>0</v>
      </c>
      <c r="AD46" s="178">
        <v>0</v>
      </c>
    </row>
    <row r="47" spans="1:30" x14ac:dyDescent="0.25">
      <c r="A47" s="85" t="s">
        <v>512</v>
      </c>
      <c r="B47" t="s">
        <v>513</v>
      </c>
      <c r="C47" s="177">
        <v>3.216666666666667E-2</v>
      </c>
      <c r="D47" s="177">
        <v>3.216666666666667E-2</v>
      </c>
      <c r="E47" s="177">
        <v>3.216666666666667E-2</v>
      </c>
      <c r="F47" s="177">
        <v>3.216666666666667E-2</v>
      </c>
      <c r="G47" s="177">
        <v>1.4027777777777778E-2</v>
      </c>
      <c r="H47" s="177">
        <v>3.216666666666667E-2</v>
      </c>
      <c r="I47" s="177">
        <v>3.216666666666667E-2</v>
      </c>
      <c r="J47" s="177">
        <v>3.216666666666667E-2</v>
      </c>
      <c r="K47" s="177">
        <v>3.216666666666667E-2</v>
      </c>
      <c r="L47" s="177">
        <v>1.4027777777777778E-2</v>
      </c>
      <c r="M47" s="177">
        <v>3.216666666666667E-2</v>
      </c>
      <c r="N47" s="177">
        <v>3.216666666666667E-2</v>
      </c>
      <c r="O47" s="177">
        <v>3.216666666666667E-2</v>
      </c>
      <c r="P47" s="177">
        <v>1.4027777777777778E-2</v>
      </c>
      <c r="Q47" s="177">
        <v>1.4027777777777778E-2</v>
      </c>
      <c r="R47" s="177">
        <v>1.4027777777777778E-2</v>
      </c>
      <c r="S47" s="177">
        <v>1.4027777777777778E-2</v>
      </c>
      <c r="T47" s="177">
        <v>3.216666666666667E-2</v>
      </c>
      <c r="U47" s="177">
        <v>3.216666666666667E-2</v>
      </c>
      <c r="V47" s="177">
        <v>1.4027777777777778E-2</v>
      </c>
      <c r="W47" s="177">
        <v>3.216666666666667E-2</v>
      </c>
      <c r="X47" s="177">
        <v>3.216666666666667E-2</v>
      </c>
      <c r="Y47" s="177">
        <v>3.216666666666667E-2</v>
      </c>
      <c r="Z47" s="177">
        <v>3.216666666666667E-2</v>
      </c>
      <c r="AA47" s="177">
        <v>3.216666666666667E-2</v>
      </c>
      <c r="AB47" s="177">
        <v>3.216666666666667E-2</v>
      </c>
      <c r="AC47" s="177">
        <v>1.4027777777777778E-2</v>
      </c>
      <c r="AD47" s="178">
        <v>1.4027777777777778E-2</v>
      </c>
    </row>
    <row r="48" spans="1:30" x14ac:dyDescent="0.25">
      <c r="A48" s="85" t="s">
        <v>514</v>
      </c>
      <c r="B48" t="s">
        <v>513</v>
      </c>
      <c r="C48" s="177">
        <v>2.055555555555556E-2</v>
      </c>
      <c r="D48" s="177">
        <v>2.055555555555556E-2</v>
      </c>
      <c r="E48" s="177">
        <v>2.055555555555556E-2</v>
      </c>
      <c r="F48" s="177">
        <v>2.055555555555556E-2</v>
      </c>
      <c r="G48" s="177">
        <v>8.8888888888888889E-3</v>
      </c>
      <c r="H48" s="177">
        <v>2.055555555555556E-2</v>
      </c>
      <c r="I48" s="177">
        <v>2.055555555555556E-2</v>
      </c>
      <c r="J48" s="177">
        <v>2.055555555555556E-2</v>
      </c>
      <c r="K48" s="177">
        <v>2.055555555555556E-2</v>
      </c>
      <c r="L48" s="177">
        <v>8.8888888888888889E-3</v>
      </c>
      <c r="M48" s="177">
        <v>2.055555555555556E-2</v>
      </c>
      <c r="N48" s="177">
        <v>2.055555555555556E-2</v>
      </c>
      <c r="O48" s="177">
        <v>2.055555555555556E-2</v>
      </c>
      <c r="P48" s="177">
        <v>8.8888888888888889E-3</v>
      </c>
      <c r="Q48" s="177">
        <v>8.8888888888888889E-3</v>
      </c>
      <c r="R48" s="177">
        <v>8.8888888888888889E-3</v>
      </c>
      <c r="S48" s="177">
        <v>8.8888888888888889E-3</v>
      </c>
      <c r="T48" s="177">
        <v>2.055555555555556E-2</v>
      </c>
      <c r="U48" s="177">
        <v>2.055555555555556E-2</v>
      </c>
      <c r="V48" s="177">
        <v>8.8888888888888889E-3</v>
      </c>
      <c r="W48" s="177">
        <v>2.055555555555556E-2</v>
      </c>
      <c r="X48" s="177">
        <v>2.055555555555556E-2</v>
      </c>
      <c r="Y48" s="177">
        <v>2.055555555555556E-2</v>
      </c>
      <c r="Z48" s="177">
        <v>2.055555555555556E-2</v>
      </c>
      <c r="AA48" s="177">
        <v>2.055555555555556E-2</v>
      </c>
      <c r="AB48" s="177">
        <v>2.055555555555556E-2</v>
      </c>
      <c r="AC48" s="177">
        <v>8.8888888888888889E-3</v>
      </c>
      <c r="AD48" s="178">
        <v>8.8888888888888889E-3</v>
      </c>
    </row>
    <row r="49" spans="1:30" x14ac:dyDescent="0.25">
      <c r="A49" s="85" t="s">
        <v>515</v>
      </c>
      <c r="B49" t="s">
        <v>516</v>
      </c>
      <c r="C49" s="177">
        <v>6.9444444444444448E-2</v>
      </c>
      <c r="D49" s="177">
        <v>6.9444444444444448E-2</v>
      </c>
      <c r="E49" s="177">
        <v>6.9444444444444448E-2</v>
      </c>
      <c r="F49" s="177">
        <v>6.9444444444444448E-2</v>
      </c>
      <c r="G49" s="177">
        <v>3.0555555555555558E-2</v>
      </c>
      <c r="H49" s="177">
        <v>6.9444444444444448E-2</v>
      </c>
      <c r="I49" s="177">
        <v>6.9444444444444448E-2</v>
      </c>
      <c r="J49" s="177">
        <v>6.9444444444444448E-2</v>
      </c>
      <c r="K49" s="177">
        <v>6.9444444444444448E-2</v>
      </c>
      <c r="L49" s="177">
        <v>3.0555555555555558E-2</v>
      </c>
      <c r="M49" s="177">
        <v>6.9444444444444448E-2</v>
      </c>
      <c r="N49" s="177">
        <v>6.9444444444444448E-2</v>
      </c>
      <c r="O49" s="177">
        <v>6.9444444444444448E-2</v>
      </c>
      <c r="P49" s="177">
        <v>3.0555555555555558E-2</v>
      </c>
      <c r="Q49" s="177">
        <v>3.0555555555555558E-2</v>
      </c>
      <c r="R49" s="177">
        <v>3.0555555555555558E-2</v>
      </c>
      <c r="S49" s="177">
        <v>3.0555555555555558E-2</v>
      </c>
      <c r="T49" s="177">
        <v>6.9444444444444448E-2</v>
      </c>
      <c r="U49" s="177">
        <v>6.9444444444444448E-2</v>
      </c>
      <c r="V49" s="177">
        <v>3.0555555555555558E-2</v>
      </c>
      <c r="W49" s="177">
        <v>6.9444444444444448E-2</v>
      </c>
      <c r="X49" s="177">
        <v>6.9444444444444448E-2</v>
      </c>
      <c r="Y49" s="177">
        <v>6.9444444444444448E-2</v>
      </c>
      <c r="Z49" s="177">
        <v>6.9444444444444448E-2</v>
      </c>
      <c r="AA49" s="177">
        <v>6.9444444444444448E-2</v>
      </c>
      <c r="AB49" s="177">
        <v>6.9444444444444448E-2</v>
      </c>
      <c r="AC49" s="177">
        <v>3.0555555555555558E-2</v>
      </c>
      <c r="AD49" s="178">
        <v>3.0555555555555558E-2</v>
      </c>
    </row>
    <row r="50" spans="1:30" x14ac:dyDescent="0.25">
      <c r="A50" s="85" t="s">
        <v>517</v>
      </c>
      <c r="B50" t="s">
        <v>518</v>
      </c>
      <c r="C50" s="177">
        <v>3.8461538461538464E-3</v>
      </c>
      <c r="D50" s="177">
        <v>3.8461538461538464E-3</v>
      </c>
      <c r="E50" s="177">
        <v>3.8461538461538464E-3</v>
      </c>
      <c r="F50" s="177">
        <v>3.8461538461538464E-3</v>
      </c>
      <c r="G50" s="177">
        <v>3.8461538461538464E-3</v>
      </c>
      <c r="H50" s="177">
        <v>3.8461538461538464E-3</v>
      </c>
      <c r="I50" s="177">
        <v>3.8461538461538464E-3</v>
      </c>
      <c r="J50" s="177">
        <v>3.8461538461538464E-3</v>
      </c>
      <c r="K50" s="177">
        <v>3.8461538461538464E-3</v>
      </c>
      <c r="L50" s="177">
        <v>3.8461538461538464E-3</v>
      </c>
      <c r="M50" s="177">
        <v>3.8461538461538464E-3</v>
      </c>
      <c r="N50" s="177">
        <v>3.8461538461538464E-3</v>
      </c>
      <c r="O50" s="177">
        <v>3.8461538461538464E-3</v>
      </c>
      <c r="P50" s="177">
        <v>3.8461538461538464E-3</v>
      </c>
      <c r="Q50" s="177">
        <v>3.8461538461538464E-3</v>
      </c>
      <c r="R50" s="177">
        <v>3.8461538461538464E-3</v>
      </c>
      <c r="S50" s="177">
        <v>3.8461538461538464E-3</v>
      </c>
      <c r="T50" s="177">
        <v>3.8461538461538464E-3</v>
      </c>
      <c r="U50" s="177">
        <v>3.8461538461538464E-3</v>
      </c>
      <c r="V50" s="177">
        <v>3.8461538461538464E-3</v>
      </c>
      <c r="W50" s="177">
        <v>3.8461538461538464E-3</v>
      </c>
      <c r="X50" s="177">
        <v>3.8461538461538464E-3</v>
      </c>
      <c r="Y50" s="177">
        <v>3.8461538461538464E-3</v>
      </c>
      <c r="Z50" s="177">
        <v>3.8461538461538464E-3</v>
      </c>
      <c r="AA50" s="177">
        <v>3.8461538461538464E-3</v>
      </c>
      <c r="AB50" s="177">
        <v>3.8461538461538464E-3</v>
      </c>
      <c r="AC50" s="177">
        <v>3.8461538461538464E-3</v>
      </c>
      <c r="AD50" s="178">
        <v>3.8461538461538464E-3</v>
      </c>
    </row>
    <row r="51" spans="1:30" x14ac:dyDescent="0.25">
      <c r="A51" s="85" t="s">
        <v>519</v>
      </c>
      <c r="B51" t="s">
        <v>520</v>
      </c>
      <c r="C51" s="177">
        <v>0</v>
      </c>
      <c r="D51" s="177">
        <v>0</v>
      </c>
      <c r="E51" s="177">
        <v>0</v>
      </c>
      <c r="F51" s="177">
        <v>0</v>
      </c>
      <c r="G51" s="177">
        <v>0</v>
      </c>
      <c r="H51" s="177">
        <v>0</v>
      </c>
      <c r="I51" s="177">
        <v>0</v>
      </c>
      <c r="J51" s="177">
        <v>0</v>
      </c>
      <c r="K51" s="177">
        <v>0</v>
      </c>
      <c r="L51" s="177">
        <v>0</v>
      </c>
      <c r="M51" s="177">
        <v>0</v>
      </c>
      <c r="N51" s="177">
        <v>0</v>
      </c>
      <c r="O51" s="177">
        <v>0</v>
      </c>
      <c r="P51" s="177">
        <v>0</v>
      </c>
      <c r="Q51" s="177">
        <v>0</v>
      </c>
      <c r="R51" s="177">
        <v>0</v>
      </c>
      <c r="S51" s="177">
        <v>0</v>
      </c>
      <c r="T51" s="177">
        <v>0</v>
      </c>
      <c r="U51" s="177">
        <v>0</v>
      </c>
      <c r="V51" s="177">
        <v>0</v>
      </c>
      <c r="W51" s="177">
        <v>0</v>
      </c>
      <c r="X51" s="177">
        <v>0</v>
      </c>
      <c r="Y51" s="177">
        <v>0</v>
      </c>
      <c r="Z51" s="177">
        <v>0</v>
      </c>
      <c r="AA51" s="177">
        <v>0</v>
      </c>
      <c r="AB51" s="177">
        <v>0</v>
      </c>
      <c r="AC51" s="177">
        <v>0</v>
      </c>
      <c r="AD51" s="178">
        <v>0</v>
      </c>
    </row>
    <row r="52" spans="1:30" x14ac:dyDescent="0.25">
      <c r="A52" s="85" t="s">
        <v>521</v>
      </c>
      <c r="B52" t="s">
        <v>522</v>
      </c>
      <c r="C52" s="177">
        <v>0</v>
      </c>
      <c r="D52" s="177">
        <v>0</v>
      </c>
      <c r="E52" s="177">
        <v>0</v>
      </c>
      <c r="F52" s="177">
        <v>0</v>
      </c>
      <c r="G52" s="177">
        <v>0</v>
      </c>
      <c r="H52" s="177">
        <v>0</v>
      </c>
      <c r="I52" s="177">
        <v>0</v>
      </c>
      <c r="J52" s="177">
        <v>0</v>
      </c>
      <c r="K52" s="177">
        <v>0</v>
      </c>
      <c r="L52" s="177">
        <v>0</v>
      </c>
      <c r="M52" s="177">
        <v>0</v>
      </c>
      <c r="N52" s="177">
        <v>0</v>
      </c>
      <c r="O52" s="177">
        <v>0</v>
      </c>
      <c r="P52" s="177">
        <v>0</v>
      </c>
      <c r="Q52" s="177">
        <v>0</v>
      </c>
      <c r="R52" s="177">
        <v>0</v>
      </c>
      <c r="S52" s="177">
        <v>0</v>
      </c>
      <c r="T52" s="177">
        <v>0</v>
      </c>
      <c r="U52" s="177">
        <v>0</v>
      </c>
      <c r="V52" s="177">
        <v>0</v>
      </c>
      <c r="W52" s="177">
        <v>0</v>
      </c>
      <c r="X52" s="177">
        <v>0</v>
      </c>
      <c r="Y52" s="177">
        <v>0</v>
      </c>
      <c r="Z52" s="177">
        <v>0</v>
      </c>
      <c r="AA52" s="177">
        <v>0</v>
      </c>
      <c r="AB52" s="177">
        <v>0</v>
      </c>
      <c r="AC52" s="177">
        <v>0</v>
      </c>
      <c r="AD52" s="178">
        <v>0</v>
      </c>
    </row>
    <row r="53" spans="1:30" x14ac:dyDescent="0.25">
      <c r="A53" s="85" t="s">
        <v>523</v>
      </c>
      <c r="B53" t="s">
        <v>524</v>
      </c>
      <c r="C53" s="177">
        <v>1.0447588052112293</v>
      </c>
      <c r="D53" s="177">
        <v>1.0447588052112293</v>
      </c>
      <c r="E53" s="177">
        <v>1.0447588052112293</v>
      </c>
      <c r="F53" s="177">
        <v>1.0447588052112293</v>
      </c>
      <c r="G53" s="177">
        <v>6.2202252665398736E-2</v>
      </c>
      <c r="H53" s="177">
        <v>1.0447588052112293</v>
      </c>
      <c r="I53" s="177">
        <v>1.0447588052112293</v>
      </c>
      <c r="J53" s="177">
        <v>1.0447588052112293</v>
      </c>
      <c r="K53" s="177">
        <v>1.0447588052112293</v>
      </c>
      <c r="L53" s="177">
        <v>6.2202252665398736E-2</v>
      </c>
      <c r="M53" s="177">
        <v>1.0447588052112293</v>
      </c>
      <c r="N53" s="177">
        <v>1.0447588052112293</v>
      </c>
      <c r="O53" s="177">
        <v>1.0447588052112293</v>
      </c>
      <c r="P53" s="177">
        <v>6.2202252665398736E-2</v>
      </c>
      <c r="Q53" s="177">
        <v>6.2202252665398736E-2</v>
      </c>
      <c r="R53" s="177">
        <v>6.2202252665398736E-2</v>
      </c>
      <c r="S53" s="177">
        <v>6.2202252665398736E-2</v>
      </c>
      <c r="T53" s="177">
        <v>1.0447588052112293</v>
      </c>
      <c r="U53" s="177">
        <v>1.0447588052112293</v>
      </c>
      <c r="V53" s="177">
        <v>6.2202252665398736E-2</v>
      </c>
      <c r="W53" s="177">
        <v>1.0447588052112293</v>
      </c>
      <c r="X53" s="177">
        <v>1.0447588052112293</v>
      </c>
      <c r="Y53" s="177">
        <v>1.0447588052112293</v>
      </c>
      <c r="Z53" s="177">
        <v>1.0447588052112293</v>
      </c>
      <c r="AA53" s="177">
        <v>1.0447588052112293</v>
      </c>
      <c r="AB53" s="177">
        <v>1.0447588052112293</v>
      </c>
      <c r="AC53" s="177">
        <v>6.2202252665398736E-2</v>
      </c>
      <c r="AD53" s="178">
        <v>6.2202252665398736E-2</v>
      </c>
    </row>
    <row r="54" spans="1:30" x14ac:dyDescent="0.25">
      <c r="A54" s="85" t="s">
        <v>525</v>
      </c>
      <c r="B54" t="s">
        <v>524</v>
      </c>
      <c r="C54" s="177">
        <v>0.31179074017743724</v>
      </c>
      <c r="D54" s="177">
        <v>0.31179074017743724</v>
      </c>
      <c r="E54" s="177">
        <v>0.31179074017743724</v>
      </c>
      <c r="F54" s="177">
        <v>0.31179074017743724</v>
      </c>
      <c r="G54" s="177">
        <v>0.22604828662864199</v>
      </c>
      <c r="H54" s="177">
        <v>0.31179074017743724</v>
      </c>
      <c r="I54" s="177">
        <v>0.31179074017743724</v>
      </c>
      <c r="J54" s="177">
        <v>0.31179074017743724</v>
      </c>
      <c r="K54" s="177">
        <v>0.31179074017743724</v>
      </c>
      <c r="L54" s="177">
        <v>0.22604828662864199</v>
      </c>
      <c r="M54" s="177">
        <v>0.31179074017743724</v>
      </c>
      <c r="N54" s="177">
        <v>0.31179074017743724</v>
      </c>
      <c r="O54" s="177">
        <v>0.31179074017743724</v>
      </c>
      <c r="P54" s="177">
        <v>0.22604828662864199</v>
      </c>
      <c r="Q54" s="177">
        <v>0.22604828662864199</v>
      </c>
      <c r="R54" s="177">
        <v>0.22604828662864199</v>
      </c>
      <c r="S54" s="177">
        <v>0.22604828662864199</v>
      </c>
      <c r="T54" s="177">
        <v>0.31179074017743724</v>
      </c>
      <c r="U54" s="177">
        <v>0.31179074017743724</v>
      </c>
      <c r="V54" s="177">
        <v>0.22604828662864199</v>
      </c>
      <c r="W54" s="177">
        <v>0.31179074017743724</v>
      </c>
      <c r="X54" s="177">
        <v>0.31179074017743724</v>
      </c>
      <c r="Y54" s="177">
        <v>0.31179074017743724</v>
      </c>
      <c r="Z54" s="177">
        <v>0.31179074017743724</v>
      </c>
      <c r="AA54" s="177">
        <v>0.31179074017743724</v>
      </c>
      <c r="AB54" s="177">
        <v>0.31179074017743724</v>
      </c>
      <c r="AC54" s="177">
        <v>0.22604828662864199</v>
      </c>
      <c r="AD54" s="178">
        <v>0.22604828662864199</v>
      </c>
    </row>
    <row r="55" spans="1:30" x14ac:dyDescent="0.25">
      <c r="A55" s="85" t="s">
        <v>526</v>
      </c>
      <c r="B55" t="s">
        <v>524</v>
      </c>
      <c r="C55" s="177">
        <v>7.5349428876214002E-4</v>
      </c>
      <c r="D55" s="177">
        <v>7.5349428876214002E-4</v>
      </c>
      <c r="E55" s="177">
        <v>7.5349428876214002E-4</v>
      </c>
      <c r="F55" s="177">
        <v>7.5349428876214002E-4</v>
      </c>
      <c r="G55" s="177">
        <v>5.4563379531051526E-4</v>
      </c>
      <c r="H55" s="177">
        <v>7.5349428876214002E-4</v>
      </c>
      <c r="I55" s="177">
        <v>7.5349428876214002E-4</v>
      </c>
      <c r="J55" s="177">
        <v>7.5349428876214002E-4</v>
      </c>
      <c r="K55" s="177">
        <v>7.5349428876214002E-4</v>
      </c>
      <c r="L55" s="177">
        <v>5.4563379531051526E-4</v>
      </c>
      <c r="M55" s="177">
        <v>7.5349428876214002E-4</v>
      </c>
      <c r="N55" s="177">
        <v>7.5349428876214002E-4</v>
      </c>
      <c r="O55" s="177">
        <v>7.5349428876214002E-4</v>
      </c>
      <c r="P55" s="177">
        <v>5.4563379531051526E-4</v>
      </c>
      <c r="Q55" s="177">
        <v>5.4563379531051526E-4</v>
      </c>
      <c r="R55" s="177">
        <v>5.4563379531051526E-4</v>
      </c>
      <c r="S55" s="177">
        <v>5.4563379531051526E-4</v>
      </c>
      <c r="T55" s="177">
        <v>7.5349428876214002E-4</v>
      </c>
      <c r="U55" s="177">
        <v>7.5349428876214002E-4</v>
      </c>
      <c r="V55" s="177">
        <v>5.4563379531051526E-4</v>
      </c>
      <c r="W55" s="177">
        <v>7.5349428876214002E-4</v>
      </c>
      <c r="X55" s="177">
        <v>7.5349428876214002E-4</v>
      </c>
      <c r="Y55" s="177">
        <v>7.5349428876214002E-4</v>
      </c>
      <c r="Z55" s="177">
        <v>7.5349428876214002E-4</v>
      </c>
      <c r="AA55" s="177">
        <v>7.5349428876214002E-4</v>
      </c>
      <c r="AB55" s="177">
        <v>7.5349428876214002E-4</v>
      </c>
      <c r="AC55" s="177">
        <v>5.4563379531051526E-4</v>
      </c>
      <c r="AD55" s="178">
        <v>5.4563379531051526E-4</v>
      </c>
    </row>
    <row r="56" spans="1:30" x14ac:dyDescent="0.25">
      <c r="A56" s="85" t="s">
        <v>527</v>
      </c>
      <c r="B56" t="s">
        <v>528</v>
      </c>
      <c r="C56" s="177">
        <v>0</v>
      </c>
      <c r="D56" s="177">
        <v>0</v>
      </c>
      <c r="E56" s="177">
        <v>0</v>
      </c>
      <c r="F56" s="177">
        <v>0</v>
      </c>
      <c r="G56" s="177">
        <v>0</v>
      </c>
      <c r="H56" s="177">
        <v>0</v>
      </c>
      <c r="I56" s="177">
        <v>0</v>
      </c>
      <c r="J56" s="177">
        <v>0</v>
      </c>
      <c r="K56" s="177">
        <v>0</v>
      </c>
      <c r="L56" s="177">
        <v>0</v>
      </c>
      <c r="M56" s="177">
        <v>0</v>
      </c>
      <c r="N56" s="177">
        <v>0</v>
      </c>
      <c r="O56" s="177">
        <v>0</v>
      </c>
      <c r="P56" s="177">
        <v>0</v>
      </c>
      <c r="Q56" s="177">
        <v>0</v>
      </c>
      <c r="R56" s="177">
        <v>0</v>
      </c>
      <c r="S56" s="177">
        <v>0</v>
      </c>
      <c r="T56" s="177">
        <v>0</v>
      </c>
      <c r="U56" s="177">
        <v>0</v>
      </c>
      <c r="V56" s="177">
        <v>0</v>
      </c>
      <c r="W56" s="177">
        <v>0</v>
      </c>
      <c r="X56" s="177">
        <v>0</v>
      </c>
      <c r="Y56" s="177">
        <v>0</v>
      </c>
      <c r="Z56" s="177">
        <v>0</v>
      </c>
      <c r="AA56" s="177">
        <v>0</v>
      </c>
      <c r="AB56" s="177">
        <v>0</v>
      </c>
      <c r="AC56" s="177">
        <v>0</v>
      </c>
      <c r="AD56" s="178">
        <v>0</v>
      </c>
    </row>
    <row r="57" spans="1:30" x14ac:dyDescent="0.25">
      <c r="A57" s="85" t="s">
        <v>529</v>
      </c>
      <c r="B57" t="s">
        <v>530</v>
      </c>
      <c r="C57" s="177">
        <v>1.4030583307984677E-4</v>
      </c>
      <c r="D57" s="177">
        <v>1.4030583307984677E-4</v>
      </c>
      <c r="E57" s="177">
        <v>1.4030583307984677E-4</v>
      </c>
      <c r="F57" s="177">
        <v>1.4030583307984677E-4</v>
      </c>
      <c r="G57" s="177">
        <v>1.4030583307984677E-4</v>
      </c>
      <c r="H57" s="177">
        <v>1.4030583307984677E-4</v>
      </c>
      <c r="I57" s="177">
        <v>1.4030583307984677E-4</v>
      </c>
      <c r="J57" s="177">
        <v>1.4030583307984677E-4</v>
      </c>
      <c r="K57" s="177">
        <v>1.4030583307984677E-4</v>
      </c>
      <c r="L57" s="177">
        <v>1.4030583307984677E-4</v>
      </c>
      <c r="M57" s="177">
        <v>1.4030583307984677E-4</v>
      </c>
      <c r="N57" s="177">
        <v>1.4030583307984677E-4</v>
      </c>
      <c r="O57" s="177">
        <v>1.4030583307984677E-4</v>
      </c>
      <c r="P57" s="177">
        <v>1.4030583307984677E-4</v>
      </c>
      <c r="Q57" s="177">
        <v>1.4030583307984677E-4</v>
      </c>
      <c r="R57" s="177">
        <v>1.4030583307984677E-4</v>
      </c>
      <c r="S57" s="177">
        <v>1.4030583307984677E-4</v>
      </c>
      <c r="T57" s="177">
        <v>1.4030583307984677E-4</v>
      </c>
      <c r="U57" s="177">
        <v>1.4030583307984677E-4</v>
      </c>
      <c r="V57" s="177">
        <v>1.4030583307984677E-4</v>
      </c>
      <c r="W57" s="177">
        <v>1.4030583307984677E-4</v>
      </c>
      <c r="X57" s="177">
        <v>1.4030583307984677E-4</v>
      </c>
      <c r="Y57" s="177">
        <v>1.4030583307984677E-4</v>
      </c>
      <c r="Z57" s="177">
        <v>1.4030583307984677E-4</v>
      </c>
      <c r="AA57" s="177">
        <v>1.4030583307984677E-4</v>
      </c>
      <c r="AB57" s="177">
        <v>1.4030583307984677E-4</v>
      </c>
      <c r="AC57" s="177">
        <v>1.4030583307984677E-4</v>
      </c>
      <c r="AD57" s="178">
        <v>1.4030583307984677E-4</v>
      </c>
    </row>
    <row r="58" spans="1:30" x14ac:dyDescent="0.25">
      <c r="A58" s="85" t="s">
        <v>531</v>
      </c>
      <c r="B58" t="s">
        <v>532</v>
      </c>
      <c r="C58" s="177">
        <v>6.4956404203632759E-4</v>
      </c>
      <c r="D58" s="177">
        <v>6.4956404203632759E-4</v>
      </c>
      <c r="E58" s="177">
        <v>6.4956404203632759E-4</v>
      </c>
      <c r="F58" s="177">
        <v>6.4956404203632759E-4</v>
      </c>
      <c r="G58" s="177">
        <v>6.4956404203632759E-4</v>
      </c>
      <c r="H58" s="177">
        <v>6.4956404203632759E-4</v>
      </c>
      <c r="I58" s="177">
        <v>6.4956404203632759E-4</v>
      </c>
      <c r="J58" s="177">
        <v>6.4956404203632759E-4</v>
      </c>
      <c r="K58" s="177">
        <v>6.4956404203632759E-4</v>
      </c>
      <c r="L58" s="177">
        <v>6.4956404203632759E-4</v>
      </c>
      <c r="M58" s="177">
        <v>6.4956404203632759E-4</v>
      </c>
      <c r="N58" s="177">
        <v>6.4956404203632759E-4</v>
      </c>
      <c r="O58" s="177">
        <v>6.4956404203632759E-4</v>
      </c>
      <c r="P58" s="177">
        <v>6.4956404203632759E-4</v>
      </c>
      <c r="Q58" s="177">
        <v>6.4956404203632759E-4</v>
      </c>
      <c r="R58" s="177">
        <v>6.4956404203632759E-4</v>
      </c>
      <c r="S58" s="177">
        <v>6.4956404203632759E-4</v>
      </c>
      <c r="T58" s="177">
        <v>6.4956404203632759E-4</v>
      </c>
      <c r="U58" s="177">
        <v>6.4956404203632759E-4</v>
      </c>
      <c r="V58" s="177">
        <v>6.4956404203632759E-4</v>
      </c>
      <c r="W58" s="177">
        <v>6.4956404203632759E-4</v>
      </c>
      <c r="X58" s="177">
        <v>6.4956404203632759E-4</v>
      </c>
      <c r="Y58" s="177">
        <v>6.4956404203632759E-4</v>
      </c>
      <c r="Z58" s="177">
        <v>6.4956404203632759E-4</v>
      </c>
      <c r="AA58" s="177">
        <v>6.4956404203632759E-4</v>
      </c>
      <c r="AB58" s="177">
        <v>6.4956404203632759E-4</v>
      </c>
      <c r="AC58" s="177">
        <v>6.4956404203632759E-4</v>
      </c>
      <c r="AD58" s="178">
        <v>6.4956404203632759E-4</v>
      </c>
    </row>
    <row r="59" spans="1:30" x14ac:dyDescent="0.25">
      <c r="A59" s="85" t="s">
        <v>533</v>
      </c>
      <c r="B59" t="s">
        <v>532</v>
      </c>
      <c r="C59" s="177">
        <v>93.537222053231176</v>
      </c>
      <c r="D59" s="177">
        <v>93.537222053231176</v>
      </c>
      <c r="E59" s="177">
        <v>93.537222053231176</v>
      </c>
      <c r="F59" s="177">
        <v>93.537222053231176</v>
      </c>
      <c r="G59" s="177">
        <v>93.537222053231176</v>
      </c>
      <c r="H59" s="177">
        <v>93.537222053231176</v>
      </c>
      <c r="I59" s="177">
        <v>93.537222053231176</v>
      </c>
      <c r="J59" s="177">
        <v>93.537222053231176</v>
      </c>
      <c r="K59" s="177">
        <v>93.537222053231176</v>
      </c>
      <c r="L59" s="177">
        <v>93.537222053231176</v>
      </c>
      <c r="M59" s="177">
        <v>93.537222053231176</v>
      </c>
      <c r="N59" s="177">
        <v>93.537222053231176</v>
      </c>
      <c r="O59" s="177">
        <v>93.537222053231176</v>
      </c>
      <c r="P59" s="177">
        <v>93.537222053231176</v>
      </c>
      <c r="Q59" s="177">
        <v>93.537222053231176</v>
      </c>
      <c r="R59" s="177">
        <v>93.537222053231176</v>
      </c>
      <c r="S59" s="177">
        <v>93.537222053231176</v>
      </c>
      <c r="T59" s="177">
        <v>93.537222053231176</v>
      </c>
      <c r="U59" s="177">
        <v>93.537222053231176</v>
      </c>
      <c r="V59" s="177">
        <v>93.537222053231176</v>
      </c>
      <c r="W59" s="177">
        <v>93.537222053231176</v>
      </c>
      <c r="X59" s="177">
        <v>93.537222053231176</v>
      </c>
      <c r="Y59" s="177">
        <v>93.537222053231176</v>
      </c>
      <c r="Z59" s="177">
        <v>93.537222053231176</v>
      </c>
      <c r="AA59" s="177">
        <v>93.537222053231176</v>
      </c>
      <c r="AB59" s="177">
        <v>93.537222053231176</v>
      </c>
      <c r="AC59" s="177">
        <v>93.537222053231176</v>
      </c>
      <c r="AD59" s="178">
        <v>93.537222053231176</v>
      </c>
    </row>
    <row r="60" spans="1:30" x14ac:dyDescent="0.25">
      <c r="A60" s="85" t="s">
        <v>534</v>
      </c>
      <c r="B60" t="s">
        <v>535</v>
      </c>
      <c r="C60" s="177">
        <v>0</v>
      </c>
      <c r="D60" s="177">
        <v>0</v>
      </c>
      <c r="E60" s="177">
        <v>0</v>
      </c>
      <c r="F60" s="177">
        <v>0</v>
      </c>
      <c r="G60" s="177">
        <v>1.0652850289395773E-3</v>
      </c>
      <c r="H60" s="177">
        <v>0</v>
      </c>
      <c r="I60" s="177">
        <v>0</v>
      </c>
      <c r="J60" s="177">
        <v>0</v>
      </c>
      <c r="K60" s="177">
        <v>0</v>
      </c>
      <c r="L60" s="177">
        <v>1.0652850289395773E-3</v>
      </c>
      <c r="M60" s="177">
        <v>0</v>
      </c>
      <c r="N60" s="177">
        <v>0</v>
      </c>
      <c r="O60" s="177">
        <v>0</v>
      </c>
      <c r="P60" s="177">
        <v>1.0652850289395773E-3</v>
      </c>
      <c r="Q60" s="177">
        <v>1.0652850289395773E-3</v>
      </c>
      <c r="R60" s="177">
        <v>1.0652850289395773E-3</v>
      </c>
      <c r="S60" s="177">
        <v>1.0652850289395773E-3</v>
      </c>
      <c r="T60" s="177">
        <v>0</v>
      </c>
      <c r="U60" s="177">
        <v>0</v>
      </c>
      <c r="V60" s="177">
        <v>1.0652850289395773E-3</v>
      </c>
      <c r="W60" s="177">
        <v>0</v>
      </c>
      <c r="X60" s="177">
        <v>0</v>
      </c>
      <c r="Y60" s="177">
        <v>0</v>
      </c>
      <c r="Z60" s="177">
        <v>0</v>
      </c>
      <c r="AA60" s="177">
        <v>0</v>
      </c>
      <c r="AB60" s="177">
        <v>0</v>
      </c>
      <c r="AC60" s="177">
        <v>1.0652850289395773E-3</v>
      </c>
      <c r="AD60" s="178">
        <v>1.0652850289395773E-3</v>
      </c>
    </row>
    <row r="61" spans="1:30" x14ac:dyDescent="0.25">
      <c r="A61" s="85" t="s">
        <v>536</v>
      </c>
      <c r="B61" t="s">
        <v>537</v>
      </c>
      <c r="C61" s="177">
        <v>0</v>
      </c>
      <c r="D61" s="177">
        <v>0</v>
      </c>
      <c r="E61" s="177">
        <v>0</v>
      </c>
      <c r="F61" s="177">
        <v>0</v>
      </c>
      <c r="G61" s="177">
        <v>0</v>
      </c>
      <c r="H61" s="177">
        <v>0</v>
      </c>
      <c r="I61" s="177">
        <v>0</v>
      </c>
      <c r="J61" s="177">
        <v>0</v>
      </c>
      <c r="K61" s="177">
        <v>0</v>
      </c>
      <c r="L61" s="177">
        <v>0</v>
      </c>
      <c r="M61" s="177">
        <v>0</v>
      </c>
      <c r="N61" s="177">
        <v>0</v>
      </c>
      <c r="O61" s="177">
        <v>0</v>
      </c>
      <c r="P61" s="177">
        <v>0</v>
      </c>
      <c r="Q61" s="177">
        <v>0</v>
      </c>
      <c r="R61" s="177">
        <v>0</v>
      </c>
      <c r="S61" s="177">
        <v>0</v>
      </c>
      <c r="T61" s="177">
        <v>0</v>
      </c>
      <c r="U61" s="177">
        <v>0</v>
      </c>
      <c r="V61" s="177">
        <v>0</v>
      </c>
      <c r="W61" s="177">
        <v>0</v>
      </c>
      <c r="X61" s="177">
        <v>0</v>
      </c>
      <c r="Y61" s="177">
        <v>0</v>
      </c>
      <c r="Z61" s="177">
        <v>0</v>
      </c>
      <c r="AA61" s="177">
        <v>0</v>
      </c>
      <c r="AB61" s="177">
        <v>0</v>
      </c>
      <c r="AC61" s="177">
        <v>0</v>
      </c>
      <c r="AD61" s="178">
        <v>0</v>
      </c>
    </row>
    <row r="62" spans="1:30" x14ac:dyDescent="0.25">
      <c r="A62" s="85" t="s">
        <v>538</v>
      </c>
      <c r="B62" t="s">
        <v>537</v>
      </c>
      <c r="C62" s="177">
        <v>0</v>
      </c>
      <c r="D62" s="177">
        <v>0</v>
      </c>
      <c r="E62" s="177">
        <v>0</v>
      </c>
      <c r="F62" s="177">
        <v>0</v>
      </c>
      <c r="G62" s="177">
        <v>0</v>
      </c>
      <c r="H62" s="177">
        <v>0</v>
      </c>
      <c r="I62" s="177">
        <v>0</v>
      </c>
      <c r="J62" s="177">
        <v>0</v>
      </c>
      <c r="K62" s="177">
        <v>0</v>
      </c>
      <c r="L62" s="177">
        <v>0</v>
      </c>
      <c r="M62" s="177">
        <v>0</v>
      </c>
      <c r="N62" s="177">
        <v>0</v>
      </c>
      <c r="O62" s="177">
        <v>0</v>
      </c>
      <c r="P62" s="177">
        <v>0</v>
      </c>
      <c r="Q62" s="177">
        <v>0</v>
      </c>
      <c r="R62" s="177">
        <v>0</v>
      </c>
      <c r="S62" s="177">
        <v>0</v>
      </c>
      <c r="T62" s="177">
        <v>0</v>
      </c>
      <c r="U62" s="177">
        <v>0</v>
      </c>
      <c r="V62" s="177">
        <v>0</v>
      </c>
      <c r="W62" s="177">
        <v>0</v>
      </c>
      <c r="X62" s="177">
        <v>0</v>
      </c>
      <c r="Y62" s="177">
        <v>0</v>
      </c>
      <c r="Z62" s="177">
        <v>0</v>
      </c>
      <c r="AA62" s="177">
        <v>0</v>
      </c>
      <c r="AB62" s="177">
        <v>0</v>
      </c>
      <c r="AC62" s="177">
        <v>0</v>
      </c>
      <c r="AD62" s="178">
        <v>0</v>
      </c>
    </row>
    <row r="63" spans="1:30" x14ac:dyDescent="0.25">
      <c r="A63" s="85" t="s">
        <v>539</v>
      </c>
      <c r="B63" t="s">
        <v>537</v>
      </c>
      <c r="C63" s="177">
        <v>0</v>
      </c>
      <c r="D63" s="177">
        <v>0</v>
      </c>
      <c r="E63" s="177">
        <v>0</v>
      </c>
      <c r="F63" s="177">
        <v>0</v>
      </c>
      <c r="G63" s="177">
        <v>0</v>
      </c>
      <c r="H63" s="177">
        <v>0</v>
      </c>
      <c r="I63" s="177">
        <v>0</v>
      </c>
      <c r="J63" s="177">
        <v>0</v>
      </c>
      <c r="K63" s="177">
        <v>0</v>
      </c>
      <c r="L63" s="177">
        <v>0</v>
      </c>
      <c r="M63" s="177">
        <v>0</v>
      </c>
      <c r="N63" s="177">
        <v>0</v>
      </c>
      <c r="O63" s="177">
        <v>0</v>
      </c>
      <c r="P63" s="177">
        <v>0</v>
      </c>
      <c r="Q63" s="177">
        <v>0</v>
      </c>
      <c r="R63" s="177">
        <v>0</v>
      </c>
      <c r="S63" s="177">
        <v>0</v>
      </c>
      <c r="T63" s="177">
        <v>0</v>
      </c>
      <c r="U63" s="177">
        <v>0</v>
      </c>
      <c r="V63" s="177">
        <v>0</v>
      </c>
      <c r="W63" s="177">
        <v>0</v>
      </c>
      <c r="X63" s="177">
        <v>0</v>
      </c>
      <c r="Y63" s="177">
        <v>0</v>
      </c>
      <c r="Z63" s="177">
        <v>0</v>
      </c>
      <c r="AA63" s="177">
        <v>0</v>
      </c>
      <c r="AB63" s="177">
        <v>0</v>
      </c>
      <c r="AC63" s="177">
        <v>0</v>
      </c>
      <c r="AD63" s="178">
        <v>0</v>
      </c>
    </row>
    <row r="64" spans="1:30" x14ac:dyDescent="0.25">
      <c r="A64" s="91" t="s">
        <v>540</v>
      </c>
      <c r="B64" s="92" t="s">
        <v>537</v>
      </c>
      <c r="C64" s="179">
        <v>0</v>
      </c>
      <c r="D64" s="179">
        <v>0</v>
      </c>
      <c r="E64" s="179">
        <v>0</v>
      </c>
      <c r="F64" s="179">
        <v>0</v>
      </c>
      <c r="G64" s="179">
        <v>0</v>
      </c>
      <c r="H64" s="179">
        <v>0</v>
      </c>
      <c r="I64" s="179">
        <v>0</v>
      </c>
      <c r="J64" s="179">
        <v>0</v>
      </c>
      <c r="K64" s="179">
        <v>0</v>
      </c>
      <c r="L64" s="179">
        <v>0</v>
      </c>
      <c r="M64" s="179">
        <v>0</v>
      </c>
      <c r="N64" s="179">
        <v>0</v>
      </c>
      <c r="O64" s="179">
        <v>0</v>
      </c>
      <c r="P64" s="179">
        <v>0</v>
      </c>
      <c r="Q64" s="179">
        <v>0</v>
      </c>
      <c r="R64" s="179">
        <v>0</v>
      </c>
      <c r="S64" s="179">
        <v>0</v>
      </c>
      <c r="T64" s="179">
        <v>0</v>
      </c>
      <c r="U64" s="179">
        <v>0</v>
      </c>
      <c r="V64" s="179">
        <v>0</v>
      </c>
      <c r="W64" s="179">
        <v>0</v>
      </c>
      <c r="X64" s="179">
        <v>0</v>
      </c>
      <c r="Y64" s="179">
        <v>0</v>
      </c>
      <c r="Z64" s="179">
        <v>0</v>
      </c>
      <c r="AA64" s="179">
        <v>0</v>
      </c>
      <c r="AB64" s="179">
        <v>0</v>
      </c>
      <c r="AC64" s="179">
        <v>0</v>
      </c>
      <c r="AD64" s="180">
        <v>0</v>
      </c>
    </row>
    <row r="66" spans="1:30" ht="15.75" x14ac:dyDescent="0.25">
      <c r="A66" s="174" t="s">
        <v>541</v>
      </c>
      <c r="B66" s="83"/>
      <c r="C66" s="83" t="s">
        <v>112</v>
      </c>
      <c r="D66" s="83" t="s">
        <v>115</v>
      </c>
      <c r="E66" s="83" t="s">
        <v>118</v>
      </c>
      <c r="F66" s="83" t="s">
        <v>121</v>
      </c>
      <c r="G66" s="83" t="s">
        <v>124</v>
      </c>
      <c r="H66" s="83" t="s">
        <v>127</v>
      </c>
      <c r="I66" s="83" t="s">
        <v>130</v>
      </c>
      <c r="J66" s="83" t="s">
        <v>133</v>
      </c>
      <c r="K66" s="83" t="s">
        <v>136</v>
      </c>
      <c r="L66" s="83" t="s">
        <v>138</v>
      </c>
      <c r="M66" s="83" t="s">
        <v>140</v>
      </c>
      <c r="N66" s="83" t="s">
        <v>142</v>
      </c>
      <c r="O66" s="83" t="s">
        <v>145</v>
      </c>
      <c r="P66" s="83" t="s">
        <v>148</v>
      </c>
      <c r="Q66" s="83" t="s">
        <v>151</v>
      </c>
      <c r="R66" s="83" t="s">
        <v>154</v>
      </c>
      <c r="S66" s="83" t="s">
        <v>157</v>
      </c>
      <c r="T66" s="83" t="s">
        <v>160</v>
      </c>
      <c r="U66" s="83" t="s">
        <v>163</v>
      </c>
      <c r="V66" s="83" t="s">
        <v>165</v>
      </c>
      <c r="W66" s="83" t="s">
        <v>167</v>
      </c>
      <c r="X66" s="83" t="s">
        <v>170</v>
      </c>
      <c r="Y66" s="83" t="s">
        <v>173</v>
      </c>
      <c r="Z66" s="83" t="s">
        <v>176</v>
      </c>
      <c r="AA66" s="83" t="s">
        <v>178</v>
      </c>
      <c r="AB66" s="83" t="s">
        <v>180</v>
      </c>
      <c r="AC66" s="83" t="s">
        <v>183</v>
      </c>
      <c r="AD66" s="84" t="s">
        <v>186</v>
      </c>
    </row>
    <row r="67" spans="1:30" x14ac:dyDescent="0.25">
      <c r="A67" s="85"/>
      <c r="C67" t="s">
        <v>542</v>
      </c>
      <c r="D67" t="s">
        <v>542</v>
      </c>
      <c r="E67" t="s">
        <v>542</v>
      </c>
      <c r="F67" t="s">
        <v>542</v>
      </c>
      <c r="G67" t="s">
        <v>542</v>
      </c>
      <c r="H67" t="s">
        <v>542</v>
      </c>
      <c r="I67" t="s">
        <v>542</v>
      </c>
      <c r="J67" t="s">
        <v>542</v>
      </c>
      <c r="K67" t="s">
        <v>542</v>
      </c>
      <c r="L67" t="s">
        <v>542</v>
      </c>
      <c r="M67" t="s">
        <v>542</v>
      </c>
      <c r="N67" t="s">
        <v>542</v>
      </c>
      <c r="O67" t="s">
        <v>542</v>
      </c>
      <c r="P67" t="s">
        <v>542</v>
      </c>
      <c r="Q67" t="s">
        <v>542</v>
      </c>
      <c r="R67" t="s">
        <v>542</v>
      </c>
      <c r="S67" t="s">
        <v>542</v>
      </c>
      <c r="T67" t="s">
        <v>542</v>
      </c>
      <c r="U67" t="s">
        <v>542</v>
      </c>
      <c r="V67" t="s">
        <v>542</v>
      </c>
      <c r="W67" t="s">
        <v>542</v>
      </c>
      <c r="X67" t="s">
        <v>542</v>
      </c>
      <c r="Y67" t="s">
        <v>542</v>
      </c>
      <c r="Z67" t="s">
        <v>542</v>
      </c>
      <c r="AA67" t="s">
        <v>542</v>
      </c>
      <c r="AB67" t="s">
        <v>542</v>
      </c>
      <c r="AC67" t="s">
        <v>542</v>
      </c>
      <c r="AD67" s="95" t="s">
        <v>542</v>
      </c>
    </row>
    <row r="68" spans="1:30" x14ac:dyDescent="0.25">
      <c r="A68" s="85" t="s">
        <v>503</v>
      </c>
      <c r="B68" t="s">
        <v>504</v>
      </c>
      <c r="AD68" s="95"/>
    </row>
    <row r="69" spans="1:30" x14ac:dyDescent="0.25">
      <c r="A69" s="85" t="s">
        <v>505</v>
      </c>
      <c r="B69" t="s">
        <v>506</v>
      </c>
      <c r="C69" s="177">
        <v>5.000000000000001E-3</v>
      </c>
      <c r="D69" s="177">
        <v>5.000000000000001E-3</v>
      </c>
      <c r="E69" s="177">
        <v>5.000000000000001E-3</v>
      </c>
      <c r="F69" s="177">
        <v>5.000000000000001E-3</v>
      </c>
      <c r="G69" s="177">
        <v>2.2777777777777779E-3</v>
      </c>
      <c r="H69" s="177">
        <v>5.000000000000001E-3</v>
      </c>
      <c r="I69" s="177">
        <v>5.000000000000001E-3</v>
      </c>
      <c r="J69" s="177">
        <v>5.000000000000001E-3</v>
      </c>
      <c r="K69" s="177">
        <v>5.000000000000001E-3</v>
      </c>
      <c r="L69" s="177">
        <v>2.2777777777777779E-3</v>
      </c>
      <c r="M69" s="177">
        <v>5.000000000000001E-3</v>
      </c>
      <c r="N69" s="177">
        <v>5.000000000000001E-3</v>
      </c>
      <c r="O69" s="177">
        <v>5.000000000000001E-3</v>
      </c>
      <c r="P69" s="177">
        <v>2.2777777777777779E-3</v>
      </c>
      <c r="Q69" s="177">
        <v>2.2777777777777779E-3</v>
      </c>
      <c r="R69" s="177">
        <v>2.2777777777777779E-3</v>
      </c>
      <c r="S69" s="177">
        <v>2.2777777777777779E-3</v>
      </c>
      <c r="T69" s="177">
        <v>5.000000000000001E-3</v>
      </c>
      <c r="U69" s="177">
        <v>5.000000000000001E-3</v>
      </c>
      <c r="V69" s="177">
        <v>2.2777777777777779E-3</v>
      </c>
      <c r="W69" s="177">
        <v>5.000000000000001E-3</v>
      </c>
      <c r="X69" s="177">
        <v>5.000000000000001E-3</v>
      </c>
      <c r="Y69" s="177">
        <v>5.000000000000001E-3</v>
      </c>
      <c r="Z69" s="177">
        <v>5.000000000000001E-3</v>
      </c>
      <c r="AA69" s="177">
        <v>5.000000000000001E-3</v>
      </c>
      <c r="AB69" s="177">
        <v>5.000000000000001E-3</v>
      </c>
      <c r="AC69" s="177">
        <v>2.2777777777777779E-3</v>
      </c>
      <c r="AD69" s="178">
        <v>2.2777777777777779E-3</v>
      </c>
    </row>
    <row r="70" spans="1:30" x14ac:dyDescent="0.25">
      <c r="A70" s="85" t="s">
        <v>507</v>
      </c>
      <c r="B70" t="s">
        <v>506</v>
      </c>
      <c r="C70" s="177">
        <v>4.4444444444444446E-2</v>
      </c>
      <c r="D70" s="177">
        <v>4.4444444444444446E-2</v>
      </c>
      <c r="E70" s="177">
        <v>4.4444444444444446E-2</v>
      </c>
      <c r="F70" s="177">
        <v>4.4444444444444446E-2</v>
      </c>
      <c r="G70" s="177">
        <v>3.3333333333333333E-2</v>
      </c>
      <c r="H70" s="177">
        <v>4.4444444444444446E-2</v>
      </c>
      <c r="I70" s="177">
        <v>4.4444444444444446E-2</v>
      </c>
      <c r="J70" s="177">
        <v>4.4444444444444446E-2</v>
      </c>
      <c r="K70" s="177">
        <v>4.4444444444444446E-2</v>
      </c>
      <c r="L70" s="177">
        <v>3.3333333333333333E-2</v>
      </c>
      <c r="M70" s="177">
        <v>4.4444444444444446E-2</v>
      </c>
      <c r="N70" s="177">
        <v>4.4444444444444446E-2</v>
      </c>
      <c r="O70" s="177">
        <v>4.4444444444444446E-2</v>
      </c>
      <c r="P70" s="177">
        <v>3.3333333333333333E-2</v>
      </c>
      <c r="Q70" s="177">
        <v>3.3333333333333333E-2</v>
      </c>
      <c r="R70" s="177">
        <v>3.3333333333333333E-2</v>
      </c>
      <c r="S70" s="177">
        <v>3.3333333333333333E-2</v>
      </c>
      <c r="T70" s="177">
        <v>4.4444444444444446E-2</v>
      </c>
      <c r="U70" s="177">
        <v>4.4444444444444446E-2</v>
      </c>
      <c r="V70" s="177">
        <v>3.3333333333333333E-2</v>
      </c>
      <c r="W70" s="177">
        <v>4.4444444444444446E-2</v>
      </c>
      <c r="X70" s="177">
        <v>4.4444444444444446E-2</v>
      </c>
      <c r="Y70" s="177">
        <v>4.4444444444444446E-2</v>
      </c>
      <c r="Z70" s="177">
        <v>4.4444444444444446E-2</v>
      </c>
      <c r="AA70" s="177">
        <v>4.4444444444444446E-2</v>
      </c>
      <c r="AB70" s="177">
        <v>4.4444444444444446E-2</v>
      </c>
      <c r="AC70" s="177">
        <v>3.3333333333333333E-2</v>
      </c>
      <c r="AD70" s="178">
        <v>3.3333333333333333E-2</v>
      </c>
    </row>
    <row r="71" spans="1:30" x14ac:dyDescent="0.25">
      <c r="A71" s="85" t="s">
        <v>508</v>
      </c>
      <c r="B71" t="s">
        <v>509</v>
      </c>
      <c r="C71" s="177">
        <v>7.7777777777777784E-4</v>
      </c>
      <c r="D71" s="177">
        <v>7.7777777777777784E-4</v>
      </c>
      <c r="E71" s="177">
        <v>7.7777777777777784E-4</v>
      </c>
      <c r="F71" s="177">
        <v>7.7777777777777784E-4</v>
      </c>
      <c r="G71" s="177">
        <v>8.8888888888888889E-3</v>
      </c>
      <c r="H71" s="177">
        <v>7.7777777777777784E-4</v>
      </c>
      <c r="I71" s="177">
        <v>7.7777777777777784E-4</v>
      </c>
      <c r="J71" s="177">
        <v>7.7777777777777784E-4</v>
      </c>
      <c r="K71" s="177">
        <v>7.7777777777777784E-4</v>
      </c>
      <c r="L71" s="177">
        <v>8.8888888888888889E-3</v>
      </c>
      <c r="M71" s="177">
        <v>7.7777777777777784E-4</v>
      </c>
      <c r="N71" s="177">
        <v>7.7777777777777784E-4</v>
      </c>
      <c r="O71" s="177">
        <v>7.7777777777777784E-4</v>
      </c>
      <c r="P71" s="177">
        <v>8.8888888888888889E-3</v>
      </c>
      <c r="Q71" s="177">
        <v>8.8888888888888889E-3</v>
      </c>
      <c r="R71" s="177">
        <v>8.8888888888888889E-3</v>
      </c>
      <c r="S71" s="177">
        <v>8.8888888888888889E-3</v>
      </c>
      <c r="T71" s="177">
        <v>7.7777777777777784E-4</v>
      </c>
      <c r="U71" s="177">
        <v>7.7777777777777784E-4</v>
      </c>
      <c r="V71" s="177">
        <v>8.8888888888888889E-3</v>
      </c>
      <c r="W71" s="177">
        <v>7.7777777777777784E-4</v>
      </c>
      <c r="X71" s="177">
        <v>7.7777777777777784E-4</v>
      </c>
      <c r="Y71" s="177">
        <v>7.7777777777777784E-4</v>
      </c>
      <c r="Z71" s="177">
        <v>7.7777777777777784E-4</v>
      </c>
      <c r="AA71" s="177">
        <v>7.7777777777777784E-4</v>
      </c>
      <c r="AB71" s="177">
        <v>7.7777777777777784E-4</v>
      </c>
      <c r="AC71" s="177">
        <v>8.8888888888888889E-3</v>
      </c>
      <c r="AD71" s="178">
        <v>8.8888888888888889E-3</v>
      </c>
    </row>
    <row r="72" spans="1:30" x14ac:dyDescent="0.25">
      <c r="A72" s="85" t="s">
        <v>510</v>
      </c>
      <c r="B72" t="s">
        <v>509</v>
      </c>
      <c r="C72" s="177">
        <v>0.11388888888888887</v>
      </c>
      <c r="D72" s="177">
        <v>0.11388888888888887</v>
      </c>
      <c r="E72" s="177">
        <v>0.11388888888888887</v>
      </c>
      <c r="F72" s="177">
        <v>0.11388888888888887</v>
      </c>
      <c r="G72" s="177">
        <v>8.3333333333333329E-2</v>
      </c>
      <c r="H72" s="177">
        <v>0.11388888888888887</v>
      </c>
      <c r="I72" s="177">
        <v>0.11388888888888887</v>
      </c>
      <c r="J72" s="177">
        <v>0.11388888888888887</v>
      </c>
      <c r="K72" s="177">
        <v>0.11388888888888887</v>
      </c>
      <c r="L72" s="177">
        <v>8.3333333333333329E-2</v>
      </c>
      <c r="M72" s="177">
        <v>0.11388888888888887</v>
      </c>
      <c r="N72" s="177">
        <v>0.11388888888888887</v>
      </c>
      <c r="O72" s="177">
        <v>0.11388888888888887</v>
      </c>
      <c r="P72" s="177">
        <v>8.3333333333333329E-2</v>
      </c>
      <c r="Q72" s="177">
        <v>8.3333333333333329E-2</v>
      </c>
      <c r="R72" s="177">
        <v>8.3333333333333329E-2</v>
      </c>
      <c r="S72" s="177">
        <v>8.3333333333333329E-2</v>
      </c>
      <c r="T72" s="177">
        <v>0.11388888888888887</v>
      </c>
      <c r="U72" s="177">
        <v>0.11388888888888887</v>
      </c>
      <c r="V72" s="177">
        <v>8.3333333333333329E-2</v>
      </c>
      <c r="W72" s="177">
        <v>0.11388888888888887</v>
      </c>
      <c r="X72" s="177">
        <v>0.11388888888888887</v>
      </c>
      <c r="Y72" s="177">
        <v>0.11388888888888887</v>
      </c>
      <c r="Z72" s="177">
        <v>0.11388888888888887</v>
      </c>
      <c r="AA72" s="177">
        <v>0.11388888888888887</v>
      </c>
      <c r="AB72" s="177">
        <v>0.11388888888888887</v>
      </c>
      <c r="AC72" s="177">
        <v>8.3333333333333329E-2</v>
      </c>
      <c r="AD72" s="178">
        <v>8.3333333333333329E-2</v>
      </c>
    </row>
    <row r="73" spans="1:30" x14ac:dyDescent="0.25">
      <c r="A73" s="85" t="s">
        <v>511</v>
      </c>
      <c r="B73" t="s">
        <v>509</v>
      </c>
      <c r="C73" s="177">
        <v>2.6388888888888888</v>
      </c>
      <c r="D73" s="177">
        <v>2.6388888888888888</v>
      </c>
      <c r="E73" s="177">
        <v>2.6388888888888888</v>
      </c>
      <c r="F73" s="177">
        <v>2.6388888888888888</v>
      </c>
      <c r="G73" s="177">
        <v>1.1111111111111112</v>
      </c>
      <c r="H73" s="177">
        <v>2.6388888888888888</v>
      </c>
      <c r="I73" s="177">
        <v>2.6388888888888888</v>
      </c>
      <c r="J73" s="177">
        <v>2.6388888888888888</v>
      </c>
      <c r="K73" s="177">
        <v>2.6388888888888888</v>
      </c>
      <c r="L73" s="177">
        <v>1.1111111111111112</v>
      </c>
      <c r="M73" s="177">
        <v>2.6388888888888888</v>
      </c>
      <c r="N73" s="177">
        <v>2.6388888888888888</v>
      </c>
      <c r="O73" s="177">
        <v>2.6388888888888888</v>
      </c>
      <c r="P73" s="177">
        <v>1.1111111111111112</v>
      </c>
      <c r="Q73" s="177">
        <v>1.1111111111111112</v>
      </c>
      <c r="R73" s="177">
        <v>1.1111111111111112</v>
      </c>
      <c r="S73" s="177">
        <v>1.1111111111111112</v>
      </c>
      <c r="T73" s="177">
        <v>2.6388888888888888</v>
      </c>
      <c r="U73" s="177">
        <v>2.6388888888888888</v>
      </c>
      <c r="V73" s="177">
        <v>1.1111111111111112</v>
      </c>
      <c r="W73" s="177">
        <v>2.6388888888888888</v>
      </c>
      <c r="X73" s="177">
        <v>2.6388888888888888</v>
      </c>
      <c r="Y73" s="177">
        <v>2.6388888888888888</v>
      </c>
      <c r="Z73" s="177">
        <v>2.6388888888888888</v>
      </c>
      <c r="AA73" s="177">
        <v>2.6388888888888888</v>
      </c>
      <c r="AB73" s="177">
        <v>2.6388888888888888</v>
      </c>
      <c r="AC73" s="177">
        <v>1.1111111111111112</v>
      </c>
      <c r="AD73" s="178">
        <v>1.1111111111111112</v>
      </c>
    </row>
    <row r="74" spans="1:30" x14ac:dyDescent="0.25">
      <c r="A74" s="85" t="s">
        <v>512</v>
      </c>
      <c r="B74" t="s">
        <v>513</v>
      </c>
      <c r="C74" s="177">
        <v>6.2777777777777783E-5</v>
      </c>
      <c r="D74" s="177">
        <v>6.2777777777777783E-5</v>
      </c>
      <c r="E74" s="177">
        <v>6.2777777777777783E-5</v>
      </c>
      <c r="F74" s="177">
        <v>6.2777777777777783E-5</v>
      </c>
      <c r="G74" s="177">
        <v>2.7500000000000001E-5</v>
      </c>
      <c r="H74" s="177">
        <v>6.2777777777777783E-5</v>
      </c>
      <c r="I74" s="177">
        <v>6.2777777777777783E-5</v>
      </c>
      <c r="J74" s="177">
        <v>6.2777777777777783E-5</v>
      </c>
      <c r="K74" s="177">
        <v>6.2777777777777783E-5</v>
      </c>
      <c r="L74" s="177">
        <v>2.7500000000000001E-5</v>
      </c>
      <c r="M74" s="177">
        <v>6.2777777777777783E-5</v>
      </c>
      <c r="N74" s="177">
        <v>6.2777777777777783E-5</v>
      </c>
      <c r="O74" s="177">
        <v>6.2777777777777783E-5</v>
      </c>
      <c r="P74" s="177">
        <v>2.7500000000000001E-5</v>
      </c>
      <c r="Q74" s="177">
        <v>2.7500000000000001E-5</v>
      </c>
      <c r="R74" s="177">
        <v>2.7500000000000001E-5</v>
      </c>
      <c r="S74" s="177">
        <v>2.7500000000000001E-5</v>
      </c>
      <c r="T74" s="177">
        <v>6.2777777777777783E-5</v>
      </c>
      <c r="U74" s="177">
        <v>6.2777777777777783E-5</v>
      </c>
      <c r="V74" s="177">
        <v>2.7500000000000001E-5</v>
      </c>
      <c r="W74" s="177">
        <v>6.2777777777777783E-5</v>
      </c>
      <c r="X74" s="177">
        <v>6.2777777777777783E-5</v>
      </c>
      <c r="Y74" s="177">
        <v>6.2777777777777783E-5</v>
      </c>
      <c r="Z74" s="177">
        <v>6.2777777777777783E-5</v>
      </c>
      <c r="AA74" s="177">
        <v>6.2777777777777783E-5</v>
      </c>
      <c r="AB74" s="177">
        <v>6.2777777777777783E-5</v>
      </c>
      <c r="AC74" s="177">
        <v>2.7500000000000001E-5</v>
      </c>
      <c r="AD74" s="178">
        <v>2.7500000000000001E-5</v>
      </c>
    </row>
    <row r="75" spans="1:30" x14ac:dyDescent="0.25">
      <c r="A75" s="85" t="s">
        <v>514</v>
      </c>
      <c r="B75" t="s">
        <v>513</v>
      </c>
      <c r="C75" s="177">
        <v>2.0277777777777774E-4</v>
      </c>
      <c r="D75" s="177">
        <v>2.0277777777777774E-4</v>
      </c>
      <c r="E75" s="177">
        <v>2.0277777777777774E-4</v>
      </c>
      <c r="F75" s="177">
        <v>2.0277777777777774E-4</v>
      </c>
      <c r="G75" s="177">
        <v>8.6111111111111105E-5</v>
      </c>
      <c r="H75" s="177">
        <v>2.0277777777777774E-4</v>
      </c>
      <c r="I75" s="177">
        <v>2.0277777777777774E-4</v>
      </c>
      <c r="J75" s="177">
        <v>2.0277777777777774E-4</v>
      </c>
      <c r="K75" s="177">
        <v>2.0277777777777774E-4</v>
      </c>
      <c r="L75" s="177">
        <v>8.6111111111111105E-5</v>
      </c>
      <c r="M75" s="177">
        <v>2.0277777777777774E-4</v>
      </c>
      <c r="N75" s="177">
        <v>2.0277777777777774E-4</v>
      </c>
      <c r="O75" s="177">
        <v>2.0277777777777774E-4</v>
      </c>
      <c r="P75" s="177">
        <v>8.6111111111111105E-5</v>
      </c>
      <c r="Q75" s="177">
        <v>8.6111111111111105E-5</v>
      </c>
      <c r="R75" s="177">
        <v>8.6111111111111105E-5</v>
      </c>
      <c r="S75" s="177">
        <v>8.6111111111111105E-5</v>
      </c>
      <c r="T75" s="177">
        <v>2.0277777777777774E-4</v>
      </c>
      <c r="U75" s="177">
        <v>2.0277777777777774E-4</v>
      </c>
      <c r="V75" s="177">
        <v>8.6111111111111105E-5</v>
      </c>
      <c r="W75" s="177">
        <v>2.0277777777777774E-4</v>
      </c>
      <c r="X75" s="177">
        <v>2.0277777777777774E-4</v>
      </c>
      <c r="Y75" s="177">
        <v>2.0277777777777774E-4</v>
      </c>
      <c r="Z75" s="177">
        <v>2.0277777777777774E-4</v>
      </c>
      <c r="AA75" s="177">
        <v>2.0277777777777774E-4</v>
      </c>
      <c r="AB75" s="177">
        <v>2.0277777777777774E-4</v>
      </c>
      <c r="AC75" s="177">
        <v>8.6111111111111105E-5</v>
      </c>
      <c r="AD75" s="178">
        <v>8.6111111111111105E-5</v>
      </c>
    </row>
    <row r="76" spans="1:30" x14ac:dyDescent="0.25">
      <c r="A76" s="85" t="s">
        <v>515</v>
      </c>
      <c r="B76" t="s">
        <v>516</v>
      </c>
      <c r="C76" s="177">
        <v>3.8888888888888883E-3</v>
      </c>
      <c r="D76" s="177">
        <v>3.8888888888888883E-3</v>
      </c>
      <c r="E76" s="177">
        <v>3.8888888888888883E-3</v>
      </c>
      <c r="F76" s="177">
        <v>3.8888888888888883E-3</v>
      </c>
      <c r="G76" s="177">
        <v>1.4166666666666666E-3</v>
      </c>
      <c r="H76" s="177">
        <v>3.8888888888888883E-3</v>
      </c>
      <c r="I76" s="177">
        <v>3.8888888888888883E-3</v>
      </c>
      <c r="J76" s="177">
        <v>3.8888888888888883E-3</v>
      </c>
      <c r="K76" s="177">
        <v>3.8888888888888883E-3</v>
      </c>
      <c r="L76" s="177">
        <v>1.4166666666666666E-3</v>
      </c>
      <c r="M76" s="177">
        <v>3.8888888888888883E-3</v>
      </c>
      <c r="N76" s="177">
        <v>3.8888888888888883E-3</v>
      </c>
      <c r="O76" s="177">
        <v>3.8888888888888883E-3</v>
      </c>
      <c r="P76" s="177">
        <v>1.4166666666666666E-3</v>
      </c>
      <c r="Q76" s="177">
        <v>1.4166666666666666E-3</v>
      </c>
      <c r="R76" s="177">
        <v>1.4166666666666666E-3</v>
      </c>
      <c r="S76" s="177">
        <v>1.4166666666666666E-3</v>
      </c>
      <c r="T76" s="177">
        <v>3.8888888888888883E-3</v>
      </c>
      <c r="U76" s="177">
        <v>3.8888888888888883E-3</v>
      </c>
      <c r="V76" s="177">
        <v>1.4166666666666666E-3</v>
      </c>
      <c r="W76" s="177">
        <v>3.8888888888888883E-3</v>
      </c>
      <c r="X76" s="177">
        <v>3.8888888888888883E-3</v>
      </c>
      <c r="Y76" s="177">
        <v>3.8888888888888883E-3</v>
      </c>
      <c r="Z76" s="177">
        <v>3.8888888888888883E-3</v>
      </c>
      <c r="AA76" s="177">
        <v>3.8888888888888883E-3</v>
      </c>
      <c r="AB76" s="177">
        <v>3.8888888888888883E-3</v>
      </c>
      <c r="AC76" s="177">
        <v>1.4166666666666666E-3</v>
      </c>
      <c r="AD76" s="178">
        <v>1.4166666666666666E-3</v>
      </c>
    </row>
    <row r="77" spans="1:30" x14ac:dyDescent="0.25">
      <c r="A77" s="85" t="s">
        <v>517</v>
      </c>
      <c r="B77" t="s">
        <v>518</v>
      </c>
      <c r="C77" s="177">
        <v>2.5174825174825174E-4</v>
      </c>
      <c r="D77" s="177">
        <v>2.5174825174825174E-4</v>
      </c>
      <c r="E77" s="177">
        <v>2.5174825174825174E-4</v>
      </c>
      <c r="F77" s="177">
        <v>2.5174825174825174E-4</v>
      </c>
      <c r="G77" s="177">
        <v>2.5174825174825174E-4</v>
      </c>
      <c r="H77" s="177">
        <v>2.5174825174825174E-4</v>
      </c>
      <c r="I77" s="177">
        <v>2.5174825174825174E-4</v>
      </c>
      <c r="J77" s="177">
        <v>2.5174825174825174E-4</v>
      </c>
      <c r="K77" s="177">
        <v>2.5174825174825174E-4</v>
      </c>
      <c r="L77" s="177">
        <v>2.5174825174825174E-4</v>
      </c>
      <c r="M77" s="177">
        <v>2.5174825174825174E-4</v>
      </c>
      <c r="N77" s="177">
        <v>2.5174825174825174E-4</v>
      </c>
      <c r="O77" s="177">
        <v>2.5174825174825174E-4</v>
      </c>
      <c r="P77" s="177">
        <v>2.5174825174825174E-4</v>
      </c>
      <c r="Q77" s="177">
        <v>2.5174825174825174E-4</v>
      </c>
      <c r="R77" s="177">
        <v>2.5174825174825174E-4</v>
      </c>
      <c r="S77" s="177">
        <v>2.5174825174825174E-4</v>
      </c>
      <c r="T77" s="177">
        <v>2.5174825174825174E-4</v>
      </c>
      <c r="U77" s="177">
        <v>2.5174825174825174E-4</v>
      </c>
      <c r="V77" s="177">
        <v>2.5174825174825174E-4</v>
      </c>
      <c r="W77" s="177">
        <v>2.5174825174825174E-4</v>
      </c>
      <c r="X77" s="177">
        <v>2.5174825174825174E-4</v>
      </c>
      <c r="Y77" s="177">
        <v>2.5174825174825174E-4</v>
      </c>
      <c r="Z77" s="177">
        <v>2.5174825174825174E-4</v>
      </c>
      <c r="AA77" s="177">
        <v>2.5174825174825174E-4</v>
      </c>
      <c r="AB77" s="177">
        <v>2.5174825174825174E-4</v>
      </c>
      <c r="AC77" s="177">
        <v>2.5174825174825174E-4</v>
      </c>
      <c r="AD77" s="178">
        <v>2.5174825174825174E-4</v>
      </c>
    </row>
    <row r="78" spans="1:30" x14ac:dyDescent="0.25">
      <c r="A78" s="85" t="s">
        <v>519</v>
      </c>
      <c r="B78" t="s">
        <v>520</v>
      </c>
      <c r="C78" s="177">
        <v>1.7622950819672131E-2</v>
      </c>
      <c r="D78" s="177">
        <v>1.7622950819672131E-2</v>
      </c>
      <c r="E78" s="177">
        <v>1.7622950819672131E-2</v>
      </c>
      <c r="F78" s="177">
        <v>1.7622950819672131E-2</v>
      </c>
      <c r="G78" s="177">
        <v>1.7622950819672131E-2</v>
      </c>
      <c r="H78" s="177">
        <v>1.7622950819672131E-2</v>
      </c>
      <c r="I78" s="177">
        <v>1.7622950819672131E-2</v>
      </c>
      <c r="J78" s="177">
        <v>1.7622950819672131E-2</v>
      </c>
      <c r="K78" s="177">
        <v>1.7622950819672131E-2</v>
      </c>
      <c r="L78" s="177">
        <v>1.7622950819672131E-2</v>
      </c>
      <c r="M78" s="177">
        <v>1.7622950819672131E-2</v>
      </c>
      <c r="N78" s="177">
        <v>1.7622950819672131E-2</v>
      </c>
      <c r="O78" s="177">
        <v>1.7622950819672131E-2</v>
      </c>
      <c r="P78" s="177">
        <v>1.7622950819672131E-2</v>
      </c>
      <c r="Q78" s="177">
        <v>1.7622950819672131E-2</v>
      </c>
      <c r="R78" s="177">
        <v>1.7622950819672131E-2</v>
      </c>
      <c r="S78" s="177">
        <v>1.7622950819672131E-2</v>
      </c>
      <c r="T78" s="177">
        <v>1.7622950819672131E-2</v>
      </c>
      <c r="U78" s="177">
        <v>1.7622950819672131E-2</v>
      </c>
      <c r="V78" s="177">
        <v>1.7622950819672131E-2</v>
      </c>
      <c r="W78" s="177">
        <v>1.7622950819672131E-2</v>
      </c>
      <c r="X78" s="177">
        <v>1.7622950819672131E-2</v>
      </c>
      <c r="Y78" s="177">
        <v>1.7622950819672131E-2</v>
      </c>
      <c r="Z78" s="177">
        <v>1.7622950819672131E-2</v>
      </c>
      <c r="AA78" s="177">
        <v>1.7622950819672131E-2</v>
      </c>
      <c r="AB78" s="177">
        <v>1.7622950819672131E-2</v>
      </c>
      <c r="AC78" s="177">
        <v>1.7622950819672131E-2</v>
      </c>
      <c r="AD78" s="178">
        <v>1.7622950819672131E-2</v>
      </c>
    </row>
    <row r="79" spans="1:30" x14ac:dyDescent="0.25">
      <c r="A79" s="85" t="s">
        <v>521</v>
      </c>
      <c r="B79" t="s">
        <v>522</v>
      </c>
      <c r="C79" s="177">
        <v>0</v>
      </c>
      <c r="D79" s="177">
        <v>0</v>
      </c>
      <c r="E79" s="177">
        <v>0</v>
      </c>
      <c r="F79" s="177">
        <v>0</v>
      </c>
      <c r="G79" s="177">
        <v>0</v>
      </c>
      <c r="H79" s="177">
        <v>0</v>
      </c>
      <c r="I79" s="177">
        <v>0</v>
      </c>
      <c r="J79" s="177">
        <v>0</v>
      </c>
      <c r="K79" s="177">
        <v>0</v>
      </c>
      <c r="L79" s="177">
        <v>0</v>
      </c>
      <c r="M79" s="177">
        <v>0</v>
      </c>
      <c r="N79" s="177">
        <v>0</v>
      </c>
      <c r="O79" s="177">
        <v>0</v>
      </c>
      <c r="P79" s="177">
        <v>0</v>
      </c>
      <c r="Q79" s="177">
        <v>0</v>
      </c>
      <c r="R79" s="177">
        <v>0</v>
      </c>
      <c r="S79" s="177">
        <v>0</v>
      </c>
      <c r="T79" s="177">
        <v>0</v>
      </c>
      <c r="U79" s="177">
        <v>0</v>
      </c>
      <c r="V79" s="177">
        <v>0</v>
      </c>
      <c r="W79" s="177">
        <v>0</v>
      </c>
      <c r="X79" s="177">
        <v>0</v>
      </c>
      <c r="Y79" s="177">
        <v>0</v>
      </c>
      <c r="Z79" s="177">
        <v>0</v>
      </c>
      <c r="AA79" s="177">
        <v>0</v>
      </c>
      <c r="AB79" s="177">
        <v>0</v>
      </c>
      <c r="AC79" s="177">
        <v>0</v>
      </c>
      <c r="AD79" s="178">
        <v>0</v>
      </c>
    </row>
    <row r="80" spans="1:30" x14ac:dyDescent="0.25">
      <c r="A80" s="85" t="s">
        <v>523</v>
      </c>
      <c r="B80" t="s">
        <v>524</v>
      </c>
      <c r="C80" s="177">
        <v>4.0645040889530728</v>
      </c>
      <c r="D80" s="177">
        <v>4.0645040889530728</v>
      </c>
      <c r="E80" s="177">
        <v>4.0645040889530728</v>
      </c>
      <c r="F80" s="177">
        <v>4.0645040889530728</v>
      </c>
      <c r="G80" s="177">
        <v>0.24376579543922491</v>
      </c>
      <c r="H80" s="177">
        <v>4.0645040889530728</v>
      </c>
      <c r="I80" s="177">
        <v>4.0645040889530728</v>
      </c>
      <c r="J80" s="177">
        <v>4.0645040889530728</v>
      </c>
      <c r="K80" s="177">
        <v>4.0645040889530728</v>
      </c>
      <c r="L80" s="177">
        <v>0.24376579543922491</v>
      </c>
      <c r="M80" s="177">
        <v>4.0645040889530728</v>
      </c>
      <c r="N80" s="177">
        <v>4.0645040889530728</v>
      </c>
      <c r="O80" s="177">
        <v>4.0645040889530728</v>
      </c>
      <c r="P80" s="177">
        <v>0.24376579543922491</v>
      </c>
      <c r="Q80" s="177">
        <v>0.24376579543922491</v>
      </c>
      <c r="R80" s="177">
        <v>0.24376579543922491</v>
      </c>
      <c r="S80" s="177">
        <v>0.24376579543922491</v>
      </c>
      <c r="T80" s="177">
        <v>4.0645040889530728</v>
      </c>
      <c r="U80" s="177">
        <v>4.0645040889530728</v>
      </c>
      <c r="V80" s="177">
        <v>0.24376579543922491</v>
      </c>
      <c r="W80" s="177">
        <v>4.0645040889530728</v>
      </c>
      <c r="X80" s="177">
        <v>4.0645040889530728</v>
      </c>
      <c r="Y80" s="177">
        <v>4.0645040889530728</v>
      </c>
      <c r="Z80" s="177">
        <v>4.0645040889530728</v>
      </c>
      <c r="AA80" s="177">
        <v>4.0645040889530728</v>
      </c>
      <c r="AB80" s="177">
        <v>4.0645040889530728</v>
      </c>
      <c r="AC80" s="177">
        <v>0.24376579543922491</v>
      </c>
      <c r="AD80" s="178">
        <v>0.24376579543922491</v>
      </c>
    </row>
    <row r="81" spans="1:30" x14ac:dyDescent="0.25">
      <c r="A81" s="85" t="s">
        <v>525</v>
      </c>
      <c r="B81" t="s">
        <v>524</v>
      </c>
      <c r="C81" s="177">
        <v>6.4956404203632759E-2</v>
      </c>
      <c r="D81" s="177">
        <v>6.4956404203632759E-2</v>
      </c>
      <c r="E81" s="177">
        <v>6.4956404203632759E-2</v>
      </c>
      <c r="F81" s="177">
        <v>6.4956404203632759E-2</v>
      </c>
      <c r="G81" s="177">
        <v>4.6768611026615593E-2</v>
      </c>
      <c r="H81" s="177">
        <v>6.4956404203632759E-2</v>
      </c>
      <c r="I81" s="177">
        <v>6.4956404203632759E-2</v>
      </c>
      <c r="J81" s="177">
        <v>6.4956404203632759E-2</v>
      </c>
      <c r="K81" s="177">
        <v>6.4956404203632759E-2</v>
      </c>
      <c r="L81" s="177">
        <v>4.6768611026615593E-2</v>
      </c>
      <c r="M81" s="177">
        <v>6.4956404203632759E-2</v>
      </c>
      <c r="N81" s="177">
        <v>6.4956404203632759E-2</v>
      </c>
      <c r="O81" s="177">
        <v>6.4956404203632759E-2</v>
      </c>
      <c r="P81" s="177">
        <v>4.6768611026615593E-2</v>
      </c>
      <c r="Q81" s="177">
        <v>4.6768611026615593E-2</v>
      </c>
      <c r="R81" s="177">
        <v>4.6768611026615593E-2</v>
      </c>
      <c r="S81" s="177">
        <v>4.6768611026615593E-2</v>
      </c>
      <c r="T81" s="177">
        <v>6.4956404203632759E-2</v>
      </c>
      <c r="U81" s="177">
        <v>6.4956404203632759E-2</v>
      </c>
      <c r="V81" s="177">
        <v>4.6768611026615593E-2</v>
      </c>
      <c r="W81" s="177">
        <v>6.4956404203632759E-2</v>
      </c>
      <c r="X81" s="177">
        <v>6.4956404203632759E-2</v>
      </c>
      <c r="Y81" s="177">
        <v>6.4956404203632759E-2</v>
      </c>
      <c r="Z81" s="177">
        <v>6.4956404203632759E-2</v>
      </c>
      <c r="AA81" s="177">
        <v>6.4956404203632759E-2</v>
      </c>
      <c r="AB81" s="177">
        <v>6.4956404203632759E-2</v>
      </c>
      <c r="AC81" s="177">
        <v>4.6768611026615593E-2</v>
      </c>
      <c r="AD81" s="178">
        <v>4.6768611026615593E-2</v>
      </c>
    </row>
    <row r="82" spans="1:30" x14ac:dyDescent="0.25">
      <c r="A82" s="85" t="s">
        <v>526</v>
      </c>
      <c r="B82" t="s">
        <v>524</v>
      </c>
      <c r="C82" s="177">
        <v>1.2211803990282959</v>
      </c>
      <c r="D82" s="177">
        <v>1.2211803990282959</v>
      </c>
      <c r="E82" s="177">
        <v>1.2211803990282959</v>
      </c>
      <c r="F82" s="177">
        <v>1.2211803990282959</v>
      </c>
      <c r="G82" s="177">
        <v>0.88340709716940558</v>
      </c>
      <c r="H82" s="177">
        <v>1.2211803990282959</v>
      </c>
      <c r="I82" s="177">
        <v>1.2211803990282959</v>
      </c>
      <c r="J82" s="177">
        <v>1.2211803990282959</v>
      </c>
      <c r="K82" s="177">
        <v>1.2211803990282959</v>
      </c>
      <c r="L82" s="177">
        <v>0.88340709716940558</v>
      </c>
      <c r="M82" s="177">
        <v>1.2211803990282959</v>
      </c>
      <c r="N82" s="177">
        <v>1.2211803990282959</v>
      </c>
      <c r="O82" s="177">
        <v>1.2211803990282959</v>
      </c>
      <c r="P82" s="177">
        <v>0.88340709716940558</v>
      </c>
      <c r="Q82" s="177">
        <v>0.88340709716940558</v>
      </c>
      <c r="R82" s="177">
        <v>0.88340709716940558</v>
      </c>
      <c r="S82" s="177">
        <v>0.88340709716940558</v>
      </c>
      <c r="T82" s="177">
        <v>1.2211803990282959</v>
      </c>
      <c r="U82" s="177">
        <v>1.2211803990282959</v>
      </c>
      <c r="V82" s="177">
        <v>0.88340709716940558</v>
      </c>
      <c r="W82" s="177">
        <v>1.2211803990282959</v>
      </c>
      <c r="X82" s="177">
        <v>1.2211803990282959</v>
      </c>
      <c r="Y82" s="177">
        <v>1.2211803990282959</v>
      </c>
      <c r="Z82" s="177">
        <v>1.2211803990282959</v>
      </c>
      <c r="AA82" s="177">
        <v>1.2211803990282959</v>
      </c>
      <c r="AB82" s="177">
        <v>1.2211803990282959</v>
      </c>
      <c r="AC82" s="177">
        <v>0.88340709716940558</v>
      </c>
      <c r="AD82" s="178">
        <v>0.88340709716940558</v>
      </c>
    </row>
    <row r="83" spans="1:30" x14ac:dyDescent="0.25">
      <c r="A83" s="85" t="s">
        <v>527</v>
      </c>
      <c r="B83" t="s">
        <v>528</v>
      </c>
      <c r="C83" s="177">
        <v>0</v>
      </c>
      <c r="D83" s="177">
        <v>0</v>
      </c>
      <c r="E83" s="177">
        <v>0</v>
      </c>
      <c r="F83" s="177">
        <v>0</v>
      </c>
      <c r="G83" s="177">
        <v>0</v>
      </c>
      <c r="H83" s="177">
        <v>0</v>
      </c>
      <c r="I83" s="177">
        <v>0</v>
      </c>
      <c r="J83" s="177">
        <v>0</v>
      </c>
      <c r="K83" s="177">
        <v>0</v>
      </c>
      <c r="L83" s="177">
        <v>0</v>
      </c>
      <c r="M83" s="177">
        <v>0</v>
      </c>
      <c r="N83" s="177">
        <v>0</v>
      </c>
      <c r="O83" s="177">
        <v>0</v>
      </c>
      <c r="P83" s="177">
        <v>0</v>
      </c>
      <c r="Q83" s="177">
        <v>0</v>
      </c>
      <c r="R83" s="177">
        <v>0</v>
      </c>
      <c r="S83" s="177">
        <v>0</v>
      </c>
      <c r="T83" s="177">
        <v>0</v>
      </c>
      <c r="U83" s="177">
        <v>0</v>
      </c>
      <c r="V83" s="177">
        <v>0</v>
      </c>
      <c r="W83" s="177">
        <v>0</v>
      </c>
      <c r="X83" s="177">
        <v>0</v>
      </c>
      <c r="Y83" s="177">
        <v>0</v>
      </c>
      <c r="Z83" s="177">
        <v>0</v>
      </c>
      <c r="AA83" s="177">
        <v>0</v>
      </c>
      <c r="AB83" s="177">
        <v>0</v>
      </c>
      <c r="AC83" s="177">
        <v>0</v>
      </c>
      <c r="AD83" s="178">
        <v>0</v>
      </c>
    </row>
    <row r="84" spans="1:30" x14ac:dyDescent="0.25">
      <c r="A84" s="85" t="s">
        <v>529</v>
      </c>
      <c r="B84" t="s">
        <v>530</v>
      </c>
      <c r="C84" s="177">
        <v>1.2731455223912021E-5</v>
      </c>
      <c r="D84" s="177">
        <v>1.2731455223912021E-5</v>
      </c>
      <c r="E84" s="177">
        <v>1.2731455223912021E-5</v>
      </c>
      <c r="F84" s="177">
        <v>1.2731455223912021E-5</v>
      </c>
      <c r="G84" s="177">
        <v>1.2731455223912021E-5</v>
      </c>
      <c r="H84" s="177">
        <v>1.2731455223912021E-5</v>
      </c>
      <c r="I84" s="177">
        <v>1.2731455223912021E-5</v>
      </c>
      <c r="J84" s="177">
        <v>1.2731455223912021E-5</v>
      </c>
      <c r="K84" s="177">
        <v>1.2731455223912021E-5</v>
      </c>
      <c r="L84" s="177">
        <v>1.2731455223912021E-5</v>
      </c>
      <c r="M84" s="177">
        <v>1.2731455223912021E-5</v>
      </c>
      <c r="N84" s="177">
        <v>1.2731455223912021E-5</v>
      </c>
      <c r="O84" s="177">
        <v>1.2731455223912021E-5</v>
      </c>
      <c r="P84" s="177">
        <v>1.2731455223912021E-5</v>
      </c>
      <c r="Q84" s="177">
        <v>1.2731455223912021E-5</v>
      </c>
      <c r="R84" s="177">
        <v>1.2731455223912021E-5</v>
      </c>
      <c r="S84" s="177">
        <v>1.2731455223912021E-5</v>
      </c>
      <c r="T84" s="177">
        <v>1.2731455223912021E-5</v>
      </c>
      <c r="U84" s="177">
        <v>1.2731455223912021E-5</v>
      </c>
      <c r="V84" s="177">
        <v>1.2731455223912021E-5</v>
      </c>
      <c r="W84" s="177">
        <v>1.2731455223912021E-5</v>
      </c>
      <c r="X84" s="177">
        <v>1.2731455223912021E-5</v>
      </c>
      <c r="Y84" s="177">
        <v>1.2731455223912021E-5</v>
      </c>
      <c r="Z84" s="177">
        <v>1.2731455223912021E-5</v>
      </c>
      <c r="AA84" s="177">
        <v>1.2731455223912021E-5</v>
      </c>
      <c r="AB84" s="177">
        <v>1.2731455223912021E-5</v>
      </c>
      <c r="AC84" s="177">
        <v>1.2731455223912021E-5</v>
      </c>
      <c r="AD84" s="178">
        <v>1.2731455223912021E-5</v>
      </c>
    </row>
    <row r="85" spans="1:30" x14ac:dyDescent="0.25">
      <c r="A85" s="85" t="s">
        <v>531</v>
      </c>
      <c r="B85" t="s">
        <v>532</v>
      </c>
      <c r="C85" s="177">
        <v>5.9759891867342126E-5</v>
      </c>
      <c r="D85" s="177">
        <v>5.9759891867342126E-5</v>
      </c>
      <c r="E85" s="177">
        <v>5.9759891867342126E-5</v>
      </c>
      <c r="F85" s="177">
        <v>5.9759891867342126E-5</v>
      </c>
      <c r="G85" s="177">
        <v>5.9759891867342126E-5</v>
      </c>
      <c r="H85" s="177">
        <v>5.9759891867342126E-5</v>
      </c>
      <c r="I85" s="177">
        <v>5.9759891867342126E-5</v>
      </c>
      <c r="J85" s="177">
        <v>5.9759891867342126E-5</v>
      </c>
      <c r="K85" s="177">
        <v>5.9759891867342126E-5</v>
      </c>
      <c r="L85" s="177">
        <v>5.9759891867342126E-5</v>
      </c>
      <c r="M85" s="177">
        <v>5.9759891867342126E-5</v>
      </c>
      <c r="N85" s="177">
        <v>5.9759891867342126E-5</v>
      </c>
      <c r="O85" s="177">
        <v>5.9759891867342126E-5</v>
      </c>
      <c r="P85" s="177">
        <v>5.9759891867342126E-5</v>
      </c>
      <c r="Q85" s="177">
        <v>5.9759891867342126E-5</v>
      </c>
      <c r="R85" s="177">
        <v>5.9759891867342126E-5</v>
      </c>
      <c r="S85" s="177">
        <v>5.9759891867342126E-5</v>
      </c>
      <c r="T85" s="177">
        <v>5.9759891867342126E-5</v>
      </c>
      <c r="U85" s="177">
        <v>5.9759891867342126E-5</v>
      </c>
      <c r="V85" s="177">
        <v>5.9759891867342126E-5</v>
      </c>
      <c r="W85" s="177">
        <v>5.9759891867342126E-5</v>
      </c>
      <c r="X85" s="177">
        <v>5.9759891867342126E-5</v>
      </c>
      <c r="Y85" s="177">
        <v>5.9759891867342126E-5</v>
      </c>
      <c r="Z85" s="177">
        <v>5.9759891867342126E-5</v>
      </c>
      <c r="AA85" s="177">
        <v>5.9759891867342126E-5</v>
      </c>
      <c r="AB85" s="177">
        <v>5.9759891867342126E-5</v>
      </c>
      <c r="AC85" s="177">
        <v>5.9759891867342126E-5</v>
      </c>
      <c r="AD85" s="178">
        <v>5.9759891867342126E-5</v>
      </c>
    </row>
    <row r="86" spans="1:30" x14ac:dyDescent="0.25">
      <c r="A86" s="85" t="s">
        <v>533</v>
      </c>
      <c r="B86" t="s">
        <v>532</v>
      </c>
      <c r="C86" s="177">
        <v>0</v>
      </c>
      <c r="D86" s="177">
        <v>0</v>
      </c>
      <c r="E86" s="177">
        <v>0</v>
      </c>
      <c r="F86" s="177">
        <v>0</v>
      </c>
      <c r="G86" s="177">
        <v>0</v>
      </c>
      <c r="H86" s="177">
        <v>0</v>
      </c>
      <c r="I86" s="177">
        <v>0</v>
      </c>
      <c r="J86" s="177">
        <v>0</v>
      </c>
      <c r="K86" s="177">
        <v>0</v>
      </c>
      <c r="L86" s="177">
        <v>0</v>
      </c>
      <c r="M86" s="177">
        <v>0</v>
      </c>
      <c r="N86" s="177">
        <v>0</v>
      </c>
      <c r="O86" s="177">
        <v>0</v>
      </c>
      <c r="P86" s="177">
        <v>0</v>
      </c>
      <c r="Q86" s="177">
        <v>0</v>
      </c>
      <c r="R86" s="177">
        <v>0</v>
      </c>
      <c r="S86" s="177">
        <v>0</v>
      </c>
      <c r="T86" s="177">
        <v>0</v>
      </c>
      <c r="U86" s="177">
        <v>0</v>
      </c>
      <c r="V86" s="177">
        <v>0</v>
      </c>
      <c r="W86" s="177">
        <v>0</v>
      </c>
      <c r="X86" s="177">
        <v>0</v>
      </c>
      <c r="Y86" s="177">
        <v>0</v>
      </c>
      <c r="Z86" s="177">
        <v>0</v>
      </c>
      <c r="AA86" s="177">
        <v>0</v>
      </c>
      <c r="AB86" s="177">
        <v>0</v>
      </c>
      <c r="AC86" s="177">
        <v>0</v>
      </c>
      <c r="AD86" s="178">
        <v>0</v>
      </c>
    </row>
    <row r="87" spans="1:30" x14ac:dyDescent="0.25">
      <c r="A87" s="85" t="s">
        <v>534</v>
      </c>
      <c r="B87" t="s">
        <v>535</v>
      </c>
      <c r="C87" s="177">
        <v>0</v>
      </c>
      <c r="D87" s="177">
        <v>0</v>
      </c>
      <c r="E87" s="177">
        <v>0</v>
      </c>
      <c r="F87" s="177">
        <v>0</v>
      </c>
      <c r="G87" s="177">
        <v>0</v>
      </c>
      <c r="H87" s="177">
        <v>0</v>
      </c>
      <c r="I87" s="177">
        <v>0</v>
      </c>
      <c r="J87" s="177">
        <v>0</v>
      </c>
      <c r="K87" s="177">
        <v>0</v>
      </c>
      <c r="L87" s="177">
        <v>0</v>
      </c>
      <c r="M87" s="177">
        <v>0</v>
      </c>
      <c r="N87" s="177">
        <v>0</v>
      </c>
      <c r="O87" s="177">
        <v>0</v>
      </c>
      <c r="P87" s="177">
        <v>0</v>
      </c>
      <c r="Q87" s="177">
        <v>0</v>
      </c>
      <c r="R87" s="177">
        <v>0</v>
      </c>
      <c r="S87" s="177">
        <v>0</v>
      </c>
      <c r="T87" s="177">
        <v>0</v>
      </c>
      <c r="U87" s="177">
        <v>0</v>
      </c>
      <c r="V87" s="177">
        <v>0</v>
      </c>
      <c r="W87" s="177">
        <v>0</v>
      </c>
      <c r="X87" s="177">
        <v>0</v>
      </c>
      <c r="Y87" s="177">
        <v>0</v>
      </c>
      <c r="Z87" s="177">
        <v>0</v>
      </c>
      <c r="AA87" s="177">
        <v>0</v>
      </c>
      <c r="AB87" s="177">
        <v>0</v>
      </c>
      <c r="AC87" s="177">
        <v>0</v>
      </c>
      <c r="AD87" s="178">
        <v>0</v>
      </c>
    </row>
    <row r="88" spans="1:30" x14ac:dyDescent="0.25">
      <c r="A88" s="85" t="s">
        <v>536</v>
      </c>
      <c r="B88" t="s">
        <v>537</v>
      </c>
      <c r="C88" s="177">
        <v>0</v>
      </c>
      <c r="D88" s="177">
        <v>0</v>
      </c>
      <c r="E88" s="177">
        <v>0</v>
      </c>
      <c r="F88" s="177">
        <v>0</v>
      </c>
      <c r="G88" s="177">
        <v>0</v>
      </c>
      <c r="H88" s="177">
        <v>0</v>
      </c>
      <c r="I88" s="177">
        <v>0</v>
      </c>
      <c r="J88" s="177">
        <v>0</v>
      </c>
      <c r="K88" s="177">
        <v>0</v>
      </c>
      <c r="L88" s="177">
        <v>0</v>
      </c>
      <c r="M88" s="177">
        <v>0</v>
      </c>
      <c r="N88" s="177">
        <v>0</v>
      </c>
      <c r="O88" s="177">
        <v>0</v>
      </c>
      <c r="P88" s="177">
        <v>0</v>
      </c>
      <c r="Q88" s="177">
        <v>0</v>
      </c>
      <c r="R88" s="177">
        <v>0</v>
      </c>
      <c r="S88" s="177">
        <v>0</v>
      </c>
      <c r="T88" s="177">
        <v>0</v>
      </c>
      <c r="U88" s="177">
        <v>0</v>
      </c>
      <c r="V88" s="177">
        <v>0</v>
      </c>
      <c r="W88" s="177">
        <v>0</v>
      </c>
      <c r="X88" s="177">
        <v>0</v>
      </c>
      <c r="Y88" s="177">
        <v>0</v>
      </c>
      <c r="Z88" s="177">
        <v>0</v>
      </c>
      <c r="AA88" s="177">
        <v>0</v>
      </c>
      <c r="AB88" s="177">
        <v>0</v>
      </c>
      <c r="AC88" s="177">
        <v>0</v>
      </c>
      <c r="AD88" s="178">
        <v>0</v>
      </c>
    </row>
    <row r="89" spans="1:30" x14ac:dyDescent="0.25">
      <c r="A89" s="85" t="s">
        <v>538</v>
      </c>
      <c r="B89" t="s">
        <v>537</v>
      </c>
      <c r="C89" s="177">
        <v>0</v>
      </c>
      <c r="D89" s="177">
        <v>0</v>
      </c>
      <c r="E89" s="177">
        <v>0</v>
      </c>
      <c r="F89" s="177">
        <v>0</v>
      </c>
      <c r="G89" s="177">
        <v>0</v>
      </c>
      <c r="H89" s="177">
        <v>0</v>
      </c>
      <c r="I89" s="177">
        <v>0</v>
      </c>
      <c r="J89" s="177">
        <v>0</v>
      </c>
      <c r="K89" s="177">
        <v>0</v>
      </c>
      <c r="L89" s="177">
        <v>0</v>
      </c>
      <c r="M89" s="177">
        <v>0</v>
      </c>
      <c r="N89" s="177">
        <v>0</v>
      </c>
      <c r="O89" s="177">
        <v>0</v>
      </c>
      <c r="P89" s="177">
        <v>0</v>
      </c>
      <c r="Q89" s="177">
        <v>0</v>
      </c>
      <c r="R89" s="177">
        <v>0</v>
      </c>
      <c r="S89" s="177">
        <v>0</v>
      </c>
      <c r="T89" s="177">
        <v>0</v>
      </c>
      <c r="U89" s="177">
        <v>0</v>
      </c>
      <c r="V89" s="177">
        <v>0</v>
      </c>
      <c r="W89" s="177">
        <v>0</v>
      </c>
      <c r="X89" s="177">
        <v>0</v>
      </c>
      <c r="Y89" s="177">
        <v>0</v>
      </c>
      <c r="Z89" s="177">
        <v>0</v>
      </c>
      <c r="AA89" s="177">
        <v>0</v>
      </c>
      <c r="AB89" s="177">
        <v>0</v>
      </c>
      <c r="AC89" s="177">
        <v>0</v>
      </c>
      <c r="AD89" s="178">
        <v>0</v>
      </c>
    </row>
    <row r="90" spans="1:30" x14ac:dyDescent="0.25">
      <c r="A90" s="85" t="s">
        <v>539</v>
      </c>
      <c r="B90" t="s">
        <v>537</v>
      </c>
      <c r="C90" s="177">
        <v>0</v>
      </c>
      <c r="D90" s="177">
        <v>0</v>
      </c>
      <c r="E90" s="177">
        <v>0</v>
      </c>
      <c r="F90" s="177">
        <v>0</v>
      </c>
      <c r="G90" s="177">
        <v>0</v>
      </c>
      <c r="H90" s="177">
        <v>0</v>
      </c>
      <c r="I90" s="177">
        <v>0</v>
      </c>
      <c r="J90" s="177">
        <v>0</v>
      </c>
      <c r="K90" s="177">
        <v>0</v>
      </c>
      <c r="L90" s="177">
        <v>0</v>
      </c>
      <c r="M90" s="177">
        <v>0</v>
      </c>
      <c r="N90" s="177">
        <v>0</v>
      </c>
      <c r="O90" s="177">
        <v>0</v>
      </c>
      <c r="P90" s="177">
        <v>0</v>
      </c>
      <c r="Q90" s="177">
        <v>0</v>
      </c>
      <c r="R90" s="177">
        <v>0</v>
      </c>
      <c r="S90" s="177">
        <v>0</v>
      </c>
      <c r="T90" s="177">
        <v>0</v>
      </c>
      <c r="U90" s="177">
        <v>0</v>
      </c>
      <c r="V90" s="177">
        <v>0</v>
      </c>
      <c r="W90" s="177">
        <v>0</v>
      </c>
      <c r="X90" s="177">
        <v>0</v>
      </c>
      <c r="Y90" s="177">
        <v>0</v>
      </c>
      <c r="Z90" s="177">
        <v>0</v>
      </c>
      <c r="AA90" s="177">
        <v>0</v>
      </c>
      <c r="AB90" s="177">
        <v>0</v>
      </c>
      <c r="AC90" s="177">
        <v>0</v>
      </c>
      <c r="AD90" s="178">
        <v>0</v>
      </c>
    </row>
    <row r="91" spans="1:30" x14ac:dyDescent="0.25">
      <c r="A91" s="91" t="s">
        <v>540</v>
      </c>
      <c r="B91" s="92" t="s">
        <v>537</v>
      </c>
      <c r="C91" s="179">
        <v>0</v>
      </c>
      <c r="D91" s="179">
        <v>0</v>
      </c>
      <c r="E91" s="179">
        <v>0</v>
      </c>
      <c r="F91" s="179">
        <v>0</v>
      </c>
      <c r="G91" s="179">
        <v>0</v>
      </c>
      <c r="H91" s="179">
        <v>0</v>
      </c>
      <c r="I91" s="179">
        <v>0</v>
      </c>
      <c r="J91" s="179">
        <v>0</v>
      </c>
      <c r="K91" s="179">
        <v>0</v>
      </c>
      <c r="L91" s="179">
        <v>0</v>
      </c>
      <c r="M91" s="179">
        <v>0</v>
      </c>
      <c r="N91" s="179">
        <v>0</v>
      </c>
      <c r="O91" s="179">
        <v>0</v>
      </c>
      <c r="P91" s="179">
        <v>0</v>
      </c>
      <c r="Q91" s="179">
        <v>0</v>
      </c>
      <c r="R91" s="179">
        <v>0</v>
      </c>
      <c r="S91" s="179">
        <v>0</v>
      </c>
      <c r="T91" s="179">
        <v>0</v>
      </c>
      <c r="U91" s="179">
        <v>0</v>
      </c>
      <c r="V91" s="179">
        <v>0</v>
      </c>
      <c r="W91" s="179">
        <v>0</v>
      </c>
      <c r="X91" s="179">
        <v>0</v>
      </c>
      <c r="Y91" s="179">
        <v>0</v>
      </c>
      <c r="Z91" s="179">
        <v>0</v>
      </c>
      <c r="AA91" s="179">
        <v>0</v>
      </c>
      <c r="AB91" s="179">
        <v>0</v>
      </c>
      <c r="AC91" s="179">
        <v>0</v>
      </c>
      <c r="AD91" s="180">
        <v>0</v>
      </c>
    </row>
    <row r="92" spans="1:30" x14ac:dyDescent="0.25">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c r="AA92" s="177"/>
      <c r="AB92" s="177"/>
      <c r="AC92" s="177"/>
      <c r="AD92" s="177"/>
    </row>
    <row r="93" spans="1:30" x14ac:dyDescent="0.25">
      <c r="A93" s="82" t="s">
        <v>543</v>
      </c>
      <c r="B93" s="83"/>
      <c r="C93" s="83" t="s">
        <v>112</v>
      </c>
      <c r="D93" s="83" t="s">
        <v>115</v>
      </c>
      <c r="E93" s="83" t="s">
        <v>118</v>
      </c>
      <c r="F93" s="83" t="s">
        <v>121</v>
      </c>
      <c r="G93" s="83" t="s">
        <v>124</v>
      </c>
      <c r="H93" s="83" t="s">
        <v>127</v>
      </c>
      <c r="I93" s="83" t="s">
        <v>130</v>
      </c>
      <c r="J93" s="83" t="s">
        <v>133</v>
      </c>
      <c r="K93" s="83" t="s">
        <v>136</v>
      </c>
      <c r="L93" s="83" t="s">
        <v>138</v>
      </c>
      <c r="M93" s="83" t="s">
        <v>140</v>
      </c>
      <c r="N93" s="83" t="s">
        <v>142</v>
      </c>
      <c r="O93" s="83" t="s">
        <v>145</v>
      </c>
      <c r="P93" s="83" t="s">
        <v>148</v>
      </c>
      <c r="Q93" s="83" t="s">
        <v>151</v>
      </c>
      <c r="R93" s="83" t="s">
        <v>154</v>
      </c>
      <c r="S93" s="83" t="s">
        <v>157</v>
      </c>
      <c r="T93" s="83" t="s">
        <v>160</v>
      </c>
      <c r="U93" s="83" t="s">
        <v>163</v>
      </c>
      <c r="V93" s="83" t="s">
        <v>165</v>
      </c>
      <c r="W93" s="83" t="s">
        <v>167</v>
      </c>
      <c r="X93" s="83" t="s">
        <v>170</v>
      </c>
      <c r="Y93" s="83" t="s">
        <v>173</v>
      </c>
      <c r="Z93" s="83" t="s">
        <v>176</v>
      </c>
      <c r="AA93" s="83" t="s">
        <v>178</v>
      </c>
      <c r="AB93" s="83" t="s">
        <v>180</v>
      </c>
      <c r="AC93" s="83" t="s">
        <v>183</v>
      </c>
      <c r="AD93" s="84" t="s">
        <v>186</v>
      </c>
    </row>
    <row r="94" spans="1:30" x14ac:dyDescent="0.25">
      <c r="A94" s="85"/>
      <c r="C94" t="s">
        <v>544</v>
      </c>
      <c r="D94" t="s">
        <v>544</v>
      </c>
      <c r="E94" t="s">
        <v>544</v>
      </c>
      <c r="F94" t="s">
        <v>544</v>
      </c>
      <c r="G94" t="s">
        <v>544</v>
      </c>
      <c r="H94" t="s">
        <v>544</v>
      </c>
      <c r="I94" t="s">
        <v>544</v>
      </c>
      <c r="J94" t="s">
        <v>544</v>
      </c>
      <c r="K94" t="s">
        <v>544</v>
      </c>
      <c r="L94" t="s">
        <v>544</v>
      </c>
      <c r="M94" t="s">
        <v>544</v>
      </c>
      <c r="N94" t="s">
        <v>544</v>
      </c>
      <c r="O94" t="s">
        <v>544</v>
      </c>
      <c r="P94" t="s">
        <v>544</v>
      </c>
      <c r="Q94" t="s">
        <v>544</v>
      </c>
      <c r="R94" t="s">
        <v>544</v>
      </c>
      <c r="S94" t="s">
        <v>544</v>
      </c>
      <c r="T94" t="s">
        <v>544</v>
      </c>
      <c r="U94" t="s">
        <v>544</v>
      </c>
      <c r="V94" t="s">
        <v>544</v>
      </c>
      <c r="W94" t="s">
        <v>544</v>
      </c>
      <c r="X94" t="s">
        <v>544</v>
      </c>
      <c r="Y94" t="s">
        <v>544</v>
      </c>
      <c r="Z94" t="s">
        <v>544</v>
      </c>
      <c r="AA94" t="s">
        <v>544</v>
      </c>
      <c r="AB94" t="s">
        <v>544</v>
      </c>
      <c r="AC94" t="s">
        <v>544</v>
      </c>
      <c r="AD94" s="95" t="s">
        <v>544</v>
      </c>
    </row>
    <row r="95" spans="1:30" x14ac:dyDescent="0.25">
      <c r="A95" s="85" t="s">
        <v>503</v>
      </c>
      <c r="B95" t="s">
        <v>504</v>
      </c>
      <c r="AD95" s="95"/>
    </row>
    <row r="96" spans="1:30" x14ac:dyDescent="0.25">
      <c r="A96" s="85" t="s">
        <v>505</v>
      </c>
      <c r="B96" t="s">
        <v>506</v>
      </c>
      <c r="C96" s="177">
        <v>3.3333333333333333E-2</v>
      </c>
      <c r="D96" s="177">
        <v>3.3333333333333333E-2</v>
      </c>
      <c r="E96" s="177">
        <v>3.3333333333333333E-2</v>
      </c>
      <c r="F96" s="177">
        <v>3.3333333333333333E-2</v>
      </c>
      <c r="G96" s="177">
        <v>1.5277777777777779E-2</v>
      </c>
      <c r="H96" s="177">
        <v>3.3333333333333333E-2</v>
      </c>
      <c r="I96" s="177">
        <v>3.3333333333333333E-2</v>
      </c>
      <c r="J96" s="177">
        <v>3.3333333333333333E-2</v>
      </c>
      <c r="K96" s="177">
        <v>3.3333333333333333E-2</v>
      </c>
      <c r="L96" s="177">
        <v>1.5277777777777779E-2</v>
      </c>
      <c r="M96" s="177">
        <v>3.3333333333333333E-2</v>
      </c>
      <c r="N96" s="177">
        <v>3.3333333333333333E-2</v>
      </c>
      <c r="O96" s="177">
        <v>3.3333333333333333E-2</v>
      </c>
      <c r="P96" s="177">
        <v>1.5277777777777779E-2</v>
      </c>
      <c r="Q96" s="177">
        <v>1.5277777777777779E-2</v>
      </c>
      <c r="R96" s="177">
        <v>1.5277777777777779E-2</v>
      </c>
      <c r="S96" s="177">
        <v>1.5277777777777779E-2</v>
      </c>
      <c r="T96" s="177">
        <v>3.3333333333333333E-2</v>
      </c>
      <c r="U96" s="177">
        <v>3.3333333333333333E-2</v>
      </c>
      <c r="V96" s="177">
        <v>1.5277777777777779E-2</v>
      </c>
      <c r="W96" s="177">
        <v>3.3333333333333333E-2</v>
      </c>
      <c r="X96" s="177">
        <v>3.3333333333333333E-2</v>
      </c>
      <c r="Y96" s="177">
        <v>3.3333333333333333E-2</v>
      </c>
      <c r="Z96" s="177">
        <v>3.3333333333333333E-2</v>
      </c>
      <c r="AA96" s="177">
        <v>3.3333333333333333E-2</v>
      </c>
      <c r="AB96" s="177">
        <v>3.3333333333333333E-2</v>
      </c>
      <c r="AC96" s="177">
        <v>1.5277777777777779E-2</v>
      </c>
      <c r="AD96" s="178">
        <v>1.5277777777777779E-2</v>
      </c>
    </row>
    <row r="97" spans="1:30" x14ac:dyDescent="0.25">
      <c r="A97" s="85" t="s">
        <v>507</v>
      </c>
      <c r="B97" t="s">
        <v>506</v>
      </c>
      <c r="C97" s="177">
        <v>2.3611111111111111E-5</v>
      </c>
      <c r="D97" s="177">
        <v>2.3611111111111111E-5</v>
      </c>
      <c r="E97" s="177">
        <v>2.3611111111111111E-5</v>
      </c>
      <c r="F97" s="177">
        <v>2.3611111111111111E-5</v>
      </c>
      <c r="G97" s="177">
        <v>1.7222222222222224E-5</v>
      </c>
      <c r="H97" s="177">
        <v>2.3611111111111111E-5</v>
      </c>
      <c r="I97" s="177">
        <v>2.3611111111111111E-5</v>
      </c>
      <c r="J97" s="177">
        <v>2.3611111111111111E-5</v>
      </c>
      <c r="K97" s="177">
        <v>2.3611111111111111E-5</v>
      </c>
      <c r="L97" s="177">
        <v>1.7222222222222224E-5</v>
      </c>
      <c r="M97" s="177">
        <v>2.3611111111111111E-5</v>
      </c>
      <c r="N97" s="177">
        <v>2.3611111111111111E-5</v>
      </c>
      <c r="O97" s="177">
        <v>2.3611111111111111E-5</v>
      </c>
      <c r="P97" s="177">
        <v>1.7222222222222224E-5</v>
      </c>
      <c r="Q97" s="177">
        <v>1.7222222222222224E-5</v>
      </c>
      <c r="R97" s="177">
        <v>1.7222222222222224E-5</v>
      </c>
      <c r="S97" s="177">
        <v>1.7222222222222224E-5</v>
      </c>
      <c r="T97" s="177">
        <v>2.3611111111111111E-5</v>
      </c>
      <c r="U97" s="177">
        <v>2.3611111111111111E-5</v>
      </c>
      <c r="V97" s="177">
        <v>1.7222222222222224E-5</v>
      </c>
      <c r="W97" s="177">
        <v>2.3611111111111111E-5</v>
      </c>
      <c r="X97" s="177">
        <v>2.3611111111111111E-5</v>
      </c>
      <c r="Y97" s="177">
        <v>2.3611111111111111E-5</v>
      </c>
      <c r="Z97" s="177">
        <v>2.3611111111111111E-5</v>
      </c>
      <c r="AA97" s="177">
        <v>2.3611111111111111E-5</v>
      </c>
      <c r="AB97" s="177">
        <v>2.3611111111111111E-5</v>
      </c>
      <c r="AC97" s="177">
        <v>1.7222222222222224E-5</v>
      </c>
      <c r="AD97" s="178">
        <v>1.7222222222222224E-5</v>
      </c>
    </row>
    <row r="98" spans="1:30" x14ac:dyDescent="0.25">
      <c r="A98" s="85" t="s">
        <v>508</v>
      </c>
      <c r="B98" t="s">
        <v>509</v>
      </c>
      <c r="C98" s="177">
        <v>8.8888888888888889E-3</v>
      </c>
      <c r="D98" s="177">
        <v>8.8888888888888889E-3</v>
      </c>
      <c r="E98" s="177">
        <v>8.8888888888888889E-3</v>
      </c>
      <c r="F98" s="177">
        <v>8.8888888888888889E-3</v>
      </c>
      <c r="G98" s="177">
        <v>1.3055555555555556E-2</v>
      </c>
      <c r="H98" s="177">
        <v>8.8888888888888889E-3</v>
      </c>
      <c r="I98" s="177">
        <v>8.8888888888888889E-3</v>
      </c>
      <c r="J98" s="177">
        <v>8.8888888888888889E-3</v>
      </c>
      <c r="K98" s="177">
        <v>8.8888888888888889E-3</v>
      </c>
      <c r="L98" s="177">
        <v>1.3055555555555556E-2</v>
      </c>
      <c r="M98" s="177">
        <v>8.8888888888888889E-3</v>
      </c>
      <c r="N98" s="177">
        <v>8.8888888888888889E-3</v>
      </c>
      <c r="O98" s="177">
        <v>8.8888888888888889E-3</v>
      </c>
      <c r="P98" s="177">
        <v>1.3055555555555556E-2</v>
      </c>
      <c r="Q98" s="177">
        <v>1.3055555555555556E-2</v>
      </c>
      <c r="R98" s="177">
        <v>1.3055555555555556E-2</v>
      </c>
      <c r="S98" s="177">
        <v>1.3055555555555556E-2</v>
      </c>
      <c r="T98" s="177">
        <v>8.8888888888888889E-3</v>
      </c>
      <c r="U98" s="177">
        <v>8.8888888888888889E-3</v>
      </c>
      <c r="V98" s="177">
        <v>1.3055555555555556E-2</v>
      </c>
      <c r="W98" s="177">
        <v>8.8888888888888889E-3</v>
      </c>
      <c r="X98" s="177">
        <v>8.8888888888888889E-3</v>
      </c>
      <c r="Y98" s="177">
        <v>8.8888888888888889E-3</v>
      </c>
      <c r="Z98" s="177">
        <v>8.8888888888888889E-3</v>
      </c>
      <c r="AA98" s="177">
        <v>8.8888888888888889E-3</v>
      </c>
      <c r="AB98" s="177">
        <v>8.8888888888888889E-3</v>
      </c>
      <c r="AC98" s="177">
        <v>1.3055555555555556E-2</v>
      </c>
      <c r="AD98" s="178">
        <v>1.3055555555555556E-2</v>
      </c>
    </row>
    <row r="99" spans="1:30" x14ac:dyDescent="0.25">
      <c r="A99" s="85" t="s">
        <v>510</v>
      </c>
      <c r="B99" t="s">
        <v>509</v>
      </c>
      <c r="C99" s="177">
        <v>6.1111111111111121E-5</v>
      </c>
      <c r="D99" s="177">
        <v>6.1111111111111121E-5</v>
      </c>
      <c r="E99" s="177">
        <v>6.1111111111111121E-5</v>
      </c>
      <c r="F99" s="177">
        <v>6.1111111111111121E-5</v>
      </c>
      <c r="G99" s="177">
        <v>4.444444444444444E-5</v>
      </c>
      <c r="H99" s="177">
        <v>6.1111111111111121E-5</v>
      </c>
      <c r="I99" s="177">
        <v>6.1111111111111121E-5</v>
      </c>
      <c r="J99" s="177">
        <v>6.1111111111111121E-5</v>
      </c>
      <c r="K99" s="177">
        <v>6.1111111111111121E-5</v>
      </c>
      <c r="L99" s="177">
        <v>4.444444444444444E-5</v>
      </c>
      <c r="M99" s="177">
        <v>6.1111111111111121E-5</v>
      </c>
      <c r="N99" s="177">
        <v>6.1111111111111121E-5</v>
      </c>
      <c r="O99" s="177">
        <v>6.1111111111111121E-5</v>
      </c>
      <c r="P99" s="177">
        <v>4.444444444444444E-5</v>
      </c>
      <c r="Q99" s="177">
        <v>4.444444444444444E-5</v>
      </c>
      <c r="R99" s="177">
        <v>4.444444444444444E-5</v>
      </c>
      <c r="S99" s="177">
        <v>4.444444444444444E-5</v>
      </c>
      <c r="T99" s="177">
        <v>6.1111111111111121E-5</v>
      </c>
      <c r="U99" s="177">
        <v>6.1111111111111121E-5</v>
      </c>
      <c r="V99" s="177">
        <v>4.444444444444444E-5</v>
      </c>
      <c r="W99" s="177">
        <v>6.1111111111111121E-5</v>
      </c>
      <c r="X99" s="177">
        <v>6.1111111111111121E-5</v>
      </c>
      <c r="Y99" s="177">
        <v>6.1111111111111121E-5</v>
      </c>
      <c r="Z99" s="177">
        <v>6.1111111111111121E-5</v>
      </c>
      <c r="AA99" s="177">
        <v>6.1111111111111121E-5</v>
      </c>
      <c r="AB99" s="177">
        <v>6.1111111111111121E-5</v>
      </c>
      <c r="AC99" s="177">
        <v>4.444444444444444E-5</v>
      </c>
      <c r="AD99" s="178">
        <v>4.444444444444444E-5</v>
      </c>
    </row>
    <row r="100" spans="1:30" x14ac:dyDescent="0.25">
      <c r="A100" s="85" t="s">
        <v>511</v>
      </c>
      <c r="B100" t="s">
        <v>509</v>
      </c>
      <c r="C100" s="177">
        <v>0</v>
      </c>
      <c r="D100" s="177">
        <v>0</v>
      </c>
      <c r="E100" s="177">
        <v>0</v>
      </c>
      <c r="F100" s="177">
        <v>0</v>
      </c>
      <c r="G100" s="177">
        <v>0</v>
      </c>
      <c r="H100" s="177">
        <v>0</v>
      </c>
      <c r="I100" s="177">
        <v>0</v>
      </c>
      <c r="J100" s="177">
        <v>0</v>
      </c>
      <c r="K100" s="177">
        <v>0</v>
      </c>
      <c r="L100" s="177">
        <v>0</v>
      </c>
      <c r="M100" s="177">
        <v>0</v>
      </c>
      <c r="N100" s="177">
        <v>0</v>
      </c>
      <c r="O100" s="177">
        <v>0</v>
      </c>
      <c r="P100" s="177">
        <v>0</v>
      </c>
      <c r="Q100" s="177">
        <v>0</v>
      </c>
      <c r="R100" s="177">
        <v>0</v>
      </c>
      <c r="S100" s="177">
        <v>0</v>
      </c>
      <c r="T100" s="177">
        <v>0</v>
      </c>
      <c r="U100" s="177">
        <v>0</v>
      </c>
      <c r="V100" s="177">
        <v>0</v>
      </c>
      <c r="W100" s="177">
        <v>0</v>
      </c>
      <c r="X100" s="177">
        <v>0</v>
      </c>
      <c r="Y100" s="177">
        <v>0</v>
      </c>
      <c r="Z100" s="177">
        <v>0</v>
      </c>
      <c r="AA100" s="177">
        <v>0</v>
      </c>
      <c r="AB100" s="177">
        <v>0</v>
      </c>
      <c r="AC100" s="177">
        <v>0</v>
      </c>
      <c r="AD100" s="178">
        <v>0</v>
      </c>
    </row>
    <row r="101" spans="1:30" x14ac:dyDescent="0.25">
      <c r="A101" s="85" t="s">
        <v>512</v>
      </c>
      <c r="B101" t="s">
        <v>513</v>
      </c>
      <c r="C101" s="177">
        <v>4.6750000000000014E-4</v>
      </c>
      <c r="D101" s="177">
        <v>4.6750000000000014E-4</v>
      </c>
      <c r="E101" s="177">
        <v>4.6750000000000014E-4</v>
      </c>
      <c r="F101" s="177">
        <v>4.6750000000000014E-4</v>
      </c>
      <c r="G101" s="177">
        <v>2.0444444444444446E-4</v>
      </c>
      <c r="H101" s="177">
        <v>4.6750000000000014E-4</v>
      </c>
      <c r="I101" s="177">
        <v>4.6750000000000014E-4</v>
      </c>
      <c r="J101" s="177">
        <v>4.6750000000000014E-4</v>
      </c>
      <c r="K101" s="177">
        <v>4.6750000000000014E-4</v>
      </c>
      <c r="L101" s="177">
        <v>2.0444444444444446E-4</v>
      </c>
      <c r="M101" s="177">
        <v>4.6750000000000014E-4</v>
      </c>
      <c r="N101" s="177">
        <v>4.6750000000000014E-4</v>
      </c>
      <c r="O101" s="177">
        <v>4.6750000000000014E-4</v>
      </c>
      <c r="P101" s="177">
        <v>2.0444444444444446E-4</v>
      </c>
      <c r="Q101" s="177">
        <v>2.0444444444444446E-4</v>
      </c>
      <c r="R101" s="177">
        <v>2.0444444444444446E-4</v>
      </c>
      <c r="S101" s="177">
        <v>2.0444444444444446E-4</v>
      </c>
      <c r="T101" s="177">
        <v>4.6750000000000014E-4</v>
      </c>
      <c r="U101" s="177">
        <v>4.6750000000000014E-4</v>
      </c>
      <c r="V101" s="177">
        <v>2.0444444444444446E-4</v>
      </c>
      <c r="W101" s="177">
        <v>4.6750000000000014E-4</v>
      </c>
      <c r="X101" s="177">
        <v>4.6750000000000014E-4</v>
      </c>
      <c r="Y101" s="177">
        <v>4.6750000000000014E-4</v>
      </c>
      <c r="Z101" s="177">
        <v>4.6750000000000014E-4</v>
      </c>
      <c r="AA101" s="177">
        <v>4.6750000000000014E-4</v>
      </c>
      <c r="AB101" s="177">
        <v>4.6750000000000014E-4</v>
      </c>
      <c r="AC101" s="177">
        <v>2.0444444444444446E-4</v>
      </c>
      <c r="AD101" s="178">
        <v>2.0444444444444446E-4</v>
      </c>
    </row>
    <row r="102" spans="1:30" x14ac:dyDescent="0.25">
      <c r="A102" s="85" t="s">
        <v>514</v>
      </c>
      <c r="B102" t="s">
        <v>513</v>
      </c>
      <c r="C102" s="177">
        <v>3.055555555555556E-4</v>
      </c>
      <c r="D102" s="177">
        <v>3.055555555555556E-4</v>
      </c>
      <c r="E102" s="177">
        <v>3.055555555555556E-4</v>
      </c>
      <c r="F102" s="177">
        <v>3.055555555555556E-4</v>
      </c>
      <c r="G102" s="177">
        <v>1.2777777777777776E-4</v>
      </c>
      <c r="H102" s="177">
        <v>3.055555555555556E-4</v>
      </c>
      <c r="I102" s="177">
        <v>3.055555555555556E-4</v>
      </c>
      <c r="J102" s="177">
        <v>3.055555555555556E-4</v>
      </c>
      <c r="K102" s="177">
        <v>3.055555555555556E-4</v>
      </c>
      <c r="L102" s="177">
        <v>1.2777777777777776E-4</v>
      </c>
      <c r="M102" s="177">
        <v>3.055555555555556E-4</v>
      </c>
      <c r="N102" s="177">
        <v>3.055555555555556E-4</v>
      </c>
      <c r="O102" s="177">
        <v>3.055555555555556E-4</v>
      </c>
      <c r="P102" s="177">
        <v>1.2777777777777776E-4</v>
      </c>
      <c r="Q102" s="177">
        <v>1.2777777777777776E-4</v>
      </c>
      <c r="R102" s="177">
        <v>1.2777777777777776E-4</v>
      </c>
      <c r="S102" s="177">
        <v>1.2777777777777776E-4</v>
      </c>
      <c r="T102" s="177">
        <v>3.055555555555556E-4</v>
      </c>
      <c r="U102" s="177">
        <v>3.055555555555556E-4</v>
      </c>
      <c r="V102" s="177">
        <v>1.2777777777777776E-4</v>
      </c>
      <c r="W102" s="177">
        <v>3.055555555555556E-4</v>
      </c>
      <c r="X102" s="177">
        <v>3.055555555555556E-4</v>
      </c>
      <c r="Y102" s="177">
        <v>3.055555555555556E-4</v>
      </c>
      <c r="Z102" s="177">
        <v>3.055555555555556E-4</v>
      </c>
      <c r="AA102" s="177">
        <v>3.055555555555556E-4</v>
      </c>
      <c r="AB102" s="177">
        <v>3.055555555555556E-4</v>
      </c>
      <c r="AC102" s="177">
        <v>1.2777777777777776E-4</v>
      </c>
      <c r="AD102" s="178">
        <v>1.2777777777777776E-4</v>
      </c>
    </row>
    <row r="103" spans="1:30" x14ac:dyDescent="0.25">
      <c r="A103" s="85" t="s">
        <v>515</v>
      </c>
      <c r="B103" t="s">
        <v>516</v>
      </c>
      <c r="C103" s="177">
        <v>1E-3</v>
      </c>
      <c r="D103" s="177">
        <v>1E-3</v>
      </c>
      <c r="E103" s="177">
        <v>1E-3</v>
      </c>
      <c r="F103" s="177">
        <v>1E-3</v>
      </c>
      <c r="G103" s="177">
        <v>4.4444444444444457E-4</v>
      </c>
      <c r="H103" s="177">
        <v>1E-3</v>
      </c>
      <c r="I103" s="177">
        <v>1E-3</v>
      </c>
      <c r="J103" s="177">
        <v>1E-3</v>
      </c>
      <c r="K103" s="177">
        <v>1E-3</v>
      </c>
      <c r="L103" s="177">
        <v>4.4444444444444457E-4</v>
      </c>
      <c r="M103" s="177">
        <v>1E-3</v>
      </c>
      <c r="N103" s="177">
        <v>1E-3</v>
      </c>
      <c r="O103" s="177">
        <v>1E-3</v>
      </c>
      <c r="P103" s="177">
        <v>4.4444444444444457E-4</v>
      </c>
      <c r="Q103" s="177">
        <v>4.4444444444444457E-4</v>
      </c>
      <c r="R103" s="177">
        <v>4.4444444444444457E-4</v>
      </c>
      <c r="S103" s="177">
        <v>4.4444444444444457E-4</v>
      </c>
      <c r="T103" s="177">
        <v>1E-3</v>
      </c>
      <c r="U103" s="177">
        <v>1E-3</v>
      </c>
      <c r="V103" s="177">
        <v>4.4444444444444457E-4</v>
      </c>
      <c r="W103" s="177">
        <v>1E-3</v>
      </c>
      <c r="X103" s="177">
        <v>1E-3</v>
      </c>
      <c r="Y103" s="177">
        <v>1E-3</v>
      </c>
      <c r="Z103" s="177">
        <v>1E-3</v>
      </c>
      <c r="AA103" s="177">
        <v>1E-3</v>
      </c>
      <c r="AB103" s="177">
        <v>1E-3</v>
      </c>
      <c r="AC103" s="177">
        <v>4.4444444444444457E-4</v>
      </c>
      <c r="AD103" s="178">
        <v>4.4444444444444457E-4</v>
      </c>
    </row>
    <row r="104" spans="1:30" x14ac:dyDescent="0.25">
      <c r="A104" s="85" t="s">
        <v>517</v>
      </c>
      <c r="B104" t="s">
        <v>518</v>
      </c>
      <c r="C104" s="177">
        <v>3.8461538461538464E-2</v>
      </c>
      <c r="D104" s="177">
        <v>3.8461538461538464E-2</v>
      </c>
      <c r="E104" s="177">
        <v>3.8461538461538464E-2</v>
      </c>
      <c r="F104" s="177">
        <v>3.8461538461538464E-2</v>
      </c>
      <c r="G104" s="177">
        <v>3.8461538461538464E-2</v>
      </c>
      <c r="H104" s="177">
        <v>3.8461538461538464E-2</v>
      </c>
      <c r="I104" s="177">
        <v>3.8461538461538464E-2</v>
      </c>
      <c r="J104" s="177">
        <v>3.8461538461538464E-2</v>
      </c>
      <c r="K104" s="177">
        <v>3.8461538461538464E-2</v>
      </c>
      <c r="L104" s="177">
        <v>3.8461538461538464E-2</v>
      </c>
      <c r="M104" s="177">
        <v>3.8461538461538464E-2</v>
      </c>
      <c r="N104" s="177">
        <v>3.8461538461538464E-2</v>
      </c>
      <c r="O104" s="177">
        <v>3.8461538461538464E-2</v>
      </c>
      <c r="P104" s="177">
        <v>3.8461538461538464E-2</v>
      </c>
      <c r="Q104" s="177">
        <v>3.8461538461538464E-2</v>
      </c>
      <c r="R104" s="177">
        <v>3.8461538461538464E-2</v>
      </c>
      <c r="S104" s="177">
        <v>3.8461538461538464E-2</v>
      </c>
      <c r="T104" s="177">
        <v>3.8461538461538464E-2</v>
      </c>
      <c r="U104" s="177">
        <v>3.8461538461538464E-2</v>
      </c>
      <c r="V104" s="177">
        <v>3.8461538461538464E-2</v>
      </c>
      <c r="W104" s="177">
        <v>3.8461538461538464E-2</v>
      </c>
      <c r="X104" s="177">
        <v>3.8461538461538464E-2</v>
      </c>
      <c r="Y104" s="177">
        <v>3.8461538461538464E-2</v>
      </c>
      <c r="Z104" s="177">
        <v>3.8461538461538464E-2</v>
      </c>
      <c r="AA104" s="177">
        <v>3.8461538461538464E-2</v>
      </c>
      <c r="AB104" s="177">
        <v>3.8461538461538464E-2</v>
      </c>
      <c r="AC104" s="177">
        <v>3.8461538461538464E-2</v>
      </c>
      <c r="AD104" s="178">
        <v>3.8461538461538464E-2</v>
      </c>
    </row>
    <row r="105" spans="1:30" x14ac:dyDescent="0.25">
      <c r="A105" s="85" t="s">
        <v>519</v>
      </c>
      <c r="B105" t="s">
        <v>520</v>
      </c>
      <c r="C105" s="177">
        <v>0</v>
      </c>
      <c r="D105" s="177">
        <v>0</v>
      </c>
      <c r="E105" s="177">
        <v>0</v>
      </c>
      <c r="F105" s="177">
        <v>0</v>
      </c>
      <c r="G105" s="177">
        <v>0</v>
      </c>
      <c r="H105" s="177">
        <v>0</v>
      </c>
      <c r="I105" s="177">
        <v>0</v>
      </c>
      <c r="J105" s="177">
        <v>0</v>
      </c>
      <c r="K105" s="177">
        <v>0</v>
      </c>
      <c r="L105" s="177">
        <v>0</v>
      </c>
      <c r="M105" s="177">
        <v>0</v>
      </c>
      <c r="N105" s="177">
        <v>0</v>
      </c>
      <c r="O105" s="177">
        <v>0</v>
      </c>
      <c r="P105" s="177">
        <v>0</v>
      </c>
      <c r="Q105" s="177">
        <v>0</v>
      </c>
      <c r="R105" s="177">
        <v>0</v>
      </c>
      <c r="S105" s="177">
        <v>0</v>
      </c>
      <c r="T105" s="177">
        <v>0</v>
      </c>
      <c r="U105" s="177">
        <v>0</v>
      </c>
      <c r="V105" s="177">
        <v>0</v>
      </c>
      <c r="W105" s="177">
        <v>0</v>
      </c>
      <c r="X105" s="177">
        <v>0</v>
      </c>
      <c r="Y105" s="177">
        <v>0</v>
      </c>
      <c r="Z105" s="177">
        <v>0</v>
      </c>
      <c r="AA105" s="177">
        <v>0</v>
      </c>
      <c r="AB105" s="177">
        <v>0</v>
      </c>
      <c r="AC105" s="177">
        <v>0</v>
      </c>
      <c r="AD105" s="178">
        <v>0</v>
      </c>
    </row>
    <row r="106" spans="1:30" x14ac:dyDescent="0.25">
      <c r="A106" s="85" t="s">
        <v>521</v>
      </c>
      <c r="B106" t="s">
        <v>522</v>
      </c>
      <c r="C106" s="177">
        <v>0</v>
      </c>
      <c r="D106" s="177">
        <v>0</v>
      </c>
      <c r="E106" s="177">
        <v>0</v>
      </c>
      <c r="F106" s="177">
        <v>0</v>
      </c>
      <c r="G106" s="177">
        <v>0</v>
      </c>
      <c r="H106" s="177">
        <v>0</v>
      </c>
      <c r="I106" s="177">
        <v>0</v>
      </c>
      <c r="J106" s="177">
        <v>0</v>
      </c>
      <c r="K106" s="177">
        <v>0</v>
      </c>
      <c r="L106" s="177">
        <v>0</v>
      </c>
      <c r="M106" s="177">
        <v>0</v>
      </c>
      <c r="N106" s="177">
        <v>0</v>
      </c>
      <c r="O106" s="177">
        <v>0</v>
      </c>
      <c r="P106" s="177">
        <v>0</v>
      </c>
      <c r="Q106" s="177">
        <v>0</v>
      </c>
      <c r="R106" s="177">
        <v>0</v>
      </c>
      <c r="S106" s="177">
        <v>0</v>
      </c>
      <c r="T106" s="177">
        <v>0</v>
      </c>
      <c r="U106" s="177">
        <v>0</v>
      </c>
      <c r="V106" s="177">
        <v>0</v>
      </c>
      <c r="W106" s="177">
        <v>0</v>
      </c>
      <c r="X106" s="177">
        <v>0</v>
      </c>
      <c r="Y106" s="177">
        <v>0</v>
      </c>
      <c r="Z106" s="177">
        <v>0</v>
      </c>
      <c r="AA106" s="177">
        <v>0</v>
      </c>
      <c r="AB106" s="177">
        <v>0</v>
      </c>
      <c r="AC106" s="177">
        <v>0</v>
      </c>
      <c r="AD106" s="178">
        <v>0</v>
      </c>
    </row>
    <row r="107" spans="1:30" x14ac:dyDescent="0.25">
      <c r="A107" s="85" t="s">
        <v>523</v>
      </c>
      <c r="B107" t="s">
        <v>524</v>
      </c>
      <c r="C107" s="177">
        <v>1.3639545754678808</v>
      </c>
      <c r="D107" s="177">
        <v>1.3639545754678808</v>
      </c>
      <c r="E107" s="177">
        <v>1.3639545754678808</v>
      </c>
      <c r="F107" s="177">
        <v>1.3639545754678808</v>
      </c>
      <c r="G107" s="177">
        <v>8.1322040329929637E-2</v>
      </c>
      <c r="H107" s="177">
        <v>1.3639545754678808</v>
      </c>
      <c r="I107" s="177">
        <v>1.3639545754678808</v>
      </c>
      <c r="J107" s="177">
        <v>1.3639545754678808</v>
      </c>
      <c r="K107" s="177">
        <v>1.3639545754678808</v>
      </c>
      <c r="L107" s="177">
        <v>8.1322040329929637E-2</v>
      </c>
      <c r="M107" s="177">
        <v>1.3639545754678808</v>
      </c>
      <c r="N107" s="177">
        <v>1.3639545754678808</v>
      </c>
      <c r="O107" s="177">
        <v>1.3639545754678808</v>
      </c>
      <c r="P107" s="177">
        <v>8.1322040329929637E-2</v>
      </c>
      <c r="Q107" s="177">
        <v>8.1322040329929637E-2</v>
      </c>
      <c r="R107" s="177">
        <v>8.1322040329929637E-2</v>
      </c>
      <c r="S107" s="177">
        <v>8.1322040329929637E-2</v>
      </c>
      <c r="T107" s="177">
        <v>1.3639545754678808</v>
      </c>
      <c r="U107" s="177">
        <v>1.3639545754678808</v>
      </c>
      <c r="V107" s="177">
        <v>8.1322040329929637E-2</v>
      </c>
      <c r="W107" s="177">
        <v>1.3639545754678808</v>
      </c>
      <c r="X107" s="177">
        <v>1.3639545754678808</v>
      </c>
      <c r="Y107" s="177">
        <v>1.3639545754678808</v>
      </c>
      <c r="Z107" s="177">
        <v>1.3639545754678808</v>
      </c>
      <c r="AA107" s="177">
        <v>1.3639545754678808</v>
      </c>
      <c r="AB107" s="177">
        <v>1.3639545754678808</v>
      </c>
      <c r="AC107" s="177">
        <v>8.1322040329929637E-2</v>
      </c>
      <c r="AD107" s="178">
        <v>8.1322040329929637E-2</v>
      </c>
    </row>
    <row r="108" spans="1:30" x14ac:dyDescent="0.25">
      <c r="A108" s="85" t="s">
        <v>525</v>
      </c>
      <c r="B108" t="s">
        <v>524</v>
      </c>
      <c r="C108" s="177">
        <v>5.7161635699196835E-2</v>
      </c>
      <c r="D108" s="177">
        <v>5.7161635699196835E-2</v>
      </c>
      <c r="E108" s="177">
        <v>5.7161635699196835E-2</v>
      </c>
      <c r="F108" s="177">
        <v>5.7161635699196835E-2</v>
      </c>
      <c r="G108" s="177">
        <v>4.1572098690324966E-2</v>
      </c>
      <c r="H108" s="177">
        <v>5.7161635699196835E-2</v>
      </c>
      <c r="I108" s="177">
        <v>5.7161635699196835E-2</v>
      </c>
      <c r="J108" s="177">
        <v>5.7161635699196835E-2</v>
      </c>
      <c r="K108" s="177">
        <v>5.7161635699196835E-2</v>
      </c>
      <c r="L108" s="177">
        <v>4.1572098690324966E-2</v>
      </c>
      <c r="M108" s="177">
        <v>5.7161635699196835E-2</v>
      </c>
      <c r="N108" s="177">
        <v>5.7161635699196835E-2</v>
      </c>
      <c r="O108" s="177">
        <v>5.7161635699196835E-2</v>
      </c>
      <c r="P108" s="177">
        <v>4.1572098690324966E-2</v>
      </c>
      <c r="Q108" s="177">
        <v>4.1572098690324966E-2</v>
      </c>
      <c r="R108" s="177">
        <v>4.1572098690324966E-2</v>
      </c>
      <c r="S108" s="177">
        <v>4.1572098690324966E-2</v>
      </c>
      <c r="T108" s="177">
        <v>5.7161635699196835E-2</v>
      </c>
      <c r="U108" s="177">
        <v>5.7161635699196835E-2</v>
      </c>
      <c r="V108" s="177">
        <v>4.1572098690324966E-2</v>
      </c>
      <c r="W108" s="177">
        <v>5.7161635699196835E-2</v>
      </c>
      <c r="X108" s="177">
        <v>5.7161635699196835E-2</v>
      </c>
      <c r="Y108" s="177">
        <v>5.7161635699196835E-2</v>
      </c>
      <c r="Z108" s="177">
        <v>5.7161635699196835E-2</v>
      </c>
      <c r="AA108" s="177">
        <v>5.7161635699196835E-2</v>
      </c>
      <c r="AB108" s="177">
        <v>5.7161635699196835E-2</v>
      </c>
      <c r="AC108" s="177">
        <v>4.1572098690324966E-2</v>
      </c>
      <c r="AD108" s="178">
        <v>4.1572098690324966E-2</v>
      </c>
    </row>
    <row r="109" spans="1:30" x14ac:dyDescent="0.25">
      <c r="A109" s="85" t="s">
        <v>526</v>
      </c>
      <c r="B109" t="s">
        <v>524</v>
      </c>
      <c r="C109" s="177">
        <v>5.9759891867342137E-4</v>
      </c>
      <c r="D109" s="177">
        <v>5.9759891867342137E-4</v>
      </c>
      <c r="E109" s="177">
        <v>5.9759891867342137E-4</v>
      </c>
      <c r="F109" s="177">
        <v>5.9759891867342137E-4</v>
      </c>
      <c r="G109" s="177">
        <v>4.4170354858470278E-4</v>
      </c>
      <c r="H109" s="177">
        <v>5.9759891867342137E-4</v>
      </c>
      <c r="I109" s="177">
        <v>5.9759891867342137E-4</v>
      </c>
      <c r="J109" s="177">
        <v>5.9759891867342137E-4</v>
      </c>
      <c r="K109" s="177">
        <v>5.9759891867342137E-4</v>
      </c>
      <c r="L109" s="177">
        <v>4.4170354858470278E-4</v>
      </c>
      <c r="M109" s="177">
        <v>5.9759891867342137E-4</v>
      </c>
      <c r="N109" s="177">
        <v>5.9759891867342137E-4</v>
      </c>
      <c r="O109" s="177">
        <v>5.9759891867342137E-4</v>
      </c>
      <c r="P109" s="177">
        <v>4.4170354858470278E-4</v>
      </c>
      <c r="Q109" s="177">
        <v>4.4170354858470278E-4</v>
      </c>
      <c r="R109" s="177">
        <v>4.4170354858470278E-4</v>
      </c>
      <c r="S109" s="177">
        <v>4.4170354858470278E-4</v>
      </c>
      <c r="T109" s="177">
        <v>5.9759891867342137E-4</v>
      </c>
      <c r="U109" s="177">
        <v>5.9759891867342137E-4</v>
      </c>
      <c r="V109" s="177">
        <v>4.4170354858470278E-4</v>
      </c>
      <c r="W109" s="177">
        <v>5.9759891867342137E-4</v>
      </c>
      <c r="X109" s="177">
        <v>5.9759891867342137E-4</v>
      </c>
      <c r="Y109" s="177">
        <v>5.9759891867342137E-4</v>
      </c>
      <c r="Z109" s="177">
        <v>5.9759891867342137E-4</v>
      </c>
      <c r="AA109" s="177">
        <v>5.9759891867342137E-4</v>
      </c>
      <c r="AB109" s="177">
        <v>5.9759891867342137E-4</v>
      </c>
      <c r="AC109" s="177">
        <v>4.4170354858470278E-4</v>
      </c>
      <c r="AD109" s="178">
        <v>4.4170354858470278E-4</v>
      </c>
    </row>
    <row r="110" spans="1:30" x14ac:dyDescent="0.25">
      <c r="A110" s="85" t="s">
        <v>527</v>
      </c>
      <c r="B110" t="s">
        <v>528</v>
      </c>
      <c r="C110" s="177">
        <v>0</v>
      </c>
      <c r="D110" s="177">
        <v>0</v>
      </c>
      <c r="E110" s="177">
        <v>0</v>
      </c>
      <c r="F110" s="177">
        <v>0</v>
      </c>
      <c r="G110" s="177">
        <v>0</v>
      </c>
      <c r="H110" s="177">
        <v>0</v>
      </c>
      <c r="I110" s="177">
        <v>0</v>
      </c>
      <c r="J110" s="177">
        <v>0</v>
      </c>
      <c r="K110" s="177">
        <v>0</v>
      </c>
      <c r="L110" s="177">
        <v>0</v>
      </c>
      <c r="M110" s="177">
        <v>0</v>
      </c>
      <c r="N110" s="177">
        <v>0</v>
      </c>
      <c r="O110" s="177">
        <v>0</v>
      </c>
      <c r="P110" s="177">
        <v>0</v>
      </c>
      <c r="Q110" s="177">
        <v>0</v>
      </c>
      <c r="R110" s="177">
        <v>0</v>
      </c>
      <c r="S110" s="177">
        <v>0</v>
      </c>
      <c r="T110" s="177">
        <v>0</v>
      </c>
      <c r="U110" s="177">
        <v>0</v>
      </c>
      <c r="V110" s="177">
        <v>0</v>
      </c>
      <c r="W110" s="177">
        <v>0</v>
      </c>
      <c r="X110" s="177">
        <v>0</v>
      </c>
      <c r="Y110" s="177">
        <v>0</v>
      </c>
      <c r="Z110" s="177">
        <v>0</v>
      </c>
      <c r="AA110" s="177">
        <v>0</v>
      </c>
      <c r="AB110" s="177">
        <v>0</v>
      </c>
      <c r="AC110" s="177">
        <v>0</v>
      </c>
      <c r="AD110" s="178">
        <v>0</v>
      </c>
    </row>
    <row r="111" spans="1:30" x14ac:dyDescent="0.25">
      <c r="A111" s="85" t="s">
        <v>529</v>
      </c>
      <c r="B111" t="s">
        <v>530</v>
      </c>
      <c r="C111" s="177">
        <v>1.4030583307984678E-3</v>
      </c>
      <c r="D111" s="177">
        <v>1.4030583307984678E-3</v>
      </c>
      <c r="E111" s="177">
        <v>1.4030583307984678E-3</v>
      </c>
      <c r="F111" s="177">
        <v>1.4030583307984678E-3</v>
      </c>
      <c r="G111" s="177">
        <v>1.4030583307984678E-3</v>
      </c>
      <c r="H111" s="177">
        <v>1.4030583307984678E-3</v>
      </c>
      <c r="I111" s="177">
        <v>1.4030583307984678E-3</v>
      </c>
      <c r="J111" s="177">
        <v>1.4030583307984678E-3</v>
      </c>
      <c r="K111" s="177">
        <v>1.4030583307984678E-3</v>
      </c>
      <c r="L111" s="177">
        <v>1.4030583307984678E-3</v>
      </c>
      <c r="M111" s="177">
        <v>1.4030583307984678E-3</v>
      </c>
      <c r="N111" s="177">
        <v>1.4030583307984678E-3</v>
      </c>
      <c r="O111" s="177">
        <v>1.4030583307984678E-3</v>
      </c>
      <c r="P111" s="177">
        <v>1.4030583307984678E-3</v>
      </c>
      <c r="Q111" s="177">
        <v>1.4030583307984678E-3</v>
      </c>
      <c r="R111" s="177">
        <v>1.4030583307984678E-3</v>
      </c>
      <c r="S111" s="177">
        <v>1.4030583307984678E-3</v>
      </c>
      <c r="T111" s="177">
        <v>1.4030583307984678E-3</v>
      </c>
      <c r="U111" s="177">
        <v>1.4030583307984678E-3</v>
      </c>
      <c r="V111" s="177">
        <v>1.4030583307984678E-3</v>
      </c>
      <c r="W111" s="177">
        <v>1.4030583307984678E-3</v>
      </c>
      <c r="X111" s="177">
        <v>1.4030583307984678E-3</v>
      </c>
      <c r="Y111" s="177">
        <v>1.4030583307984678E-3</v>
      </c>
      <c r="Z111" s="177">
        <v>1.4030583307984678E-3</v>
      </c>
      <c r="AA111" s="177">
        <v>1.4030583307984678E-3</v>
      </c>
      <c r="AB111" s="177">
        <v>1.4030583307984678E-3</v>
      </c>
      <c r="AC111" s="177">
        <v>1.4030583307984678E-3</v>
      </c>
      <c r="AD111" s="178">
        <v>1.4030583307984678E-3</v>
      </c>
    </row>
    <row r="112" spans="1:30" x14ac:dyDescent="0.25">
      <c r="A112" s="85" t="s">
        <v>531</v>
      </c>
      <c r="B112" t="s">
        <v>532</v>
      </c>
      <c r="C112" s="177">
        <v>6.4956404203632759E-3</v>
      </c>
      <c r="D112" s="177">
        <v>6.4956404203632759E-3</v>
      </c>
      <c r="E112" s="177">
        <v>6.4956404203632759E-3</v>
      </c>
      <c r="F112" s="177">
        <v>6.4956404203632759E-3</v>
      </c>
      <c r="G112" s="177">
        <v>6.4956404203632759E-3</v>
      </c>
      <c r="H112" s="177">
        <v>6.4956404203632759E-3</v>
      </c>
      <c r="I112" s="177">
        <v>6.4956404203632759E-3</v>
      </c>
      <c r="J112" s="177">
        <v>6.4956404203632759E-3</v>
      </c>
      <c r="K112" s="177">
        <v>6.4956404203632759E-3</v>
      </c>
      <c r="L112" s="177">
        <v>6.4956404203632759E-3</v>
      </c>
      <c r="M112" s="177">
        <v>6.4956404203632759E-3</v>
      </c>
      <c r="N112" s="177">
        <v>6.4956404203632759E-3</v>
      </c>
      <c r="O112" s="177">
        <v>6.4956404203632759E-3</v>
      </c>
      <c r="P112" s="177">
        <v>6.4956404203632759E-3</v>
      </c>
      <c r="Q112" s="177">
        <v>6.4956404203632759E-3</v>
      </c>
      <c r="R112" s="177">
        <v>6.4956404203632759E-3</v>
      </c>
      <c r="S112" s="177">
        <v>6.4956404203632759E-3</v>
      </c>
      <c r="T112" s="177">
        <v>6.4956404203632759E-3</v>
      </c>
      <c r="U112" s="177">
        <v>6.4956404203632759E-3</v>
      </c>
      <c r="V112" s="177">
        <v>6.4956404203632759E-3</v>
      </c>
      <c r="W112" s="177">
        <v>6.4956404203632759E-3</v>
      </c>
      <c r="X112" s="177">
        <v>6.4956404203632759E-3</v>
      </c>
      <c r="Y112" s="177">
        <v>6.4956404203632759E-3</v>
      </c>
      <c r="Z112" s="177">
        <v>6.4956404203632759E-3</v>
      </c>
      <c r="AA112" s="177">
        <v>6.4956404203632759E-3</v>
      </c>
      <c r="AB112" s="177">
        <v>6.4956404203632759E-3</v>
      </c>
      <c r="AC112" s="177">
        <v>6.4956404203632759E-3</v>
      </c>
      <c r="AD112" s="178">
        <v>6.4956404203632759E-3</v>
      </c>
    </row>
    <row r="113" spans="1:30" x14ac:dyDescent="0.25">
      <c r="A113" s="85" t="s">
        <v>533</v>
      </c>
      <c r="B113" t="s">
        <v>532</v>
      </c>
      <c r="C113" s="177">
        <v>0</v>
      </c>
      <c r="D113" s="177">
        <v>0</v>
      </c>
      <c r="E113" s="177">
        <v>0</v>
      </c>
      <c r="F113" s="177">
        <v>0</v>
      </c>
      <c r="G113" s="177">
        <v>0</v>
      </c>
      <c r="H113" s="177">
        <v>0</v>
      </c>
      <c r="I113" s="177">
        <v>0</v>
      </c>
      <c r="J113" s="177">
        <v>0</v>
      </c>
      <c r="K113" s="177">
        <v>0</v>
      </c>
      <c r="L113" s="177">
        <v>0</v>
      </c>
      <c r="M113" s="177">
        <v>0</v>
      </c>
      <c r="N113" s="177">
        <v>0</v>
      </c>
      <c r="O113" s="177">
        <v>0</v>
      </c>
      <c r="P113" s="177">
        <v>0</v>
      </c>
      <c r="Q113" s="177">
        <v>0</v>
      </c>
      <c r="R113" s="177">
        <v>0</v>
      </c>
      <c r="S113" s="177">
        <v>0</v>
      </c>
      <c r="T113" s="177">
        <v>0</v>
      </c>
      <c r="U113" s="177">
        <v>0</v>
      </c>
      <c r="V113" s="177">
        <v>0</v>
      </c>
      <c r="W113" s="177">
        <v>0</v>
      </c>
      <c r="X113" s="177">
        <v>0</v>
      </c>
      <c r="Y113" s="177">
        <v>0</v>
      </c>
      <c r="Z113" s="177">
        <v>0</v>
      </c>
      <c r="AA113" s="177">
        <v>0</v>
      </c>
      <c r="AB113" s="177">
        <v>0</v>
      </c>
      <c r="AC113" s="177">
        <v>0</v>
      </c>
      <c r="AD113" s="178">
        <v>0</v>
      </c>
    </row>
    <row r="114" spans="1:30" x14ac:dyDescent="0.25">
      <c r="A114" s="85" t="s">
        <v>534</v>
      </c>
      <c r="B114" t="s">
        <v>535</v>
      </c>
      <c r="C114" s="177">
        <v>0</v>
      </c>
      <c r="D114" s="177">
        <v>0</v>
      </c>
      <c r="E114" s="177">
        <v>0</v>
      </c>
      <c r="F114" s="177">
        <v>0</v>
      </c>
      <c r="G114" s="177">
        <v>3.3777330185889035E-2</v>
      </c>
      <c r="H114" s="177">
        <v>0</v>
      </c>
      <c r="I114" s="177">
        <v>0</v>
      </c>
      <c r="J114" s="177">
        <v>0</v>
      </c>
      <c r="K114" s="177">
        <v>0</v>
      </c>
      <c r="L114" s="177">
        <v>3.3777330185889035E-2</v>
      </c>
      <c r="M114" s="177">
        <v>0</v>
      </c>
      <c r="N114" s="177">
        <v>0</v>
      </c>
      <c r="O114" s="177">
        <v>0</v>
      </c>
      <c r="P114" s="177">
        <v>3.3777330185889035E-2</v>
      </c>
      <c r="Q114" s="177">
        <v>3.3777330185889035E-2</v>
      </c>
      <c r="R114" s="177">
        <v>3.3777330185889035E-2</v>
      </c>
      <c r="S114" s="177">
        <v>3.3777330185889035E-2</v>
      </c>
      <c r="T114" s="177">
        <v>0</v>
      </c>
      <c r="U114" s="177">
        <v>0</v>
      </c>
      <c r="V114" s="177">
        <v>3.3777330185889035E-2</v>
      </c>
      <c r="W114" s="177">
        <v>0</v>
      </c>
      <c r="X114" s="177">
        <v>0</v>
      </c>
      <c r="Y114" s="177">
        <v>0</v>
      </c>
      <c r="Z114" s="177">
        <v>0</v>
      </c>
      <c r="AA114" s="177">
        <v>0</v>
      </c>
      <c r="AB114" s="177">
        <v>0</v>
      </c>
      <c r="AC114" s="177">
        <v>3.3777330185889035E-2</v>
      </c>
      <c r="AD114" s="178">
        <v>3.3777330185889035E-2</v>
      </c>
    </row>
    <row r="115" spans="1:30" x14ac:dyDescent="0.25">
      <c r="A115" s="85" t="s">
        <v>536</v>
      </c>
      <c r="B115" t="s">
        <v>537</v>
      </c>
      <c r="C115" s="177">
        <v>0</v>
      </c>
      <c r="D115" s="177">
        <v>0</v>
      </c>
      <c r="E115" s="177">
        <v>0</v>
      </c>
      <c r="F115" s="177">
        <v>0</v>
      </c>
      <c r="G115" s="177">
        <v>68.75</v>
      </c>
      <c r="H115" s="177">
        <v>0</v>
      </c>
      <c r="I115" s="177">
        <v>0</v>
      </c>
      <c r="J115" s="177">
        <v>0</v>
      </c>
      <c r="K115" s="177">
        <v>0</v>
      </c>
      <c r="L115" s="177">
        <v>68.75</v>
      </c>
      <c r="M115" s="177">
        <v>0</v>
      </c>
      <c r="N115" s="177">
        <v>0</v>
      </c>
      <c r="O115" s="177">
        <v>0</v>
      </c>
      <c r="P115" s="177">
        <v>68.75</v>
      </c>
      <c r="Q115" s="177">
        <v>68.75</v>
      </c>
      <c r="R115" s="177">
        <v>68.75</v>
      </c>
      <c r="S115" s="177">
        <v>68.75</v>
      </c>
      <c r="T115" s="177">
        <v>0</v>
      </c>
      <c r="U115" s="177">
        <v>0</v>
      </c>
      <c r="V115" s="177">
        <v>68.75</v>
      </c>
      <c r="W115" s="177">
        <v>0</v>
      </c>
      <c r="X115" s="177">
        <v>0</v>
      </c>
      <c r="Y115" s="177">
        <v>0</v>
      </c>
      <c r="Z115" s="177">
        <v>0</v>
      </c>
      <c r="AA115" s="177">
        <v>0</v>
      </c>
      <c r="AB115" s="177">
        <v>0</v>
      </c>
      <c r="AC115" s="177">
        <v>68.75</v>
      </c>
      <c r="AD115" s="178">
        <v>68.75</v>
      </c>
    </row>
    <row r="116" spans="1:30" x14ac:dyDescent="0.25">
      <c r="A116" s="85" t="s">
        <v>538</v>
      </c>
      <c r="B116" t="s">
        <v>537</v>
      </c>
      <c r="C116" s="177">
        <v>0</v>
      </c>
      <c r="D116" s="177">
        <v>0</v>
      </c>
      <c r="E116" s="177">
        <v>0</v>
      </c>
      <c r="F116" s="177">
        <v>0</v>
      </c>
      <c r="G116" s="177">
        <v>0</v>
      </c>
      <c r="H116" s="177">
        <v>0</v>
      </c>
      <c r="I116" s="177">
        <v>0</v>
      </c>
      <c r="J116" s="177">
        <v>0</v>
      </c>
      <c r="K116" s="177">
        <v>0</v>
      </c>
      <c r="L116" s="177">
        <v>0</v>
      </c>
      <c r="M116" s="177">
        <v>0</v>
      </c>
      <c r="N116" s="177">
        <v>0</v>
      </c>
      <c r="O116" s="177">
        <v>0</v>
      </c>
      <c r="P116" s="177">
        <v>0</v>
      </c>
      <c r="Q116" s="177">
        <v>0</v>
      </c>
      <c r="R116" s="177">
        <v>0</v>
      </c>
      <c r="S116" s="177">
        <v>0</v>
      </c>
      <c r="T116" s="177">
        <v>0</v>
      </c>
      <c r="U116" s="177">
        <v>0</v>
      </c>
      <c r="V116" s="177">
        <v>0</v>
      </c>
      <c r="W116" s="177">
        <v>0</v>
      </c>
      <c r="X116" s="177">
        <v>0</v>
      </c>
      <c r="Y116" s="177">
        <v>0</v>
      </c>
      <c r="Z116" s="177">
        <v>0</v>
      </c>
      <c r="AA116" s="177">
        <v>0</v>
      </c>
      <c r="AB116" s="177">
        <v>0</v>
      </c>
      <c r="AC116" s="177">
        <v>0</v>
      </c>
      <c r="AD116" s="178">
        <v>0</v>
      </c>
    </row>
    <row r="117" spans="1:30" x14ac:dyDescent="0.25">
      <c r="A117" s="85" t="s">
        <v>539</v>
      </c>
      <c r="B117" t="s">
        <v>537</v>
      </c>
      <c r="C117" s="177">
        <v>0</v>
      </c>
      <c r="D117" s="177">
        <v>0</v>
      </c>
      <c r="E117" s="177">
        <v>0</v>
      </c>
      <c r="F117" s="177">
        <v>0</v>
      </c>
      <c r="G117" s="177">
        <v>0</v>
      </c>
      <c r="H117" s="177">
        <v>0</v>
      </c>
      <c r="I117" s="177">
        <v>0</v>
      </c>
      <c r="J117" s="177">
        <v>0</v>
      </c>
      <c r="K117" s="177">
        <v>0</v>
      </c>
      <c r="L117" s="177">
        <v>0</v>
      </c>
      <c r="M117" s="177">
        <v>0</v>
      </c>
      <c r="N117" s="177">
        <v>0</v>
      </c>
      <c r="O117" s="177">
        <v>0</v>
      </c>
      <c r="P117" s="177">
        <v>0</v>
      </c>
      <c r="Q117" s="177">
        <v>0</v>
      </c>
      <c r="R117" s="177">
        <v>0</v>
      </c>
      <c r="S117" s="177">
        <v>0</v>
      </c>
      <c r="T117" s="177">
        <v>0</v>
      </c>
      <c r="U117" s="177">
        <v>0</v>
      </c>
      <c r="V117" s="177">
        <v>0</v>
      </c>
      <c r="W117" s="177">
        <v>0</v>
      </c>
      <c r="X117" s="177">
        <v>0</v>
      </c>
      <c r="Y117" s="177">
        <v>0</v>
      </c>
      <c r="Z117" s="177">
        <v>0</v>
      </c>
      <c r="AA117" s="177">
        <v>0</v>
      </c>
      <c r="AB117" s="177">
        <v>0</v>
      </c>
      <c r="AC117" s="177">
        <v>0</v>
      </c>
      <c r="AD117" s="178">
        <v>0</v>
      </c>
    </row>
    <row r="118" spans="1:30" x14ac:dyDescent="0.25">
      <c r="A118" s="91" t="s">
        <v>540</v>
      </c>
      <c r="B118" s="92" t="s">
        <v>537</v>
      </c>
      <c r="C118" s="179">
        <v>0</v>
      </c>
      <c r="D118" s="179">
        <v>0</v>
      </c>
      <c r="E118" s="179">
        <v>0</v>
      </c>
      <c r="F118" s="179">
        <v>0</v>
      </c>
      <c r="G118" s="179">
        <v>0</v>
      </c>
      <c r="H118" s="179">
        <v>0</v>
      </c>
      <c r="I118" s="179">
        <v>0</v>
      </c>
      <c r="J118" s="179">
        <v>0</v>
      </c>
      <c r="K118" s="179">
        <v>0</v>
      </c>
      <c r="L118" s="179">
        <v>0</v>
      </c>
      <c r="M118" s="179">
        <v>0</v>
      </c>
      <c r="N118" s="179">
        <v>0</v>
      </c>
      <c r="O118" s="179">
        <v>0</v>
      </c>
      <c r="P118" s="179">
        <v>0</v>
      </c>
      <c r="Q118" s="179">
        <v>0</v>
      </c>
      <c r="R118" s="179">
        <v>0</v>
      </c>
      <c r="S118" s="179">
        <v>0</v>
      </c>
      <c r="T118" s="179">
        <v>0</v>
      </c>
      <c r="U118" s="179">
        <v>0</v>
      </c>
      <c r="V118" s="179">
        <v>0</v>
      </c>
      <c r="W118" s="179">
        <v>0</v>
      </c>
      <c r="X118" s="179">
        <v>0</v>
      </c>
      <c r="Y118" s="179">
        <v>0</v>
      </c>
      <c r="Z118" s="179">
        <v>0</v>
      </c>
      <c r="AA118" s="179">
        <v>0</v>
      </c>
      <c r="AB118" s="179">
        <v>0</v>
      </c>
      <c r="AC118" s="179">
        <v>0</v>
      </c>
      <c r="AD118" s="180">
        <v>0</v>
      </c>
    </row>
    <row r="119" spans="1:30" x14ac:dyDescent="0.25">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c r="AA119" s="177"/>
      <c r="AB119" s="177"/>
      <c r="AC119" s="177"/>
      <c r="AD119" s="177"/>
    </row>
    <row r="120" spans="1:30" x14ac:dyDescent="0.25">
      <c r="A120" s="82" t="s">
        <v>545</v>
      </c>
      <c r="B120" s="83"/>
      <c r="C120" s="83" t="s">
        <v>112</v>
      </c>
      <c r="D120" s="83" t="s">
        <v>115</v>
      </c>
      <c r="E120" s="83" t="s">
        <v>118</v>
      </c>
      <c r="F120" s="83" t="s">
        <v>121</v>
      </c>
      <c r="G120" s="83" t="s">
        <v>124</v>
      </c>
      <c r="H120" s="83" t="s">
        <v>127</v>
      </c>
      <c r="I120" s="83" t="s">
        <v>130</v>
      </c>
      <c r="J120" s="83" t="s">
        <v>133</v>
      </c>
      <c r="K120" s="83" t="s">
        <v>136</v>
      </c>
      <c r="L120" s="83" t="s">
        <v>138</v>
      </c>
      <c r="M120" s="83" t="s">
        <v>140</v>
      </c>
      <c r="N120" s="83" t="s">
        <v>142</v>
      </c>
      <c r="O120" s="83" t="s">
        <v>145</v>
      </c>
      <c r="P120" s="83" t="s">
        <v>148</v>
      </c>
      <c r="Q120" s="83" t="s">
        <v>151</v>
      </c>
      <c r="R120" s="83" t="s">
        <v>154</v>
      </c>
      <c r="S120" s="83" t="s">
        <v>157</v>
      </c>
      <c r="T120" s="83" t="s">
        <v>160</v>
      </c>
      <c r="U120" s="83" t="s">
        <v>163</v>
      </c>
      <c r="V120" s="83" t="s">
        <v>165</v>
      </c>
      <c r="W120" s="83" t="s">
        <v>167</v>
      </c>
      <c r="X120" s="83" t="s">
        <v>170</v>
      </c>
      <c r="Y120" s="83" t="s">
        <v>173</v>
      </c>
      <c r="Z120" s="83" t="s">
        <v>176</v>
      </c>
      <c r="AA120" s="83" t="s">
        <v>178</v>
      </c>
      <c r="AB120" s="83" t="s">
        <v>180</v>
      </c>
      <c r="AC120" s="83" t="s">
        <v>183</v>
      </c>
      <c r="AD120" s="84" t="s">
        <v>186</v>
      </c>
    </row>
    <row r="121" spans="1:30" x14ac:dyDescent="0.25">
      <c r="A121" s="85"/>
      <c r="C121" t="s">
        <v>546</v>
      </c>
      <c r="D121" t="s">
        <v>546</v>
      </c>
      <c r="E121" t="s">
        <v>546</v>
      </c>
      <c r="F121" t="s">
        <v>546</v>
      </c>
      <c r="G121" t="s">
        <v>546</v>
      </c>
      <c r="H121" t="s">
        <v>546</v>
      </c>
      <c r="I121" t="s">
        <v>546</v>
      </c>
      <c r="J121" t="s">
        <v>546</v>
      </c>
      <c r="K121" t="s">
        <v>546</v>
      </c>
      <c r="L121" t="s">
        <v>546</v>
      </c>
      <c r="M121" t="s">
        <v>546</v>
      </c>
      <c r="N121" t="s">
        <v>546</v>
      </c>
      <c r="O121" t="s">
        <v>546</v>
      </c>
      <c r="P121" t="s">
        <v>546</v>
      </c>
      <c r="Q121" t="s">
        <v>546</v>
      </c>
      <c r="R121" t="s">
        <v>546</v>
      </c>
      <c r="S121" t="s">
        <v>546</v>
      </c>
      <c r="T121" t="s">
        <v>546</v>
      </c>
      <c r="U121" t="s">
        <v>546</v>
      </c>
      <c r="V121" t="s">
        <v>546</v>
      </c>
      <c r="W121" t="s">
        <v>546</v>
      </c>
      <c r="X121" t="s">
        <v>546</v>
      </c>
      <c r="Y121" t="s">
        <v>546</v>
      </c>
      <c r="Z121" t="s">
        <v>546</v>
      </c>
      <c r="AA121" t="s">
        <v>546</v>
      </c>
      <c r="AB121" t="s">
        <v>546</v>
      </c>
      <c r="AC121" t="s">
        <v>546</v>
      </c>
      <c r="AD121" s="95" t="s">
        <v>546</v>
      </c>
    </row>
    <row r="122" spans="1:30" x14ac:dyDescent="0.25">
      <c r="A122" s="85" t="s">
        <v>503</v>
      </c>
      <c r="B122" t="s">
        <v>504</v>
      </c>
      <c r="AD122" s="95"/>
    </row>
    <row r="123" spans="1:30" x14ac:dyDescent="0.25">
      <c r="A123" s="85" t="s">
        <v>505</v>
      </c>
      <c r="B123" t="s">
        <v>506</v>
      </c>
      <c r="C123" s="177">
        <v>0</v>
      </c>
      <c r="D123" s="177">
        <v>0</v>
      </c>
      <c r="E123" s="177">
        <v>0</v>
      </c>
      <c r="F123" s="177">
        <v>0</v>
      </c>
      <c r="G123" s="177">
        <v>0</v>
      </c>
      <c r="H123" s="177">
        <v>0</v>
      </c>
      <c r="I123" s="177">
        <v>0</v>
      </c>
      <c r="J123" s="177">
        <v>0</v>
      </c>
      <c r="K123" s="177">
        <v>0</v>
      </c>
      <c r="L123" s="177">
        <v>0</v>
      </c>
      <c r="M123" s="177">
        <v>0</v>
      </c>
      <c r="N123" s="177">
        <v>0</v>
      </c>
      <c r="O123" s="177">
        <v>0</v>
      </c>
      <c r="P123" s="177">
        <v>0</v>
      </c>
      <c r="Q123" s="177">
        <v>0</v>
      </c>
      <c r="R123" s="177">
        <v>0</v>
      </c>
      <c r="S123" s="177">
        <v>0</v>
      </c>
      <c r="T123" s="177">
        <v>0</v>
      </c>
      <c r="U123" s="177">
        <v>0</v>
      </c>
      <c r="V123" s="177">
        <v>0</v>
      </c>
      <c r="W123" s="177">
        <v>0</v>
      </c>
      <c r="X123" s="177">
        <v>0</v>
      </c>
      <c r="Y123" s="177">
        <v>0</v>
      </c>
      <c r="Z123" s="177">
        <v>0</v>
      </c>
      <c r="AA123" s="177">
        <v>0</v>
      </c>
      <c r="AB123" s="177">
        <v>0</v>
      </c>
      <c r="AC123" s="177">
        <v>0</v>
      </c>
      <c r="AD123" s="178">
        <v>0</v>
      </c>
    </row>
    <row r="124" spans="1:30" x14ac:dyDescent="0.25">
      <c r="A124" s="85" t="s">
        <v>507</v>
      </c>
      <c r="B124" t="s">
        <v>506</v>
      </c>
      <c r="C124" s="177">
        <v>8.0555555555555545E-7</v>
      </c>
      <c r="D124" s="177">
        <v>8.0555555555555545E-7</v>
      </c>
      <c r="E124" s="177">
        <v>8.0555555555555545E-7</v>
      </c>
      <c r="F124" s="177">
        <v>8.0555555555555545E-7</v>
      </c>
      <c r="G124" s="177">
        <v>5.833333333333334E-7</v>
      </c>
      <c r="H124" s="177">
        <v>8.0555555555555545E-7</v>
      </c>
      <c r="I124" s="177">
        <v>8.0555555555555545E-7</v>
      </c>
      <c r="J124" s="177">
        <v>8.0555555555555545E-7</v>
      </c>
      <c r="K124" s="177">
        <v>8.0555555555555545E-7</v>
      </c>
      <c r="L124" s="177">
        <v>5.833333333333334E-7</v>
      </c>
      <c r="M124" s="177">
        <v>8.0555555555555545E-7</v>
      </c>
      <c r="N124" s="177">
        <v>8.0555555555555545E-7</v>
      </c>
      <c r="O124" s="177">
        <v>8.0555555555555545E-7</v>
      </c>
      <c r="P124" s="177">
        <v>5.833333333333334E-7</v>
      </c>
      <c r="Q124" s="177">
        <v>5.833333333333334E-7</v>
      </c>
      <c r="R124" s="177">
        <v>5.833333333333334E-7</v>
      </c>
      <c r="S124" s="177">
        <v>5.833333333333334E-7</v>
      </c>
      <c r="T124" s="177">
        <v>8.0555555555555545E-7</v>
      </c>
      <c r="U124" s="177">
        <v>8.0555555555555545E-7</v>
      </c>
      <c r="V124" s="177">
        <v>5.833333333333334E-7</v>
      </c>
      <c r="W124" s="177">
        <v>8.0555555555555545E-7</v>
      </c>
      <c r="X124" s="177">
        <v>8.0555555555555545E-7</v>
      </c>
      <c r="Y124" s="177">
        <v>8.0555555555555545E-7</v>
      </c>
      <c r="Z124" s="177">
        <v>8.0555555555555545E-7</v>
      </c>
      <c r="AA124" s="177">
        <v>8.0555555555555545E-7</v>
      </c>
      <c r="AB124" s="177">
        <v>8.0555555555555545E-7</v>
      </c>
      <c r="AC124" s="177">
        <v>5.833333333333334E-7</v>
      </c>
      <c r="AD124" s="178">
        <v>5.833333333333334E-7</v>
      </c>
    </row>
    <row r="125" spans="1:30" x14ac:dyDescent="0.25">
      <c r="A125" s="85" t="s">
        <v>508</v>
      </c>
      <c r="B125" t="s">
        <v>509</v>
      </c>
      <c r="C125" s="177">
        <v>0</v>
      </c>
      <c r="D125" s="177">
        <v>0</v>
      </c>
      <c r="E125" s="177">
        <v>0</v>
      </c>
      <c r="F125" s="177">
        <v>0</v>
      </c>
      <c r="G125" s="177">
        <v>0</v>
      </c>
      <c r="H125" s="177">
        <v>0</v>
      </c>
      <c r="I125" s="177">
        <v>0</v>
      </c>
      <c r="J125" s="177">
        <v>0</v>
      </c>
      <c r="K125" s="177">
        <v>0</v>
      </c>
      <c r="L125" s="177">
        <v>0</v>
      </c>
      <c r="M125" s="177">
        <v>0</v>
      </c>
      <c r="N125" s="177">
        <v>0</v>
      </c>
      <c r="O125" s="177">
        <v>0</v>
      </c>
      <c r="P125" s="177">
        <v>0</v>
      </c>
      <c r="Q125" s="177">
        <v>0</v>
      </c>
      <c r="R125" s="177">
        <v>0</v>
      </c>
      <c r="S125" s="177">
        <v>0</v>
      </c>
      <c r="T125" s="177">
        <v>0</v>
      </c>
      <c r="U125" s="177">
        <v>0</v>
      </c>
      <c r="V125" s="177">
        <v>0</v>
      </c>
      <c r="W125" s="177">
        <v>0</v>
      </c>
      <c r="X125" s="177">
        <v>0</v>
      </c>
      <c r="Y125" s="177">
        <v>0</v>
      </c>
      <c r="Z125" s="177">
        <v>0</v>
      </c>
      <c r="AA125" s="177">
        <v>0</v>
      </c>
      <c r="AB125" s="177">
        <v>0</v>
      </c>
      <c r="AC125" s="177">
        <v>0</v>
      </c>
      <c r="AD125" s="178">
        <v>0</v>
      </c>
    </row>
    <row r="126" spans="1:30" x14ac:dyDescent="0.25">
      <c r="A126" s="85" t="s">
        <v>510</v>
      </c>
      <c r="B126" t="s">
        <v>509</v>
      </c>
      <c r="C126" s="177">
        <v>1.2499999999999999E-6</v>
      </c>
      <c r="D126" s="177">
        <v>1.2499999999999999E-6</v>
      </c>
      <c r="E126" s="177">
        <v>1.2499999999999999E-6</v>
      </c>
      <c r="F126" s="177">
        <v>1.2499999999999999E-6</v>
      </c>
      <c r="G126" s="177">
        <v>9.1666666666666654E-7</v>
      </c>
      <c r="H126" s="177">
        <v>1.2499999999999999E-6</v>
      </c>
      <c r="I126" s="177">
        <v>1.2499999999999999E-6</v>
      </c>
      <c r="J126" s="177">
        <v>1.2499999999999999E-6</v>
      </c>
      <c r="K126" s="177">
        <v>1.2499999999999999E-6</v>
      </c>
      <c r="L126" s="177">
        <v>9.1666666666666654E-7</v>
      </c>
      <c r="M126" s="177">
        <v>1.2499999999999999E-6</v>
      </c>
      <c r="N126" s="177">
        <v>1.2499999999999999E-6</v>
      </c>
      <c r="O126" s="177">
        <v>1.2499999999999999E-6</v>
      </c>
      <c r="P126" s="177">
        <v>9.1666666666666654E-7</v>
      </c>
      <c r="Q126" s="177">
        <v>9.1666666666666654E-7</v>
      </c>
      <c r="R126" s="177">
        <v>9.1666666666666654E-7</v>
      </c>
      <c r="S126" s="177">
        <v>9.1666666666666654E-7</v>
      </c>
      <c r="T126" s="177">
        <v>1.2499999999999999E-6</v>
      </c>
      <c r="U126" s="177">
        <v>1.2499999999999999E-6</v>
      </c>
      <c r="V126" s="177">
        <v>9.1666666666666654E-7</v>
      </c>
      <c r="W126" s="177">
        <v>1.2499999999999999E-6</v>
      </c>
      <c r="X126" s="177">
        <v>1.2499999999999999E-6</v>
      </c>
      <c r="Y126" s="177">
        <v>1.2499999999999999E-6</v>
      </c>
      <c r="Z126" s="177">
        <v>1.2499999999999999E-6</v>
      </c>
      <c r="AA126" s="177">
        <v>1.2499999999999999E-6</v>
      </c>
      <c r="AB126" s="177">
        <v>1.2499999999999999E-6</v>
      </c>
      <c r="AC126" s="177">
        <v>9.1666666666666654E-7</v>
      </c>
      <c r="AD126" s="178">
        <v>9.1666666666666654E-7</v>
      </c>
    </row>
    <row r="127" spans="1:30" x14ac:dyDescent="0.25">
      <c r="A127" s="85" t="s">
        <v>511</v>
      </c>
      <c r="B127" t="s">
        <v>509</v>
      </c>
      <c r="C127" s="177">
        <v>0</v>
      </c>
      <c r="D127" s="177">
        <v>0</v>
      </c>
      <c r="E127" s="177">
        <v>0</v>
      </c>
      <c r="F127" s="177">
        <v>0</v>
      </c>
      <c r="G127" s="177">
        <v>0</v>
      </c>
      <c r="H127" s="177">
        <v>0</v>
      </c>
      <c r="I127" s="177">
        <v>0</v>
      </c>
      <c r="J127" s="177">
        <v>0</v>
      </c>
      <c r="K127" s="177">
        <v>0</v>
      </c>
      <c r="L127" s="177">
        <v>0</v>
      </c>
      <c r="M127" s="177">
        <v>0</v>
      </c>
      <c r="N127" s="177">
        <v>0</v>
      </c>
      <c r="O127" s="177">
        <v>0</v>
      </c>
      <c r="P127" s="177">
        <v>0</v>
      </c>
      <c r="Q127" s="177">
        <v>0</v>
      </c>
      <c r="R127" s="177">
        <v>0</v>
      </c>
      <c r="S127" s="177">
        <v>0</v>
      </c>
      <c r="T127" s="177">
        <v>0</v>
      </c>
      <c r="U127" s="177">
        <v>0</v>
      </c>
      <c r="V127" s="177">
        <v>0</v>
      </c>
      <c r="W127" s="177">
        <v>0</v>
      </c>
      <c r="X127" s="177">
        <v>0</v>
      </c>
      <c r="Y127" s="177">
        <v>0</v>
      </c>
      <c r="Z127" s="177">
        <v>0</v>
      </c>
      <c r="AA127" s="177">
        <v>0</v>
      </c>
      <c r="AB127" s="177">
        <v>0</v>
      </c>
      <c r="AC127" s="177">
        <v>0</v>
      </c>
      <c r="AD127" s="178">
        <v>0</v>
      </c>
    </row>
    <row r="128" spans="1:30" x14ac:dyDescent="0.25">
      <c r="A128" s="85" t="s">
        <v>512</v>
      </c>
      <c r="B128" t="s">
        <v>513</v>
      </c>
      <c r="C128" s="177">
        <v>0</v>
      </c>
      <c r="D128" s="177">
        <v>0</v>
      </c>
      <c r="E128" s="177">
        <v>0</v>
      </c>
      <c r="F128" s="177">
        <v>0</v>
      </c>
      <c r="G128" s="177">
        <v>0</v>
      </c>
      <c r="H128" s="177">
        <v>0</v>
      </c>
      <c r="I128" s="177">
        <v>0</v>
      </c>
      <c r="J128" s="177">
        <v>0</v>
      </c>
      <c r="K128" s="177">
        <v>0</v>
      </c>
      <c r="L128" s="177">
        <v>0</v>
      </c>
      <c r="M128" s="177">
        <v>0</v>
      </c>
      <c r="N128" s="177">
        <v>0</v>
      </c>
      <c r="O128" s="177">
        <v>0</v>
      </c>
      <c r="P128" s="177">
        <v>0</v>
      </c>
      <c r="Q128" s="177">
        <v>0</v>
      </c>
      <c r="R128" s="177">
        <v>0</v>
      </c>
      <c r="S128" s="177">
        <v>0</v>
      </c>
      <c r="T128" s="177">
        <v>0</v>
      </c>
      <c r="U128" s="177">
        <v>0</v>
      </c>
      <c r="V128" s="177">
        <v>0</v>
      </c>
      <c r="W128" s="177">
        <v>0</v>
      </c>
      <c r="X128" s="177">
        <v>0</v>
      </c>
      <c r="Y128" s="177">
        <v>0</v>
      </c>
      <c r="Z128" s="177">
        <v>0</v>
      </c>
      <c r="AA128" s="177">
        <v>0</v>
      </c>
      <c r="AB128" s="177">
        <v>0</v>
      </c>
      <c r="AC128" s="177">
        <v>0</v>
      </c>
      <c r="AD128" s="178">
        <v>0</v>
      </c>
    </row>
    <row r="129" spans="1:30" x14ac:dyDescent="0.25">
      <c r="A129" s="85" t="s">
        <v>514</v>
      </c>
      <c r="B129" t="s">
        <v>513</v>
      </c>
      <c r="C129" s="177">
        <v>0</v>
      </c>
      <c r="D129" s="177">
        <v>0</v>
      </c>
      <c r="E129" s="177">
        <v>0</v>
      </c>
      <c r="F129" s="177">
        <v>0</v>
      </c>
      <c r="G129" s="177">
        <v>0</v>
      </c>
      <c r="H129" s="177">
        <v>0</v>
      </c>
      <c r="I129" s="177">
        <v>0</v>
      </c>
      <c r="J129" s="177">
        <v>0</v>
      </c>
      <c r="K129" s="177">
        <v>0</v>
      </c>
      <c r="L129" s="177">
        <v>0</v>
      </c>
      <c r="M129" s="177">
        <v>0</v>
      </c>
      <c r="N129" s="177">
        <v>0</v>
      </c>
      <c r="O129" s="177">
        <v>0</v>
      </c>
      <c r="P129" s="177">
        <v>0</v>
      </c>
      <c r="Q129" s="177">
        <v>0</v>
      </c>
      <c r="R129" s="177">
        <v>0</v>
      </c>
      <c r="S129" s="177">
        <v>0</v>
      </c>
      <c r="T129" s="177">
        <v>0</v>
      </c>
      <c r="U129" s="177">
        <v>0</v>
      </c>
      <c r="V129" s="177">
        <v>0</v>
      </c>
      <c r="W129" s="177">
        <v>0</v>
      </c>
      <c r="X129" s="177">
        <v>0</v>
      </c>
      <c r="Y129" s="177">
        <v>0</v>
      </c>
      <c r="Z129" s="177">
        <v>0</v>
      </c>
      <c r="AA129" s="177">
        <v>0</v>
      </c>
      <c r="AB129" s="177">
        <v>0</v>
      </c>
      <c r="AC129" s="177">
        <v>0</v>
      </c>
      <c r="AD129" s="178">
        <v>0</v>
      </c>
    </row>
    <row r="130" spans="1:30" x14ac:dyDescent="0.25">
      <c r="A130" s="85" t="s">
        <v>515</v>
      </c>
      <c r="B130" t="s">
        <v>516</v>
      </c>
      <c r="C130" s="177">
        <v>0</v>
      </c>
      <c r="D130" s="177">
        <v>0</v>
      </c>
      <c r="E130" s="177">
        <v>0</v>
      </c>
      <c r="F130" s="177">
        <v>0</v>
      </c>
      <c r="G130" s="177">
        <v>0</v>
      </c>
      <c r="H130" s="177">
        <v>0</v>
      </c>
      <c r="I130" s="177">
        <v>0</v>
      </c>
      <c r="J130" s="177">
        <v>0</v>
      </c>
      <c r="K130" s="177">
        <v>0</v>
      </c>
      <c r="L130" s="177">
        <v>0</v>
      </c>
      <c r="M130" s="177">
        <v>0</v>
      </c>
      <c r="N130" s="177">
        <v>0</v>
      </c>
      <c r="O130" s="177">
        <v>0</v>
      </c>
      <c r="P130" s="177">
        <v>0</v>
      </c>
      <c r="Q130" s="177">
        <v>0</v>
      </c>
      <c r="R130" s="177">
        <v>0</v>
      </c>
      <c r="S130" s="177">
        <v>0</v>
      </c>
      <c r="T130" s="177">
        <v>0</v>
      </c>
      <c r="U130" s="177">
        <v>0</v>
      </c>
      <c r="V130" s="177">
        <v>0</v>
      </c>
      <c r="W130" s="177">
        <v>0</v>
      </c>
      <c r="X130" s="177">
        <v>0</v>
      </c>
      <c r="Y130" s="177">
        <v>0</v>
      </c>
      <c r="Z130" s="177">
        <v>0</v>
      </c>
      <c r="AA130" s="177">
        <v>0</v>
      </c>
      <c r="AB130" s="177">
        <v>0</v>
      </c>
      <c r="AC130" s="177">
        <v>0</v>
      </c>
      <c r="AD130" s="178">
        <v>0</v>
      </c>
    </row>
    <row r="131" spans="1:30" x14ac:dyDescent="0.25">
      <c r="A131" s="85" t="s">
        <v>517</v>
      </c>
      <c r="B131" t="s">
        <v>518</v>
      </c>
      <c r="C131" s="177">
        <v>0</v>
      </c>
      <c r="D131" s="177">
        <v>0</v>
      </c>
      <c r="E131" s="177">
        <v>0</v>
      </c>
      <c r="F131" s="177">
        <v>0</v>
      </c>
      <c r="G131" s="177">
        <v>0</v>
      </c>
      <c r="H131" s="177">
        <v>0</v>
      </c>
      <c r="I131" s="177">
        <v>0</v>
      </c>
      <c r="J131" s="177">
        <v>0</v>
      </c>
      <c r="K131" s="177">
        <v>0</v>
      </c>
      <c r="L131" s="177">
        <v>0</v>
      </c>
      <c r="M131" s="177">
        <v>0</v>
      </c>
      <c r="N131" s="177">
        <v>0</v>
      </c>
      <c r="O131" s="177">
        <v>0</v>
      </c>
      <c r="P131" s="177">
        <v>0</v>
      </c>
      <c r="Q131" s="177">
        <v>0</v>
      </c>
      <c r="R131" s="177">
        <v>0</v>
      </c>
      <c r="S131" s="177">
        <v>0</v>
      </c>
      <c r="T131" s="177">
        <v>0</v>
      </c>
      <c r="U131" s="177">
        <v>0</v>
      </c>
      <c r="V131" s="177">
        <v>0</v>
      </c>
      <c r="W131" s="177">
        <v>0</v>
      </c>
      <c r="X131" s="177">
        <v>0</v>
      </c>
      <c r="Y131" s="177">
        <v>0</v>
      </c>
      <c r="Z131" s="177">
        <v>0</v>
      </c>
      <c r="AA131" s="177">
        <v>0</v>
      </c>
      <c r="AB131" s="177">
        <v>0</v>
      </c>
      <c r="AC131" s="177">
        <v>0</v>
      </c>
      <c r="AD131" s="178">
        <v>0</v>
      </c>
    </row>
    <row r="132" spans="1:30" x14ac:dyDescent="0.25">
      <c r="A132" s="85" t="s">
        <v>519</v>
      </c>
      <c r="B132" t="s">
        <v>520</v>
      </c>
      <c r="C132" s="177">
        <v>9.0163934426229518E-8</v>
      </c>
      <c r="D132" s="177">
        <v>9.0163934426229518E-8</v>
      </c>
      <c r="E132" s="177">
        <v>9.0163934426229518E-8</v>
      </c>
      <c r="F132" s="177">
        <v>9.0163934426229518E-8</v>
      </c>
      <c r="G132" s="177">
        <v>9.0163934426229518E-8</v>
      </c>
      <c r="H132" s="177">
        <v>9.0163934426229518E-8</v>
      </c>
      <c r="I132" s="177">
        <v>9.0163934426229518E-8</v>
      </c>
      <c r="J132" s="177">
        <v>9.0163934426229518E-8</v>
      </c>
      <c r="K132" s="177">
        <v>9.0163934426229518E-8</v>
      </c>
      <c r="L132" s="177">
        <v>9.0163934426229518E-8</v>
      </c>
      <c r="M132" s="177">
        <v>9.0163934426229518E-8</v>
      </c>
      <c r="N132" s="177">
        <v>9.0163934426229518E-8</v>
      </c>
      <c r="O132" s="177">
        <v>9.0163934426229518E-8</v>
      </c>
      <c r="P132" s="177">
        <v>9.0163934426229518E-8</v>
      </c>
      <c r="Q132" s="177">
        <v>9.0163934426229518E-8</v>
      </c>
      <c r="R132" s="177">
        <v>9.0163934426229518E-8</v>
      </c>
      <c r="S132" s="177">
        <v>9.0163934426229518E-8</v>
      </c>
      <c r="T132" s="177">
        <v>9.0163934426229518E-8</v>
      </c>
      <c r="U132" s="177">
        <v>9.0163934426229518E-8</v>
      </c>
      <c r="V132" s="177">
        <v>9.0163934426229518E-8</v>
      </c>
      <c r="W132" s="177">
        <v>9.0163934426229518E-8</v>
      </c>
      <c r="X132" s="177">
        <v>9.0163934426229518E-8</v>
      </c>
      <c r="Y132" s="177">
        <v>9.0163934426229518E-8</v>
      </c>
      <c r="Z132" s="177">
        <v>9.0163934426229518E-8</v>
      </c>
      <c r="AA132" s="177">
        <v>9.0163934426229518E-8</v>
      </c>
      <c r="AB132" s="177">
        <v>9.0163934426229518E-8</v>
      </c>
      <c r="AC132" s="177">
        <v>9.0163934426229518E-8</v>
      </c>
      <c r="AD132" s="178">
        <v>9.0163934426229518E-8</v>
      </c>
    </row>
    <row r="133" spans="1:30" x14ac:dyDescent="0.25">
      <c r="A133" s="85" t="s">
        <v>521</v>
      </c>
      <c r="B133" t="s">
        <v>522</v>
      </c>
      <c r="C133" s="177">
        <v>0</v>
      </c>
      <c r="D133" s="177">
        <v>0</v>
      </c>
      <c r="E133" s="177">
        <v>0</v>
      </c>
      <c r="F133" s="177">
        <v>0</v>
      </c>
      <c r="G133" s="177">
        <v>0</v>
      </c>
      <c r="H133" s="177">
        <v>0</v>
      </c>
      <c r="I133" s="177">
        <v>0</v>
      </c>
      <c r="J133" s="177">
        <v>0</v>
      </c>
      <c r="K133" s="177">
        <v>0</v>
      </c>
      <c r="L133" s="177">
        <v>0</v>
      </c>
      <c r="M133" s="177">
        <v>0</v>
      </c>
      <c r="N133" s="177">
        <v>0</v>
      </c>
      <c r="O133" s="177">
        <v>0</v>
      </c>
      <c r="P133" s="177">
        <v>0</v>
      </c>
      <c r="Q133" s="177">
        <v>0</v>
      </c>
      <c r="R133" s="177">
        <v>0</v>
      </c>
      <c r="S133" s="177">
        <v>0</v>
      </c>
      <c r="T133" s="177">
        <v>0</v>
      </c>
      <c r="U133" s="177">
        <v>0</v>
      </c>
      <c r="V133" s="177">
        <v>0</v>
      </c>
      <c r="W133" s="177">
        <v>0</v>
      </c>
      <c r="X133" s="177">
        <v>0</v>
      </c>
      <c r="Y133" s="177">
        <v>0</v>
      </c>
      <c r="Z133" s="177">
        <v>0</v>
      </c>
      <c r="AA133" s="177">
        <v>0</v>
      </c>
      <c r="AB133" s="177">
        <v>0</v>
      </c>
      <c r="AC133" s="177">
        <v>0</v>
      </c>
      <c r="AD133" s="178">
        <v>0</v>
      </c>
    </row>
    <row r="134" spans="1:30" x14ac:dyDescent="0.25">
      <c r="A134" s="85" t="s">
        <v>523</v>
      </c>
      <c r="B134" t="s">
        <v>524</v>
      </c>
      <c r="C134" s="177">
        <v>2.8580817849598416E-5</v>
      </c>
      <c r="D134" s="177">
        <v>2.8580817849598416E-5</v>
      </c>
      <c r="E134" s="177">
        <v>2.8580817849598416E-5</v>
      </c>
      <c r="F134" s="177">
        <v>2.8580817849598416E-5</v>
      </c>
      <c r="G134" s="177">
        <v>1.7668141943388111E-6</v>
      </c>
      <c r="H134" s="177">
        <v>2.8580817849598416E-5</v>
      </c>
      <c r="I134" s="177">
        <v>2.8580817849598416E-5</v>
      </c>
      <c r="J134" s="177">
        <v>2.8580817849598416E-5</v>
      </c>
      <c r="K134" s="177">
        <v>2.8580817849598416E-5</v>
      </c>
      <c r="L134" s="177">
        <v>1.7668141943388111E-6</v>
      </c>
      <c r="M134" s="177">
        <v>2.8580817849598416E-5</v>
      </c>
      <c r="N134" s="177">
        <v>2.8580817849598416E-5</v>
      </c>
      <c r="O134" s="177">
        <v>2.8580817849598416E-5</v>
      </c>
      <c r="P134" s="177">
        <v>1.7668141943388111E-6</v>
      </c>
      <c r="Q134" s="177">
        <v>1.7668141943388111E-6</v>
      </c>
      <c r="R134" s="177">
        <v>1.7668141943388111E-6</v>
      </c>
      <c r="S134" s="177">
        <v>1.7668141943388111E-6</v>
      </c>
      <c r="T134" s="177">
        <v>2.8580817849598416E-5</v>
      </c>
      <c r="U134" s="177">
        <v>2.8580817849598416E-5</v>
      </c>
      <c r="V134" s="177">
        <v>1.7668141943388111E-6</v>
      </c>
      <c r="W134" s="177">
        <v>2.8580817849598416E-5</v>
      </c>
      <c r="X134" s="177">
        <v>2.8580817849598416E-5</v>
      </c>
      <c r="Y134" s="177">
        <v>2.8580817849598416E-5</v>
      </c>
      <c r="Z134" s="177">
        <v>2.8580817849598416E-5</v>
      </c>
      <c r="AA134" s="177">
        <v>2.8580817849598416E-5</v>
      </c>
      <c r="AB134" s="177">
        <v>2.8580817849598416E-5</v>
      </c>
      <c r="AC134" s="177">
        <v>1.7668141943388111E-6</v>
      </c>
      <c r="AD134" s="178">
        <v>1.7668141943388111E-6</v>
      </c>
    </row>
    <row r="135" spans="1:30" x14ac:dyDescent="0.25">
      <c r="A135" s="85" t="s">
        <v>525</v>
      </c>
      <c r="B135" t="s">
        <v>524</v>
      </c>
      <c r="C135" s="177">
        <v>0</v>
      </c>
      <c r="D135" s="177">
        <v>0</v>
      </c>
      <c r="E135" s="177">
        <v>0</v>
      </c>
      <c r="F135" s="177">
        <v>0</v>
      </c>
      <c r="G135" s="177">
        <v>0</v>
      </c>
      <c r="H135" s="177">
        <v>0</v>
      </c>
      <c r="I135" s="177">
        <v>0</v>
      </c>
      <c r="J135" s="177">
        <v>0</v>
      </c>
      <c r="K135" s="177">
        <v>0</v>
      </c>
      <c r="L135" s="177">
        <v>0</v>
      </c>
      <c r="M135" s="177">
        <v>0</v>
      </c>
      <c r="N135" s="177">
        <v>0</v>
      </c>
      <c r="O135" s="177">
        <v>0</v>
      </c>
      <c r="P135" s="177">
        <v>0</v>
      </c>
      <c r="Q135" s="177">
        <v>0</v>
      </c>
      <c r="R135" s="177">
        <v>0</v>
      </c>
      <c r="S135" s="177">
        <v>0</v>
      </c>
      <c r="T135" s="177">
        <v>0</v>
      </c>
      <c r="U135" s="177">
        <v>0</v>
      </c>
      <c r="V135" s="177">
        <v>0</v>
      </c>
      <c r="W135" s="177">
        <v>0</v>
      </c>
      <c r="X135" s="177">
        <v>0</v>
      </c>
      <c r="Y135" s="177">
        <v>0</v>
      </c>
      <c r="Z135" s="177">
        <v>0</v>
      </c>
      <c r="AA135" s="177">
        <v>0</v>
      </c>
      <c r="AB135" s="177">
        <v>0</v>
      </c>
      <c r="AC135" s="177">
        <v>0</v>
      </c>
      <c r="AD135" s="178">
        <v>0</v>
      </c>
    </row>
    <row r="136" spans="1:30" x14ac:dyDescent="0.25">
      <c r="A136" s="85" t="s">
        <v>526</v>
      </c>
      <c r="B136" t="s">
        <v>524</v>
      </c>
      <c r="C136" s="177">
        <v>1.9227095644275297E-5</v>
      </c>
      <c r="D136" s="177">
        <v>1.9227095644275297E-5</v>
      </c>
      <c r="E136" s="177">
        <v>1.9227095644275297E-5</v>
      </c>
      <c r="F136" s="177">
        <v>1.9227095644275297E-5</v>
      </c>
      <c r="G136" s="177">
        <v>1.4030583307984677E-5</v>
      </c>
      <c r="H136" s="177">
        <v>1.9227095644275297E-5</v>
      </c>
      <c r="I136" s="177">
        <v>1.9227095644275297E-5</v>
      </c>
      <c r="J136" s="177">
        <v>1.9227095644275297E-5</v>
      </c>
      <c r="K136" s="177">
        <v>1.9227095644275297E-5</v>
      </c>
      <c r="L136" s="177">
        <v>1.4030583307984677E-5</v>
      </c>
      <c r="M136" s="177">
        <v>1.9227095644275297E-5</v>
      </c>
      <c r="N136" s="177">
        <v>1.9227095644275297E-5</v>
      </c>
      <c r="O136" s="177">
        <v>1.9227095644275297E-5</v>
      </c>
      <c r="P136" s="177">
        <v>1.4030583307984677E-5</v>
      </c>
      <c r="Q136" s="177">
        <v>1.4030583307984677E-5</v>
      </c>
      <c r="R136" s="177">
        <v>1.4030583307984677E-5</v>
      </c>
      <c r="S136" s="177">
        <v>1.4030583307984677E-5</v>
      </c>
      <c r="T136" s="177">
        <v>1.9227095644275297E-5</v>
      </c>
      <c r="U136" s="177">
        <v>1.9227095644275297E-5</v>
      </c>
      <c r="V136" s="177">
        <v>1.4030583307984677E-5</v>
      </c>
      <c r="W136" s="177">
        <v>1.9227095644275297E-5</v>
      </c>
      <c r="X136" s="177">
        <v>1.9227095644275297E-5</v>
      </c>
      <c r="Y136" s="177">
        <v>1.9227095644275297E-5</v>
      </c>
      <c r="Z136" s="177">
        <v>1.9227095644275297E-5</v>
      </c>
      <c r="AA136" s="177">
        <v>1.9227095644275297E-5</v>
      </c>
      <c r="AB136" s="177">
        <v>1.9227095644275297E-5</v>
      </c>
      <c r="AC136" s="177">
        <v>1.4030583307984677E-5</v>
      </c>
      <c r="AD136" s="178">
        <v>1.4030583307984677E-5</v>
      </c>
    </row>
    <row r="137" spans="1:30" x14ac:dyDescent="0.25">
      <c r="A137" s="85" t="s">
        <v>527</v>
      </c>
      <c r="B137" t="s">
        <v>528</v>
      </c>
      <c r="C137" s="177">
        <v>0</v>
      </c>
      <c r="D137" s="177">
        <v>0</v>
      </c>
      <c r="E137" s="177">
        <v>0</v>
      </c>
      <c r="F137" s="177">
        <v>0</v>
      </c>
      <c r="G137" s="177">
        <v>0</v>
      </c>
      <c r="H137" s="177">
        <v>0</v>
      </c>
      <c r="I137" s="177">
        <v>0</v>
      </c>
      <c r="J137" s="177">
        <v>0</v>
      </c>
      <c r="K137" s="177">
        <v>0</v>
      </c>
      <c r="L137" s="177">
        <v>0</v>
      </c>
      <c r="M137" s="177">
        <v>0</v>
      </c>
      <c r="N137" s="177">
        <v>0</v>
      </c>
      <c r="O137" s="177">
        <v>0</v>
      </c>
      <c r="P137" s="177">
        <v>0</v>
      </c>
      <c r="Q137" s="177">
        <v>0</v>
      </c>
      <c r="R137" s="177">
        <v>0</v>
      </c>
      <c r="S137" s="177">
        <v>0</v>
      </c>
      <c r="T137" s="177">
        <v>0</v>
      </c>
      <c r="U137" s="177">
        <v>0</v>
      </c>
      <c r="V137" s="177">
        <v>0</v>
      </c>
      <c r="W137" s="177">
        <v>0</v>
      </c>
      <c r="X137" s="177">
        <v>0</v>
      </c>
      <c r="Y137" s="177">
        <v>0</v>
      </c>
      <c r="Z137" s="177">
        <v>0</v>
      </c>
      <c r="AA137" s="177">
        <v>0</v>
      </c>
      <c r="AB137" s="177">
        <v>0</v>
      </c>
      <c r="AC137" s="177">
        <v>0</v>
      </c>
      <c r="AD137" s="178">
        <v>0</v>
      </c>
    </row>
    <row r="138" spans="1:30" x14ac:dyDescent="0.25">
      <c r="A138" s="85" t="s">
        <v>529</v>
      </c>
      <c r="B138" t="s">
        <v>530</v>
      </c>
      <c r="C138" s="177">
        <v>0</v>
      </c>
      <c r="D138" s="177">
        <v>0</v>
      </c>
      <c r="E138" s="177">
        <v>0</v>
      </c>
      <c r="F138" s="177">
        <v>0</v>
      </c>
      <c r="G138" s="177">
        <v>0</v>
      </c>
      <c r="H138" s="177">
        <v>0</v>
      </c>
      <c r="I138" s="177">
        <v>0</v>
      </c>
      <c r="J138" s="177">
        <v>0</v>
      </c>
      <c r="K138" s="177">
        <v>0</v>
      </c>
      <c r="L138" s="177">
        <v>0</v>
      </c>
      <c r="M138" s="177">
        <v>0</v>
      </c>
      <c r="N138" s="177">
        <v>0</v>
      </c>
      <c r="O138" s="177">
        <v>0</v>
      </c>
      <c r="P138" s="177">
        <v>0</v>
      </c>
      <c r="Q138" s="177">
        <v>0</v>
      </c>
      <c r="R138" s="177">
        <v>0</v>
      </c>
      <c r="S138" s="177">
        <v>0</v>
      </c>
      <c r="T138" s="177">
        <v>0</v>
      </c>
      <c r="U138" s="177">
        <v>0</v>
      </c>
      <c r="V138" s="177">
        <v>0</v>
      </c>
      <c r="W138" s="177">
        <v>0</v>
      </c>
      <c r="X138" s="177">
        <v>0</v>
      </c>
      <c r="Y138" s="177">
        <v>0</v>
      </c>
      <c r="Z138" s="177">
        <v>0</v>
      </c>
      <c r="AA138" s="177">
        <v>0</v>
      </c>
      <c r="AB138" s="177">
        <v>0</v>
      </c>
      <c r="AC138" s="177">
        <v>0</v>
      </c>
      <c r="AD138" s="178">
        <v>0</v>
      </c>
    </row>
    <row r="139" spans="1:30" x14ac:dyDescent="0.25">
      <c r="A139" s="85" t="s">
        <v>531</v>
      </c>
      <c r="B139" t="s">
        <v>532</v>
      </c>
      <c r="C139" s="177">
        <v>0</v>
      </c>
      <c r="D139" s="177">
        <v>0</v>
      </c>
      <c r="E139" s="177">
        <v>0</v>
      </c>
      <c r="F139" s="177">
        <v>0</v>
      </c>
      <c r="G139" s="177">
        <v>0</v>
      </c>
      <c r="H139" s="177">
        <v>0</v>
      </c>
      <c r="I139" s="177">
        <v>0</v>
      </c>
      <c r="J139" s="177">
        <v>0</v>
      </c>
      <c r="K139" s="177">
        <v>0</v>
      </c>
      <c r="L139" s="177">
        <v>0</v>
      </c>
      <c r="M139" s="177">
        <v>0</v>
      </c>
      <c r="N139" s="177">
        <v>0</v>
      </c>
      <c r="O139" s="177">
        <v>0</v>
      </c>
      <c r="P139" s="177">
        <v>0</v>
      </c>
      <c r="Q139" s="177">
        <v>0</v>
      </c>
      <c r="R139" s="177">
        <v>0</v>
      </c>
      <c r="S139" s="177">
        <v>0</v>
      </c>
      <c r="T139" s="177">
        <v>0</v>
      </c>
      <c r="U139" s="177">
        <v>0</v>
      </c>
      <c r="V139" s="177">
        <v>0</v>
      </c>
      <c r="W139" s="177">
        <v>0</v>
      </c>
      <c r="X139" s="177">
        <v>0</v>
      </c>
      <c r="Y139" s="177">
        <v>0</v>
      </c>
      <c r="Z139" s="177">
        <v>0</v>
      </c>
      <c r="AA139" s="177">
        <v>0</v>
      </c>
      <c r="AB139" s="177">
        <v>0</v>
      </c>
      <c r="AC139" s="177">
        <v>0</v>
      </c>
      <c r="AD139" s="178">
        <v>0</v>
      </c>
    </row>
    <row r="140" spans="1:30" x14ac:dyDescent="0.25">
      <c r="A140" s="85" t="s">
        <v>533</v>
      </c>
      <c r="B140" t="s">
        <v>532</v>
      </c>
      <c r="C140" s="177">
        <v>0</v>
      </c>
      <c r="D140" s="177">
        <v>0</v>
      </c>
      <c r="E140" s="177">
        <v>0</v>
      </c>
      <c r="F140" s="177">
        <v>0</v>
      </c>
      <c r="G140" s="177">
        <v>0</v>
      </c>
      <c r="H140" s="177">
        <v>0</v>
      </c>
      <c r="I140" s="177">
        <v>0</v>
      </c>
      <c r="J140" s="177">
        <v>0</v>
      </c>
      <c r="K140" s="177">
        <v>0</v>
      </c>
      <c r="L140" s="177">
        <v>0</v>
      </c>
      <c r="M140" s="177">
        <v>0</v>
      </c>
      <c r="N140" s="177">
        <v>0</v>
      </c>
      <c r="O140" s="177">
        <v>0</v>
      </c>
      <c r="P140" s="177">
        <v>0</v>
      </c>
      <c r="Q140" s="177">
        <v>0</v>
      </c>
      <c r="R140" s="177">
        <v>0</v>
      </c>
      <c r="S140" s="177">
        <v>0</v>
      </c>
      <c r="T140" s="177">
        <v>0</v>
      </c>
      <c r="U140" s="177">
        <v>0</v>
      </c>
      <c r="V140" s="177">
        <v>0</v>
      </c>
      <c r="W140" s="177">
        <v>0</v>
      </c>
      <c r="X140" s="177">
        <v>0</v>
      </c>
      <c r="Y140" s="177">
        <v>0</v>
      </c>
      <c r="Z140" s="177">
        <v>0</v>
      </c>
      <c r="AA140" s="177">
        <v>0</v>
      </c>
      <c r="AB140" s="177">
        <v>0</v>
      </c>
      <c r="AC140" s="177">
        <v>0</v>
      </c>
      <c r="AD140" s="178">
        <v>0</v>
      </c>
    </row>
    <row r="141" spans="1:30" x14ac:dyDescent="0.25">
      <c r="A141" s="85" t="s">
        <v>534</v>
      </c>
      <c r="B141" t="s">
        <v>535</v>
      </c>
      <c r="C141" s="177">
        <v>0</v>
      </c>
      <c r="D141" s="177">
        <v>0</v>
      </c>
      <c r="E141" s="177">
        <v>0</v>
      </c>
      <c r="F141" s="177">
        <v>0</v>
      </c>
      <c r="G141" s="177">
        <v>0</v>
      </c>
      <c r="H141" s="177">
        <v>0</v>
      </c>
      <c r="I141" s="177">
        <v>0</v>
      </c>
      <c r="J141" s="177">
        <v>0</v>
      </c>
      <c r="K141" s="177">
        <v>0</v>
      </c>
      <c r="L141" s="177">
        <v>0</v>
      </c>
      <c r="M141" s="177">
        <v>0</v>
      </c>
      <c r="N141" s="177">
        <v>0</v>
      </c>
      <c r="O141" s="177">
        <v>0</v>
      </c>
      <c r="P141" s="177">
        <v>0</v>
      </c>
      <c r="Q141" s="177">
        <v>0</v>
      </c>
      <c r="R141" s="177">
        <v>0</v>
      </c>
      <c r="S141" s="177">
        <v>0</v>
      </c>
      <c r="T141" s="177">
        <v>0</v>
      </c>
      <c r="U141" s="177">
        <v>0</v>
      </c>
      <c r="V141" s="177">
        <v>0</v>
      </c>
      <c r="W141" s="177">
        <v>0</v>
      </c>
      <c r="X141" s="177">
        <v>0</v>
      </c>
      <c r="Y141" s="177">
        <v>0</v>
      </c>
      <c r="Z141" s="177">
        <v>0</v>
      </c>
      <c r="AA141" s="177">
        <v>0</v>
      </c>
      <c r="AB141" s="177">
        <v>0</v>
      </c>
      <c r="AC141" s="177">
        <v>0</v>
      </c>
      <c r="AD141" s="178">
        <v>0</v>
      </c>
    </row>
    <row r="142" spans="1:30" x14ac:dyDescent="0.25">
      <c r="A142" s="85" t="s">
        <v>536</v>
      </c>
      <c r="B142" t="s">
        <v>537</v>
      </c>
      <c r="C142" s="177">
        <v>0</v>
      </c>
      <c r="D142" s="177">
        <v>0</v>
      </c>
      <c r="E142" s="177">
        <v>0</v>
      </c>
      <c r="F142" s="177">
        <v>0</v>
      </c>
      <c r="G142" s="177">
        <v>0</v>
      </c>
      <c r="H142" s="177">
        <v>0</v>
      </c>
      <c r="I142" s="177">
        <v>0</v>
      </c>
      <c r="J142" s="177">
        <v>0</v>
      </c>
      <c r="K142" s="177">
        <v>0</v>
      </c>
      <c r="L142" s="177">
        <v>0</v>
      </c>
      <c r="M142" s="177">
        <v>0</v>
      </c>
      <c r="N142" s="177">
        <v>0</v>
      </c>
      <c r="O142" s="177">
        <v>0</v>
      </c>
      <c r="P142" s="177">
        <v>0</v>
      </c>
      <c r="Q142" s="177">
        <v>0</v>
      </c>
      <c r="R142" s="177">
        <v>0</v>
      </c>
      <c r="S142" s="177">
        <v>0</v>
      </c>
      <c r="T142" s="177">
        <v>0</v>
      </c>
      <c r="U142" s="177">
        <v>0</v>
      </c>
      <c r="V142" s="177">
        <v>0</v>
      </c>
      <c r="W142" s="177">
        <v>0</v>
      </c>
      <c r="X142" s="177">
        <v>0</v>
      </c>
      <c r="Y142" s="177">
        <v>0</v>
      </c>
      <c r="Z142" s="177">
        <v>0</v>
      </c>
      <c r="AA142" s="177">
        <v>0</v>
      </c>
      <c r="AB142" s="177">
        <v>0</v>
      </c>
      <c r="AC142" s="177">
        <v>0</v>
      </c>
      <c r="AD142" s="178">
        <v>0</v>
      </c>
    </row>
    <row r="143" spans="1:30" x14ac:dyDescent="0.25">
      <c r="A143" s="85" t="s">
        <v>538</v>
      </c>
      <c r="B143" t="s">
        <v>537</v>
      </c>
      <c r="C143" s="177">
        <v>0</v>
      </c>
      <c r="D143" s="177">
        <v>0</v>
      </c>
      <c r="E143" s="177">
        <v>0</v>
      </c>
      <c r="F143" s="177">
        <v>0</v>
      </c>
      <c r="G143" s="177">
        <v>0</v>
      </c>
      <c r="H143" s="177">
        <v>0</v>
      </c>
      <c r="I143" s="177">
        <v>0</v>
      </c>
      <c r="J143" s="177">
        <v>0</v>
      </c>
      <c r="K143" s="177">
        <v>0</v>
      </c>
      <c r="L143" s="177">
        <v>0</v>
      </c>
      <c r="M143" s="177">
        <v>0</v>
      </c>
      <c r="N143" s="177">
        <v>0</v>
      </c>
      <c r="O143" s="177">
        <v>0</v>
      </c>
      <c r="P143" s="177">
        <v>0</v>
      </c>
      <c r="Q143" s="177">
        <v>0</v>
      </c>
      <c r="R143" s="177">
        <v>0</v>
      </c>
      <c r="S143" s="177">
        <v>0</v>
      </c>
      <c r="T143" s="177">
        <v>0</v>
      </c>
      <c r="U143" s="177">
        <v>0</v>
      </c>
      <c r="V143" s="177">
        <v>0</v>
      </c>
      <c r="W143" s="177">
        <v>0</v>
      </c>
      <c r="X143" s="177">
        <v>0</v>
      </c>
      <c r="Y143" s="177">
        <v>0</v>
      </c>
      <c r="Z143" s="177">
        <v>0</v>
      </c>
      <c r="AA143" s="177">
        <v>0</v>
      </c>
      <c r="AB143" s="177">
        <v>0</v>
      </c>
      <c r="AC143" s="177">
        <v>0</v>
      </c>
      <c r="AD143" s="178">
        <v>0</v>
      </c>
    </row>
    <row r="144" spans="1:30" x14ac:dyDescent="0.25">
      <c r="A144" s="85" t="s">
        <v>539</v>
      </c>
      <c r="B144" t="s">
        <v>537</v>
      </c>
      <c r="C144" s="177">
        <v>0</v>
      </c>
      <c r="D144" s="177">
        <v>0</v>
      </c>
      <c r="E144" s="177">
        <v>0</v>
      </c>
      <c r="F144" s="177">
        <v>0</v>
      </c>
      <c r="G144" s="177">
        <v>0</v>
      </c>
      <c r="H144" s="177">
        <v>0</v>
      </c>
      <c r="I144" s="177">
        <v>0</v>
      </c>
      <c r="J144" s="177">
        <v>0</v>
      </c>
      <c r="K144" s="177">
        <v>0</v>
      </c>
      <c r="L144" s="177">
        <v>0</v>
      </c>
      <c r="M144" s="177">
        <v>0</v>
      </c>
      <c r="N144" s="177">
        <v>0</v>
      </c>
      <c r="O144" s="177">
        <v>0</v>
      </c>
      <c r="P144" s="177">
        <v>0</v>
      </c>
      <c r="Q144" s="177">
        <v>0</v>
      </c>
      <c r="R144" s="177">
        <v>0</v>
      </c>
      <c r="S144" s="177">
        <v>0</v>
      </c>
      <c r="T144" s="177">
        <v>0</v>
      </c>
      <c r="U144" s="177">
        <v>0</v>
      </c>
      <c r="V144" s="177">
        <v>0</v>
      </c>
      <c r="W144" s="177">
        <v>0</v>
      </c>
      <c r="X144" s="177">
        <v>0</v>
      </c>
      <c r="Y144" s="177">
        <v>0</v>
      </c>
      <c r="Z144" s="177">
        <v>0</v>
      </c>
      <c r="AA144" s="177">
        <v>0</v>
      </c>
      <c r="AB144" s="177">
        <v>0</v>
      </c>
      <c r="AC144" s="177">
        <v>0</v>
      </c>
      <c r="AD144" s="178">
        <v>0</v>
      </c>
    </row>
    <row r="145" spans="1:30" x14ac:dyDescent="0.25">
      <c r="A145" s="91" t="s">
        <v>540</v>
      </c>
      <c r="B145" s="92" t="s">
        <v>537</v>
      </c>
      <c r="C145" s="179">
        <v>0</v>
      </c>
      <c r="D145" s="179">
        <v>0</v>
      </c>
      <c r="E145" s="179">
        <v>0</v>
      </c>
      <c r="F145" s="179">
        <v>0</v>
      </c>
      <c r="G145" s="179">
        <v>0</v>
      </c>
      <c r="H145" s="179">
        <v>0</v>
      </c>
      <c r="I145" s="179">
        <v>0</v>
      </c>
      <c r="J145" s="179">
        <v>0</v>
      </c>
      <c r="K145" s="179">
        <v>0</v>
      </c>
      <c r="L145" s="179">
        <v>0</v>
      </c>
      <c r="M145" s="179">
        <v>0</v>
      </c>
      <c r="N145" s="179">
        <v>0</v>
      </c>
      <c r="O145" s="179">
        <v>0</v>
      </c>
      <c r="P145" s="179">
        <v>0</v>
      </c>
      <c r="Q145" s="179">
        <v>0</v>
      </c>
      <c r="R145" s="179">
        <v>0</v>
      </c>
      <c r="S145" s="179">
        <v>0</v>
      </c>
      <c r="T145" s="179">
        <v>0</v>
      </c>
      <c r="U145" s="179">
        <v>0</v>
      </c>
      <c r="V145" s="179">
        <v>0</v>
      </c>
      <c r="W145" s="179">
        <v>0</v>
      </c>
      <c r="X145" s="179">
        <v>0</v>
      </c>
      <c r="Y145" s="179">
        <v>0</v>
      </c>
      <c r="Z145" s="179">
        <v>0</v>
      </c>
      <c r="AA145" s="179">
        <v>0</v>
      </c>
      <c r="AB145" s="179">
        <v>0</v>
      </c>
      <c r="AC145" s="179">
        <v>0</v>
      </c>
      <c r="AD145" s="18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5430-95C2-44B6-9D7A-38D2312AAE13}">
  <sheetPr>
    <tabColor theme="5" tint="0.39997558519241921"/>
  </sheetPr>
  <dimension ref="A1:D13"/>
  <sheetViews>
    <sheetView workbookViewId="0">
      <selection activeCell="C4" sqref="C4"/>
    </sheetView>
  </sheetViews>
  <sheetFormatPr defaultRowHeight="15" x14ac:dyDescent="0.25"/>
  <cols>
    <col min="1" max="1" width="23.28515625" bestFit="1" customWidth="1"/>
    <col min="2" max="2" width="16.140625" bestFit="1" customWidth="1"/>
    <col min="3" max="3" width="29.7109375" bestFit="1" customWidth="1"/>
    <col min="4" max="4" width="10.5703125" bestFit="1" customWidth="1"/>
  </cols>
  <sheetData>
    <row r="1" spans="1:4" x14ac:dyDescent="0.25">
      <c r="C1" t="s">
        <v>547</v>
      </c>
    </row>
    <row r="2" spans="1:4" x14ac:dyDescent="0.25">
      <c r="A2" t="s">
        <v>373</v>
      </c>
      <c r="B2" t="s">
        <v>348</v>
      </c>
      <c r="C2">
        <v>30</v>
      </c>
    </row>
    <row r="3" spans="1:4" x14ac:dyDescent="0.25">
      <c r="A3" t="s">
        <v>405</v>
      </c>
      <c r="B3" t="s">
        <v>548</v>
      </c>
      <c r="C3">
        <v>6</v>
      </c>
      <c r="D3" s="89"/>
    </row>
    <row r="4" spans="1:4" x14ac:dyDescent="0.25">
      <c r="A4" t="s">
        <v>398</v>
      </c>
      <c r="B4" t="s">
        <v>549</v>
      </c>
      <c r="C4">
        <f>0.54/1</f>
        <v>0.54</v>
      </c>
      <c r="D4" s="89"/>
    </row>
    <row r="5" spans="1:4" x14ac:dyDescent="0.25">
      <c r="A5" t="s">
        <v>398</v>
      </c>
      <c r="B5" t="s">
        <v>550</v>
      </c>
      <c r="C5" s="89">
        <f>C4*Legend!B65*10^-3</f>
        <v>1.0800000000000001E-2</v>
      </c>
      <c r="D5" s="89"/>
    </row>
    <row r="6" spans="1:4" x14ac:dyDescent="0.25">
      <c r="A6" t="s">
        <v>551</v>
      </c>
      <c r="C6" s="141">
        <v>0.05</v>
      </c>
      <c r="D6" s="89"/>
    </row>
    <row r="7" spans="1:4" x14ac:dyDescent="0.25">
      <c r="A7" t="s">
        <v>552</v>
      </c>
      <c r="B7" t="s">
        <v>361</v>
      </c>
      <c r="C7" s="89">
        <f>44*10^3/(C3*24*365)</f>
        <v>0.83713850837138504</v>
      </c>
      <c r="D7" s="89"/>
    </row>
    <row r="8" spans="1:4" x14ac:dyDescent="0.25">
      <c r="A8" t="s">
        <v>553</v>
      </c>
      <c r="B8" t="s">
        <v>554</v>
      </c>
      <c r="C8">
        <v>7.42</v>
      </c>
    </row>
    <row r="9" spans="1:4" x14ac:dyDescent="0.25">
      <c r="A9" t="s">
        <v>440</v>
      </c>
      <c r="B9" t="s">
        <v>554</v>
      </c>
      <c r="C9">
        <v>240</v>
      </c>
    </row>
    <row r="10" spans="1:4" x14ac:dyDescent="0.25">
      <c r="A10" t="s">
        <v>440</v>
      </c>
      <c r="B10" t="s">
        <v>555</v>
      </c>
      <c r="C10">
        <f>C9/(Legend!B65*10^-3)</f>
        <v>12000</v>
      </c>
    </row>
    <row r="11" spans="1:4" x14ac:dyDescent="0.25">
      <c r="A11" t="s">
        <v>556</v>
      </c>
      <c r="B11" t="s">
        <v>557</v>
      </c>
      <c r="C11" s="142">
        <v>2.5000000000000001E-2</v>
      </c>
    </row>
    <row r="12" spans="1:4" x14ac:dyDescent="0.25">
      <c r="A12" t="s">
        <v>377</v>
      </c>
      <c r="B12" t="s">
        <v>558</v>
      </c>
      <c r="C12" s="89">
        <f>(2.1+6.2+0.01+0.45)/0.54</f>
        <v>16.222222222222221</v>
      </c>
    </row>
    <row r="13" spans="1:4" x14ac:dyDescent="0.25">
      <c r="A13" t="s">
        <v>377</v>
      </c>
      <c r="B13" t="s">
        <v>559</v>
      </c>
      <c r="C13" s="89">
        <f>C12/(Legend!B65*10^-3)*10^-3</f>
        <v>0.81111111111111112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04029-C7BB-47ED-89AE-5B451E1BC7CB}">
  <sheetPr>
    <tabColor theme="5" tint="0.39997558519241921"/>
  </sheetPr>
  <dimension ref="A1:C11"/>
  <sheetViews>
    <sheetView workbookViewId="0">
      <selection activeCell="C9" sqref="C9"/>
    </sheetView>
  </sheetViews>
  <sheetFormatPr defaultRowHeight="15" x14ac:dyDescent="0.25"/>
  <cols>
    <col min="1" max="1" width="35" bestFit="1" customWidth="1"/>
    <col min="2" max="2" width="19.42578125" bestFit="1" customWidth="1"/>
    <col min="3" max="3" width="9.5703125" bestFit="1" customWidth="1"/>
  </cols>
  <sheetData>
    <row r="1" spans="1:3" ht="15.75" x14ac:dyDescent="0.25">
      <c r="A1" s="81" t="s">
        <v>560</v>
      </c>
    </row>
    <row r="2" spans="1:3" ht="15.75" x14ac:dyDescent="0.25">
      <c r="A2" s="163"/>
    </row>
    <row r="3" spans="1:3" x14ac:dyDescent="0.25">
      <c r="A3" s="82" t="s">
        <v>373</v>
      </c>
      <c r="B3" s="83" t="s">
        <v>348</v>
      </c>
      <c r="C3" s="143">
        <v>20</v>
      </c>
    </row>
    <row r="4" spans="1:3" x14ac:dyDescent="0.25">
      <c r="A4" s="85" t="s">
        <v>437</v>
      </c>
      <c r="B4" t="s">
        <v>361</v>
      </c>
      <c r="C4" s="86">
        <v>0.9</v>
      </c>
    </row>
    <row r="5" spans="1:3" x14ac:dyDescent="0.25">
      <c r="A5" s="85" t="s">
        <v>434</v>
      </c>
      <c r="B5" t="s">
        <v>561</v>
      </c>
      <c r="C5" s="86">
        <f>(0.2+0.6)</f>
        <v>0.8</v>
      </c>
    </row>
    <row r="6" spans="1:3" x14ac:dyDescent="0.25">
      <c r="A6" s="85" t="s">
        <v>439</v>
      </c>
      <c r="B6" t="s">
        <v>562</v>
      </c>
      <c r="C6" s="86">
        <f>3.75</f>
        <v>3.75</v>
      </c>
    </row>
    <row r="7" spans="1:3" x14ac:dyDescent="0.25">
      <c r="A7" s="85" t="s">
        <v>440</v>
      </c>
      <c r="B7" t="s">
        <v>563</v>
      </c>
      <c r="C7" s="86">
        <v>0.1</v>
      </c>
    </row>
    <row r="8" spans="1:3" x14ac:dyDescent="0.25">
      <c r="A8" s="85" t="s">
        <v>564</v>
      </c>
      <c r="B8" t="s">
        <v>565</v>
      </c>
      <c r="C8" s="86">
        <f>7/0.1/(6.4)</f>
        <v>10.9375</v>
      </c>
    </row>
    <row r="9" spans="1:3" x14ac:dyDescent="0.25">
      <c r="A9" s="85" t="s">
        <v>440</v>
      </c>
      <c r="B9" t="s">
        <v>566</v>
      </c>
      <c r="C9" s="86">
        <f>25+76+12+C7*C8</f>
        <v>114.09375</v>
      </c>
    </row>
    <row r="10" spans="1:3" x14ac:dyDescent="0.25">
      <c r="A10" s="85" t="s">
        <v>390</v>
      </c>
      <c r="B10" t="s">
        <v>567</v>
      </c>
      <c r="C10" s="86">
        <f>0.2*(1+0.28)+2+0.038*C9</f>
        <v>6.5915625000000002</v>
      </c>
    </row>
    <row r="11" spans="1:3" x14ac:dyDescent="0.25">
      <c r="A11" s="91" t="s">
        <v>413</v>
      </c>
      <c r="B11" s="92" t="s">
        <v>567</v>
      </c>
      <c r="C11" s="93">
        <f>1.4+0.1+0.5+0.2+0.1+0.2</f>
        <v>2.5000000000000004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DDBE-470F-42CA-8468-EE4B8F6C0266}">
  <sheetPr>
    <tabColor theme="5" tint="0.39997558519241921"/>
  </sheetPr>
  <dimension ref="A2:F24"/>
  <sheetViews>
    <sheetView workbookViewId="0">
      <selection activeCell="D29" sqref="D29"/>
    </sheetView>
  </sheetViews>
  <sheetFormatPr defaultRowHeight="15" x14ac:dyDescent="0.25"/>
  <cols>
    <col min="1" max="1" width="26" bestFit="1" customWidth="1"/>
    <col min="2" max="2" width="18.7109375" bestFit="1" customWidth="1"/>
    <col min="3" max="3" width="13.7109375" bestFit="1" customWidth="1"/>
    <col min="4" max="4" width="12.85546875" bestFit="1" customWidth="1"/>
    <col min="6" max="6" width="10.5703125" bestFit="1" customWidth="1"/>
  </cols>
  <sheetData>
    <row r="2" spans="1:6" x14ac:dyDescent="0.25">
      <c r="C2" t="s">
        <v>568</v>
      </c>
      <c r="D2" t="s">
        <v>569</v>
      </c>
    </row>
    <row r="3" spans="1:6" x14ac:dyDescent="0.25">
      <c r="A3" t="s">
        <v>373</v>
      </c>
      <c r="C3">
        <v>25</v>
      </c>
      <c r="D3">
        <v>25</v>
      </c>
    </row>
    <row r="4" spans="1:6" x14ac:dyDescent="0.25">
      <c r="A4" t="s">
        <v>445</v>
      </c>
      <c r="B4" t="s">
        <v>570</v>
      </c>
      <c r="C4">
        <v>2000</v>
      </c>
      <c r="D4">
        <v>2000</v>
      </c>
    </row>
    <row r="5" spans="1:6" x14ac:dyDescent="0.25">
      <c r="A5" s="156" t="s">
        <v>445</v>
      </c>
      <c r="B5" s="156" t="s">
        <v>369</v>
      </c>
      <c r="C5" s="157">
        <f>C4*365/10^3</f>
        <v>730</v>
      </c>
      <c r="D5" s="157">
        <f>D4*365/10^3</f>
        <v>730</v>
      </c>
      <c r="F5" s="94"/>
    </row>
    <row r="6" spans="1:6" x14ac:dyDescent="0.25">
      <c r="A6" t="s">
        <v>571</v>
      </c>
      <c r="B6" t="s">
        <v>570</v>
      </c>
      <c r="C6">
        <v>723</v>
      </c>
      <c r="D6">
        <v>567</v>
      </c>
    </row>
    <row r="7" spans="1:6" x14ac:dyDescent="0.25">
      <c r="A7" t="s">
        <v>571</v>
      </c>
      <c r="B7" t="s">
        <v>372</v>
      </c>
      <c r="C7" s="89">
        <f>C6*365*10^-3*Legend!$B$63</f>
        <v>7916.8499999999995</v>
      </c>
      <c r="D7" s="89">
        <f>D6*365*10^-3*Legend!$B$63</f>
        <v>6208.6500000000005</v>
      </c>
    </row>
    <row r="8" spans="1:6" x14ac:dyDescent="0.25">
      <c r="A8" t="s">
        <v>572</v>
      </c>
      <c r="B8" t="s">
        <v>570</v>
      </c>
      <c r="C8">
        <v>0</v>
      </c>
      <c r="D8">
        <v>150</v>
      </c>
    </row>
    <row r="9" spans="1:6" x14ac:dyDescent="0.25">
      <c r="A9" t="s">
        <v>573</v>
      </c>
      <c r="B9" t="s">
        <v>570</v>
      </c>
      <c r="C9">
        <f>C6-C8</f>
        <v>723</v>
      </c>
      <c r="D9">
        <f>D6-D8</f>
        <v>417</v>
      </c>
    </row>
    <row r="10" spans="1:6" x14ac:dyDescent="0.25">
      <c r="A10" s="156" t="s">
        <v>572</v>
      </c>
      <c r="B10" s="156" t="s">
        <v>372</v>
      </c>
      <c r="C10" s="157">
        <f>C8*365*10^-3*Legend!$B$63</f>
        <v>0</v>
      </c>
      <c r="D10" s="157">
        <f>D8*365*10^-3*Legend!$B$63</f>
        <v>1642.5</v>
      </c>
    </row>
    <row r="11" spans="1:6" x14ac:dyDescent="0.25">
      <c r="A11" s="156" t="s">
        <v>573</v>
      </c>
      <c r="B11" s="156" t="s">
        <v>372</v>
      </c>
      <c r="C11" s="157">
        <f>C9*365*10^-3*Legend!$B$63</f>
        <v>7916.8499999999995</v>
      </c>
      <c r="D11" s="157">
        <f>D9*365*10^-3*Legend!$B$63</f>
        <v>4566.1500000000005</v>
      </c>
    </row>
    <row r="12" spans="1:6" x14ac:dyDescent="0.25">
      <c r="A12" t="s">
        <v>574</v>
      </c>
      <c r="B12" t="s">
        <v>570</v>
      </c>
      <c r="C12">
        <v>0</v>
      </c>
      <c r="D12">
        <v>1168</v>
      </c>
    </row>
    <row r="13" spans="1:6" x14ac:dyDescent="0.25">
      <c r="A13" t="s">
        <v>574</v>
      </c>
    </row>
    <row r="14" spans="1:6" x14ac:dyDescent="0.25">
      <c r="A14" t="s">
        <v>575</v>
      </c>
      <c r="B14" t="s">
        <v>570</v>
      </c>
      <c r="C14">
        <v>1277</v>
      </c>
      <c r="D14">
        <v>265</v>
      </c>
    </row>
    <row r="15" spans="1:6" x14ac:dyDescent="0.25">
      <c r="A15" s="156" t="s">
        <v>575</v>
      </c>
      <c r="B15" s="156" t="s">
        <v>372</v>
      </c>
      <c r="C15" s="157">
        <f>C14*365*10^-3*Legend!$B$64</f>
        <v>6525.47</v>
      </c>
      <c r="D15" s="157">
        <f>D14*365*10^-3*Legend!$B$64</f>
        <v>1354.15</v>
      </c>
    </row>
    <row r="16" spans="1:6" x14ac:dyDescent="0.25">
      <c r="A16" t="s">
        <v>576</v>
      </c>
      <c r="B16" t="s">
        <v>570</v>
      </c>
      <c r="C16">
        <v>425</v>
      </c>
      <c r="D16">
        <v>265</v>
      </c>
    </row>
    <row r="17" spans="1:4" x14ac:dyDescent="0.25">
      <c r="A17" t="s">
        <v>577</v>
      </c>
      <c r="B17" t="s">
        <v>570</v>
      </c>
      <c r="C17">
        <f>C14-C16</f>
        <v>852</v>
      </c>
      <c r="D17">
        <f>D14-D16</f>
        <v>0</v>
      </c>
    </row>
    <row r="18" spans="1:4" x14ac:dyDescent="0.25">
      <c r="A18" s="156" t="s">
        <v>576</v>
      </c>
      <c r="B18" s="156" t="s">
        <v>372</v>
      </c>
      <c r="C18" s="157">
        <f>C16*365*10^-3*Legend!$B$64</f>
        <v>2171.75</v>
      </c>
      <c r="D18" s="157">
        <f>D16*365*10^-3*Legend!$B$64</f>
        <v>1354.15</v>
      </c>
    </row>
    <row r="19" spans="1:4" x14ac:dyDescent="0.25">
      <c r="A19" s="156" t="s">
        <v>577</v>
      </c>
      <c r="B19" s="156" t="s">
        <v>372</v>
      </c>
      <c r="C19" s="157">
        <f>C17*365*10^-3*Legend!$B$64</f>
        <v>4353.72</v>
      </c>
      <c r="D19" s="157">
        <f>D17*365*10^-3*Legend!$B$64</f>
        <v>0</v>
      </c>
    </row>
    <row r="20" spans="1:4" x14ac:dyDescent="0.25">
      <c r="A20" t="s">
        <v>379</v>
      </c>
    </row>
    <row r="21" spans="1:4" x14ac:dyDescent="0.25">
      <c r="A21" t="s">
        <v>440</v>
      </c>
      <c r="B21" t="s">
        <v>578</v>
      </c>
      <c r="C21" s="89">
        <v>123</v>
      </c>
      <c r="D21" s="89">
        <v>200</v>
      </c>
    </row>
    <row r="22" spans="1:4" x14ac:dyDescent="0.25">
      <c r="A22" t="s">
        <v>440</v>
      </c>
      <c r="B22" t="s">
        <v>579</v>
      </c>
      <c r="C22" s="89">
        <f>C21/(C11+C19)</f>
        <v>1.0023984215892172E-2</v>
      </c>
      <c r="D22" s="89">
        <f>D21/(D11+D19)</f>
        <v>4.3800575977574099E-2</v>
      </c>
    </row>
    <row r="23" spans="1:4" x14ac:dyDescent="0.25">
      <c r="A23" t="s">
        <v>390</v>
      </c>
      <c r="B23" t="s">
        <v>580</v>
      </c>
      <c r="C23" s="89">
        <v>7</v>
      </c>
      <c r="D23" s="89">
        <v>9</v>
      </c>
    </row>
    <row r="24" spans="1:4" x14ac:dyDescent="0.25">
      <c r="A24" t="s">
        <v>390</v>
      </c>
      <c r="B24" t="s">
        <v>581</v>
      </c>
      <c r="C24" s="150">
        <f>C23/(C11+C19)</f>
        <v>5.704706464328878E-4</v>
      </c>
      <c r="D24" s="150">
        <f>D23/(D11+D19)</f>
        <v>1.9710259189908343E-3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B46FF-921E-4ECD-A2F6-86CE2D8855CE}">
  <sheetPr>
    <tabColor theme="5" tint="0.39997558519241921"/>
  </sheetPr>
  <dimension ref="A2:D19"/>
  <sheetViews>
    <sheetView workbookViewId="0">
      <selection activeCell="D29" sqref="D29"/>
    </sheetView>
  </sheetViews>
  <sheetFormatPr defaultRowHeight="15" x14ac:dyDescent="0.25"/>
  <cols>
    <col min="1" max="1" width="22.140625" bestFit="1" customWidth="1"/>
    <col min="2" max="2" width="28.85546875" bestFit="1" customWidth="1"/>
    <col min="3" max="3" width="22.5703125" bestFit="1" customWidth="1"/>
    <col min="4" max="4" width="27" bestFit="1" customWidth="1"/>
  </cols>
  <sheetData>
    <row r="2" spans="1:4" x14ac:dyDescent="0.25">
      <c r="C2" t="s">
        <v>582</v>
      </c>
      <c r="D2" t="s">
        <v>583</v>
      </c>
    </row>
    <row r="3" spans="1:4" x14ac:dyDescent="0.25">
      <c r="A3" t="s">
        <v>373</v>
      </c>
      <c r="B3" t="s">
        <v>348</v>
      </c>
      <c r="C3">
        <v>20</v>
      </c>
      <c r="D3">
        <v>20</v>
      </c>
    </row>
    <row r="4" spans="1:4" x14ac:dyDescent="0.25">
      <c r="A4" t="s">
        <v>584</v>
      </c>
      <c r="B4" t="s">
        <v>585</v>
      </c>
      <c r="C4">
        <v>2000</v>
      </c>
      <c r="D4">
        <v>2000</v>
      </c>
    </row>
    <row r="5" spans="1:4" x14ac:dyDescent="0.25">
      <c r="A5" t="s">
        <v>552</v>
      </c>
      <c r="B5" t="s">
        <v>361</v>
      </c>
      <c r="C5">
        <v>0.85</v>
      </c>
      <c r="D5">
        <f>C5</f>
        <v>0.85</v>
      </c>
    </row>
    <row r="6" spans="1:4" x14ac:dyDescent="0.25">
      <c r="A6" t="s">
        <v>586</v>
      </c>
      <c r="B6" t="s">
        <v>587</v>
      </c>
      <c r="C6">
        <v>47.2</v>
      </c>
      <c r="D6">
        <v>61</v>
      </c>
    </row>
    <row r="7" spans="1:4" x14ac:dyDescent="0.25">
      <c r="A7" t="s">
        <v>586</v>
      </c>
      <c r="B7" t="s">
        <v>588</v>
      </c>
      <c r="C7" s="89">
        <f>C6*Legend!$B$62*10^3</f>
        <v>5.7253599999999993</v>
      </c>
      <c r="D7" s="89">
        <f>D6*Legend!$B$62*10^3</f>
        <v>7.3992999999999993</v>
      </c>
    </row>
    <row r="8" spans="1:4" x14ac:dyDescent="0.25">
      <c r="A8" t="s">
        <v>589</v>
      </c>
      <c r="B8" t="s">
        <v>590</v>
      </c>
      <c r="C8">
        <v>32.299999999999997</v>
      </c>
      <c r="D8">
        <v>41.7</v>
      </c>
    </row>
    <row r="9" spans="1:4" x14ac:dyDescent="0.25">
      <c r="A9" t="s">
        <v>589</v>
      </c>
      <c r="B9" t="s">
        <v>372</v>
      </c>
      <c r="C9" s="89">
        <f>C8*10^6*Legend!$B$62</f>
        <v>3917.9899999999993</v>
      </c>
      <c r="D9" s="89">
        <f>D8*10^6*Legend!$B$62</f>
        <v>5058.21</v>
      </c>
    </row>
    <row r="10" spans="1:4" x14ac:dyDescent="0.25">
      <c r="A10" t="s">
        <v>432</v>
      </c>
      <c r="B10" t="s">
        <v>418</v>
      </c>
      <c r="C10">
        <v>0.62</v>
      </c>
      <c r="D10">
        <v>0.62</v>
      </c>
    </row>
    <row r="11" spans="1:4" x14ac:dyDescent="0.25">
      <c r="A11" t="s">
        <v>419</v>
      </c>
      <c r="B11" t="s">
        <v>418</v>
      </c>
      <c r="C11">
        <v>0.26</v>
      </c>
      <c r="D11">
        <v>0.26</v>
      </c>
    </row>
    <row r="12" spans="1:4" x14ac:dyDescent="0.25">
      <c r="A12" t="s">
        <v>591</v>
      </c>
      <c r="B12" t="s">
        <v>418</v>
      </c>
      <c r="C12">
        <f>1-C10-C11</f>
        <v>0.12</v>
      </c>
      <c r="D12">
        <f>1-D10-D11</f>
        <v>0.12</v>
      </c>
    </row>
    <row r="13" spans="1:4" x14ac:dyDescent="0.25">
      <c r="A13" t="s">
        <v>440</v>
      </c>
      <c r="B13" t="s">
        <v>592</v>
      </c>
      <c r="C13">
        <v>498</v>
      </c>
      <c r="D13">
        <v>606</v>
      </c>
    </row>
    <row r="14" spans="1:4" x14ac:dyDescent="0.25">
      <c r="A14" t="s">
        <v>379</v>
      </c>
      <c r="B14" t="s">
        <v>593</v>
      </c>
      <c r="C14">
        <v>15</v>
      </c>
      <c r="D14">
        <f>22</f>
        <v>22</v>
      </c>
    </row>
    <row r="15" spans="1:4" x14ac:dyDescent="0.25">
      <c r="A15" t="s">
        <v>379</v>
      </c>
      <c r="B15" t="s">
        <v>372</v>
      </c>
      <c r="C15">
        <f>C14*Legend!$B$66*Legend!$B$67</f>
        <v>473.04</v>
      </c>
      <c r="D15">
        <f>D14*Legend!$B$66*Legend!$B$67</f>
        <v>693.79200000000003</v>
      </c>
    </row>
    <row r="16" spans="1:4" x14ac:dyDescent="0.25">
      <c r="A16" t="s">
        <v>390</v>
      </c>
      <c r="B16" t="s">
        <v>594</v>
      </c>
      <c r="C16">
        <v>12</v>
      </c>
      <c r="D16">
        <v>14</v>
      </c>
    </row>
    <row r="17" spans="1:4" x14ac:dyDescent="0.25">
      <c r="A17" t="s">
        <v>413</v>
      </c>
      <c r="B17" t="s">
        <v>594</v>
      </c>
      <c r="C17">
        <v>12</v>
      </c>
      <c r="D17">
        <v>13</v>
      </c>
    </row>
    <row r="19" spans="1:4" x14ac:dyDescent="0.25">
      <c r="C19" s="89"/>
      <c r="D19" s="8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A7A47-2CA5-465F-AACC-E6F5925E6FC2}">
  <sheetPr>
    <tabColor theme="5" tint="0.39997558519241921"/>
  </sheetPr>
  <dimension ref="A1:E34"/>
  <sheetViews>
    <sheetView workbookViewId="0">
      <selection activeCell="D15" sqref="D15"/>
    </sheetView>
  </sheetViews>
  <sheetFormatPr defaultRowHeight="15" x14ac:dyDescent="0.25"/>
  <cols>
    <col min="1" max="1" width="34.42578125" bestFit="1" customWidth="1"/>
    <col min="2" max="2" width="21.42578125" bestFit="1" customWidth="1"/>
    <col min="3" max="3" width="23.5703125" bestFit="1" customWidth="1"/>
    <col min="4" max="5" width="26.7109375" bestFit="1" customWidth="1"/>
  </cols>
  <sheetData>
    <row r="1" spans="1:5" x14ac:dyDescent="0.25">
      <c r="A1" s="146" t="s">
        <v>595</v>
      </c>
    </row>
    <row r="2" spans="1:5" x14ac:dyDescent="0.25">
      <c r="C2" t="s">
        <v>596</v>
      </c>
      <c r="D2" t="s">
        <v>597</v>
      </c>
      <c r="E2" t="s">
        <v>598</v>
      </c>
    </row>
    <row r="3" spans="1:5" x14ac:dyDescent="0.25">
      <c r="A3" t="s">
        <v>373</v>
      </c>
      <c r="C3" s="89">
        <v>25</v>
      </c>
      <c r="D3" s="94">
        <f>C3</f>
        <v>25</v>
      </c>
      <c r="E3" s="94">
        <f>D3</f>
        <v>25</v>
      </c>
    </row>
    <row r="4" spans="1:5" x14ac:dyDescent="0.25">
      <c r="A4" t="s">
        <v>599</v>
      </c>
      <c r="B4" t="s">
        <v>548</v>
      </c>
      <c r="C4" s="89">
        <v>0.435</v>
      </c>
      <c r="D4" s="94">
        <f t="shared" ref="D4:D7" si="0">C4</f>
        <v>0.435</v>
      </c>
    </row>
    <row r="5" spans="1:5" x14ac:dyDescent="0.25">
      <c r="A5" t="s">
        <v>599</v>
      </c>
      <c r="B5" t="s">
        <v>600</v>
      </c>
      <c r="C5" s="89">
        <f>C4*'Key input_Biomass'!$C$6</f>
        <v>8.2650000000000006</v>
      </c>
      <c r="D5" s="94">
        <f t="shared" si="0"/>
        <v>8.2650000000000006</v>
      </c>
    </row>
    <row r="6" spans="1:5" x14ac:dyDescent="0.25">
      <c r="A6" t="s">
        <v>599</v>
      </c>
      <c r="B6" t="s">
        <v>372</v>
      </c>
      <c r="C6" s="89">
        <f>C5*24*365*10^-3</f>
        <v>72.40140000000001</v>
      </c>
      <c r="D6" s="94">
        <f t="shared" si="0"/>
        <v>72.40140000000001</v>
      </c>
    </row>
    <row r="7" spans="1:5" x14ac:dyDescent="0.25">
      <c r="A7" t="s">
        <v>599</v>
      </c>
      <c r="B7" t="s">
        <v>601</v>
      </c>
      <c r="C7" s="89">
        <v>1000</v>
      </c>
      <c r="D7" s="94">
        <f t="shared" si="0"/>
        <v>1000</v>
      </c>
    </row>
    <row r="8" spans="1:5" x14ac:dyDescent="0.25">
      <c r="A8" t="s">
        <v>271</v>
      </c>
      <c r="B8" t="s">
        <v>601</v>
      </c>
      <c r="C8" s="89">
        <v>740</v>
      </c>
      <c r="D8" s="89">
        <f>E8</f>
        <v>870.58823529411768</v>
      </c>
      <c r="E8" s="89">
        <f>E11/E16</f>
        <v>870.58823529411768</v>
      </c>
    </row>
    <row r="9" spans="1:5" x14ac:dyDescent="0.25">
      <c r="A9" t="s">
        <v>271</v>
      </c>
      <c r="B9" t="s">
        <v>600</v>
      </c>
      <c r="C9" s="89">
        <f>C5*C8/(C7)</f>
        <v>6.1161000000000003</v>
      </c>
      <c r="D9" s="89">
        <f>D5*D8/(D7)</f>
        <v>7.1954117647058826</v>
      </c>
      <c r="E9" s="89">
        <f>D9</f>
        <v>7.1954117647058826</v>
      </c>
    </row>
    <row r="10" spans="1:5" x14ac:dyDescent="0.25">
      <c r="A10" t="s">
        <v>271</v>
      </c>
      <c r="B10" t="s">
        <v>372</v>
      </c>
      <c r="C10" s="89">
        <f>C9*24*365*10^-3</f>
        <v>53.577036000000007</v>
      </c>
      <c r="D10" s="89">
        <f t="shared" ref="D10:E10" si="1">D9*24*365*10^-3</f>
        <v>63.031807058823539</v>
      </c>
      <c r="E10" s="89">
        <f t="shared" si="1"/>
        <v>63.031807058823539</v>
      </c>
    </row>
    <row r="11" spans="1:5" x14ac:dyDescent="0.25">
      <c r="A11" t="s">
        <v>602</v>
      </c>
      <c r="B11" t="s">
        <v>601</v>
      </c>
      <c r="C11" s="89"/>
      <c r="D11" s="151"/>
      <c r="E11" s="89">
        <v>740</v>
      </c>
    </row>
    <row r="12" spans="1:5" x14ac:dyDescent="0.25">
      <c r="A12" t="s">
        <v>602</v>
      </c>
      <c r="B12" t="s">
        <v>600</v>
      </c>
      <c r="C12" s="89"/>
      <c r="D12" s="151"/>
      <c r="E12" s="89">
        <f>E11*E9/E8</f>
        <v>6.1161000000000003</v>
      </c>
    </row>
    <row r="13" spans="1:5" x14ac:dyDescent="0.25">
      <c r="A13" t="s">
        <v>602</v>
      </c>
      <c r="B13" t="s">
        <v>372</v>
      </c>
      <c r="C13" s="89"/>
      <c r="D13" s="151"/>
      <c r="E13" s="89">
        <f>E12*24*365*10^-3</f>
        <v>53.577036000000007</v>
      </c>
    </row>
    <row r="14" spans="1:5" x14ac:dyDescent="0.25">
      <c r="A14" t="s">
        <v>603</v>
      </c>
      <c r="B14" t="s">
        <v>601</v>
      </c>
      <c r="C14" s="89">
        <v>31.5</v>
      </c>
    </row>
    <row r="15" spans="1:5" x14ac:dyDescent="0.25">
      <c r="A15" t="s">
        <v>604</v>
      </c>
      <c r="B15" t="s">
        <v>601</v>
      </c>
      <c r="C15" s="89">
        <v>90.1</v>
      </c>
    </row>
    <row r="16" spans="1:5" x14ac:dyDescent="0.25">
      <c r="A16" t="s">
        <v>605</v>
      </c>
      <c r="B16" t="s">
        <v>361</v>
      </c>
      <c r="C16" s="89"/>
      <c r="E16">
        <v>0.85</v>
      </c>
    </row>
    <row r="17" spans="1:5" x14ac:dyDescent="0.25">
      <c r="A17" s="146" t="s">
        <v>606</v>
      </c>
      <c r="B17" t="s">
        <v>607</v>
      </c>
      <c r="C17" s="89">
        <f>2.168*10^6</f>
        <v>2168000</v>
      </c>
      <c r="D17" s="94"/>
    </row>
    <row r="18" spans="1:5" x14ac:dyDescent="0.25">
      <c r="A18" s="146" t="s">
        <v>606</v>
      </c>
      <c r="B18" t="s">
        <v>608</v>
      </c>
      <c r="C18" s="89">
        <f>C17*C7/10^3</f>
        <v>2168000</v>
      </c>
      <c r="D18" s="94">
        <f>SUM(D20:D25)</f>
        <v>1604320</v>
      </c>
      <c r="E18" s="94">
        <f>SUM(E20:E25)</f>
        <v>563680</v>
      </c>
    </row>
    <row r="19" spans="1:5" x14ac:dyDescent="0.25">
      <c r="A19" s="146" t="s">
        <v>606</v>
      </c>
      <c r="B19" t="s">
        <v>609</v>
      </c>
      <c r="C19" s="89">
        <f>C17/C10</f>
        <v>40465.097770619483</v>
      </c>
      <c r="D19" s="94">
        <f>D18/D10</f>
        <v>25452.546497719653</v>
      </c>
      <c r="E19" s="89">
        <f>E18/E13</f>
        <v>10520.925420361065</v>
      </c>
    </row>
    <row r="20" spans="1:5" x14ac:dyDescent="0.25">
      <c r="A20" s="147" t="s">
        <v>610</v>
      </c>
      <c r="B20" t="s">
        <v>611</v>
      </c>
      <c r="C20" s="148">
        <v>7.0000000000000007E-2</v>
      </c>
      <c r="D20" s="94">
        <f>C20*C$18</f>
        <v>151760</v>
      </c>
      <c r="E20" s="89"/>
    </row>
    <row r="21" spans="1:5" x14ac:dyDescent="0.25">
      <c r="A21" s="147" t="s">
        <v>612</v>
      </c>
      <c r="B21" t="s">
        <v>611</v>
      </c>
      <c r="C21" s="148">
        <v>0.04</v>
      </c>
      <c r="D21" s="94">
        <f t="shared" ref="D21:D25" si="2">C21*C$18</f>
        <v>86720</v>
      </c>
      <c r="E21" s="89"/>
    </row>
    <row r="22" spans="1:5" x14ac:dyDescent="0.25">
      <c r="A22" s="147" t="s">
        <v>613</v>
      </c>
      <c r="B22" t="s">
        <v>611</v>
      </c>
      <c r="C22" s="148">
        <v>0.48</v>
      </c>
      <c r="D22" s="94">
        <f t="shared" si="2"/>
        <v>1040640</v>
      </c>
      <c r="E22" s="89"/>
    </row>
    <row r="23" spans="1:5" x14ac:dyDescent="0.25">
      <c r="A23" s="147" t="s">
        <v>614</v>
      </c>
      <c r="B23" t="s">
        <v>611</v>
      </c>
      <c r="C23" s="148">
        <v>0.26</v>
      </c>
      <c r="E23" s="94">
        <f>C23*C$18</f>
        <v>563680</v>
      </c>
    </row>
    <row r="24" spans="1:5" x14ac:dyDescent="0.25">
      <c r="A24" s="147" t="s">
        <v>615</v>
      </c>
      <c r="B24" t="s">
        <v>611</v>
      </c>
      <c r="C24" s="148">
        <v>0.03</v>
      </c>
      <c r="D24" s="94">
        <f t="shared" si="2"/>
        <v>65040</v>
      </c>
      <c r="E24" s="89"/>
    </row>
    <row r="25" spans="1:5" x14ac:dyDescent="0.25">
      <c r="A25" s="147" t="s">
        <v>616</v>
      </c>
      <c r="B25" t="s">
        <v>611</v>
      </c>
      <c r="C25" s="148">
        <v>0.12</v>
      </c>
      <c r="D25" s="94">
        <f t="shared" si="2"/>
        <v>260160</v>
      </c>
      <c r="E25" s="89"/>
    </row>
    <row r="26" spans="1:5" x14ac:dyDescent="0.25">
      <c r="A26" s="146" t="s">
        <v>617</v>
      </c>
      <c r="B26" t="s">
        <v>611</v>
      </c>
      <c r="C26" s="148">
        <v>5.5E-2</v>
      </c>
      <c r="D26" s="148">
        <f>C26</f>
        <v>5.5E-2</v>
      </c>
      <c r="E26" s="141">
        <f>D26</f>
        <v>5.5E-2</v>
      </c>
    </row>
    <row r="27" spans="1:5" x14ac:dyDescent="0.25">
      <c r="A27" s="146" t="s">
        <v>617</v>
      </c>
      <c r="B27" t="s">
        <v>608</v>
      </c>
      <c r="C27" s="89">
        <f>C18*C26</f>
        <v>119240</v>
      </c>
      <c r="D27" s="94">
        <f>D18*D26</f>
        <v>88237.6</v>
      </c>
      <c r="E27" s="94">
        <f>E18*E26</f>
        <v>31002.400000000001</v>
      </c>
    </row>
    <row r="28" spans="1:5" x14ac:dyDescent="0.25">
      <c r="A28" s="147" t="s">
        <v>618</v>
      </c>
      <c r="B28" t="s">
        <v>619</v>
      </c>
      <c r="C28" s="141">
        <v>0.09</v>
      </c>
      <c r="D28" s="149">
        <f>C28/SUM($C$28,$C$29,$C$30,$C$32,$C$33)</f>
        <v>0.23076923076923075</v>
      </c>
      <c r="E28" s="141">
        <f>D28</f>
        <v>0.23076923076923075</v>
      </c>
    </row>
    <row r="29" spans="1:5" x14ac:dyDescent="0.25">
      <c r="A29" s="147" t="s">
        <v>376</v>
      </c>
      <c r="B29" t="s">
        <v>619</v>
      </c>
      <c r="C29" s="141">
        <v>0.08</v>
      </c>
      <c r="D29" s="149">
        <f>C29/SUM($C$28,$C$29,$C$30,$C$32,$C$33)</f>
        <v>0.20512820512820512</v>
      </c>
      <c r="E29" s="141">
        <f t="shared" ref="E29:E33" si="3">D29</f>
        <v>0.20512820512820512</v>
      </c>
    </row>
    <row r="30" spans="1:5" x14ac:dyDescent="0.25">
      <c r="A30" s="147" t="s">
        <v>620</v>
      </c>
      <c r="B30" t="s">
        <v>619</v>
      </c>
      <c r="C30" s="141">
        <v>0.17</v>
      </c>
      <c r="D30" s="149">
        <f>C30/SUM($C$28,$C$29,$C$30,$C$32,$C$33)</f>
        <v>0.4358974358974359</v>
      </c>
      <c r="E30" s="141">
        <f t="shared" si="3"/>
        <v>0.4358974358974359</v>
      </c>
    </row>
    <row r="31" spans="1:5" x14ac:dyDescent="0.25">
      <c r="A31" s="147" t="s">
        <v>621</v>
      </c>
      <c r="B31" t="s">
        <v>619</v>
      </c>
      <c r="C31" s="141">
        <v>0.61</v>
      </c>
      <c r="D31" s="149"/>
      <c r="E31" s="141"/>
    </row>
    <row r="32" spans="1:5" x14ac:dyDescent="0.25">
      <c r="A32" s="147" t="s">
        <v>622</v>
      </c>
      <c r="B32" t="s">
        <v>619</v>
      </c>
      <c r="C32" s="141">
        <v>0.03</v>
      </c>
      <c r="D32" s="149">
        <f>C32/SUM($C$28,$C$29,$C$30,$C$32,$C$33)</f>
        <v>7.6923076923076913E-2</v>
      </c>
      <c r="E32" s="141">
        <f t="shared" si="3"/>
        <v>7.6923076923076913E-2</v>
      </c>
    </row>
    <row r="33" spans="1:5" x14ac:dyDescent="0.25">
      <c r="A33" s="147" t="s">
        <v>623</v>
      </c>
      <c r="B33" t="s">
        <v>619</v>
      </c>
      <c r="C33" s="141">
        <v>0.02</v>
      </c>
      <c r="D33" s="149">
        <f>C33/SUM($C$28,$C$29,$C$30,$C$32,$C$33)</f>
        <v>5.128205128205128E-2</v>
      </c>
      <c r="E33" s="141">
        <f t="shared" si="3"/>
        <v>5.128205128205128E-2</v>
      </c>
    </row>
    <row r="34" spans="1:5" x14ac:dyDescent="0.25">
      <c r="D34" s="14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4938-B021-41F4-905E-FC9FE2E75400}">
  <sheetPr>
    <tabColor theme="5" tint="0.39997558519241921"/>
  </sheetPr>
  <dimension ref="A1:F31"/>
  <sheetViews>
    <sheetView workbookViewId="0">
      <selection activeCell="D29" sqref="D29"/>
    </sheetView>
  </sheetViews>
  <sheetFormatPr defaultRowHeight="15" x14ac:dyDescent="0.25"/>
  <cols>
    <col min="1" max="1" width="38.42578125" bestFit="1" customWidth="1"/>
    <col min="2" max="2" width="18.85546875" bestFit="1" customWidth="1"/>
    <col min="3" max="3" width="16.85546875" bestFit="1" customWidth="1"/>
    <col min="4" max="4" width="15.28515625" bestFit="1" customWidth="1"/>
    <col min="6" max="6" width="13.28515625" bestFit="1" customWidth="1"/>
  </cols>
  <sheetData>
    <row r="1" spans="1:6" x14ac:dyDescent="0.25">
      <c r="C1" t="s">
        <v>624</v>
      </c>
      <c r="D1" t="s">
        <v>625</v>
      </c>
    </row>
    <row r="2" spans="1:6" x14ac:dyDescent="0.25">
      <c r="C2" t="s">
        <v>626</v>
      </c>
      <c r="D2" t="s">
        <v>626</v>
      </c>
    </row>
    <row r="3" spans="1:6" x14ac:dyDescent="0.25">
      <c r="A3" t="s">
        <v>373</v>
      </c>
      <c r="B3" t="s">
        <v>348</v>
      </c>
      <c r="C3">
        <v>20</v>
      </c>
      <c r="D3">
        <v>20</v>
      </c>
    </row>
    <row r="4" spans="1:6" x14ac:dyDescent="0.25">
      <c r="A4" t="s">
        <v>599</v>
      </c>
      <c r="B4" t="s">
        <v>570</v>
      </c>
      <c r="C4">
        <v>2000</v>
      </c>
      <c r="D4">
        <v>2000</v>
      </c>
      <c r="F4" s="89"/>
    </row>
    <row r="5" spans="1:6" x14ac:dyDescent="0.25">
      <c r="A5" s="152" t="s">
        <v>599</v>
      </c>
      <c r="B5" s="152" t="s">
        <v>369</v>
      </c>
      <c r="C5" s="152">
        <f>C4*365*10^-3</f>
        <v>730</v>
      </c>
      <c r="D5" s="152">
        <f>D4*365*10^-3</f>
        <v>730</v>
      </c>
      <c r="F5" s="89"/>
    </row>
    <row r="6" spans="1:6" x14ac:dyDescent="0.25">
      <c r="A6" t="s">
        <v>599</v>
      </c>
      <c r="B6" t="s">
        <v>600</v>
      </c>
      <c r="C6">
        <v>1627</v>
      </c>
      <c r="D6">
        <v>1627</v>
      </c>
    </row>
    <row r="7" spans="1:6" x14ac:dyDescent="0.25">
      <c r="A7" s="152" t="s">
        <v>599</v>
      </c>
      <c r="B7" s="152" t="s">
        <v>372</v>
      </c>
      <c r="C7" s="153">
        <f>C4*365*10^-3*'Key input_Biomass'!$C$6</f>
        <v>13870</v>
      </c>
      <c r="D7" s="153">
        <f>D4*365*10^-3*'Key input_Biomass'!$C$6</f>
        <v>13870</v>
      </c>
    </row>
    <row r="8" spans="1:6" x14ac:dyDescent="0.25">
      <c r="A8" t="s">
        <v>627</v>
      </c>
      <c r="B8" t="s">
        <v>628</v>
      </c>
      <c r="C8">
        <v>18560</v>
      </c>
      <c r="D8">
        <v>30240</v>
      </c>
    </row>
    <row r="9" spans="1:6" x14ac:dyDescent="0.25">
      <c r="A9" t="s">
        <v>627</v>
      </c>
      <c r="B9" t="s">
        <v>629</v>
      </c>
      <c r="C9">
        <v>0.22</v>
      </c>
      <c r="D9">
        <v>0.36</v>
      </c>
    </row>
    <row r="10" spans="1:6" x14ac:dyDescent="0.25">
      <c r="A10" t="s">
        <v>627</v>
      </c>
      <c r="B10" t="s">
        <v>600</v>
      </c>
      <c r="C10">
        <v>714</v>
      </c>
      <c r="D10">
        <v>1163</v>
      </c>
    </row>
    <row r="11" spans="1:6" x14ac:dyDescent="0.25">
      <c r="A11" s="152" t="s">
        <v>627</v>
      </c>
      <c r="B11" s="152" t="s">
        <v>372</v>
      </c>
      <c r="C11" s="153">
        <f>C10*24*365*10^-3</f>
        <v>6254.64</v>
      </c>
      <c r="D11" s="153">
        <f>D10*24*365*10^-3</f>
        <v>10187.880000000001</v>
      </c>
    </row>
    <row r="12" spans="1:6" x14ac:dyDescent="0.25">
      <c r="A12" s="152" t="s">
        <v>419</v>
      </c>
      <c r="B12" s="152" t="s">
        <v>630</v>
      </c>
      <c r="C12" s="152">
        <f>(41.3+0.8)/((41.3+0.8+39.6))</f>
        <v>0.51529987760097917</v>
      </c>
      <c r="D12" s="152">
        <f>(41.3+0.8)/((41.3+0.8+39.6))</f>
        <v>0.51529987760097917</v>
      </c>
    </row>
    <row r="13" spans="1:6" x14ac:dyDescent="0.25">
      <c r="A13" s="152" t="s">
        <v>419</v>
      </c>
      <c r="B13" s="152" t="s">
        <v>372</v>
      </c>
      <c r="C13" s="154">
        <f>C11*C12</f>
        <v>3223.0152264381886</v>
      </c>
      <c r="D13" s="154">
        <f>D11*D12</f>
        <v>5249.8133170134643</v>
      </c>
    </row>
    <row r="14" spans="1:6" x14ac:dyDescent="0.25">
      <c r="A14" s="152" t="s">
        <v>427</v>
      </c>
      <c r="B14" s="152" t="s">
        <v>630</v>
      </c>
      <c r="C14" s="152">
        <f>(39.6)/((41.3+0.8+39.6))</f>
        <v>0.48470012239902088</v>
      </c>
      <c r="D14" s="152">
        <f>(39.6)/((41.3+0.8+39.6))</f>
        <v>0.48470012239902088</v>
      </c>
    </row>
    <row r="15" spans="1:6" x14ac:dyDescent="0.25">
      <c r="A15" s="152" t="s">
        <v>427</v>
      </c>
      <c r="B15" s="152" t="s">
        <v>372</v>
      </c>
      <c r="C15" s="154">
        <f>C11*C14</f>
        <v>3031.6247735618122</v>
      </c>
      <c r="D15" s="154">
        <f>D11*D14</f>
        <v>4938.0666829865377</v>
      </c>
    </row>
    <row r="16" spans="1:6" x14ac:dyDescent="0.25">
      <c r="A16" t="s">
        <v>631</v>
      </c>
      <c r="B16" t="s">
        <v>628</v>
      </c>
      <c r="C16">
        <v>3358</v>
      </c>
    </row>
    <row r="17" spans="1:6" x14ac:dyDescent="0.25">
      <c r="A17" t="s">
        <v>631</v>
      </c>
      <c r="B17" t="s">
        <v>629</v>
      </c>
      <c r="C17">
        <v>0.04</v>
      </c>
    </row>
    <row r="18" spans="1:6" x14ac:dyDescent="0.25">
      <c r="A18" t="s">
        <v>631</v>
      </c>
      <c r="B18" t="s">
        <v>600</v>
      </c>
      <c r="C18">
        <v>162.30000000000001</v>
      </c>
    </row>
    <row r="19" spans="1:6" x14ac:dyDescent="0.25">
      <c r="A19" t="s">
        <v>428</v>
      </c>
      <c r="B19" t="s">
        <v>632</v>
      </c>
      <c r="C19">
        <v>4.1000000000000002E-2</v>
      </c>
      <c r="D19">
        <f>0.038+0.006</f>
        <v>4.3999999999999997E-2</v>
      </c>
    </row>
    <row r="20" spans="1:6" x14ac:dyDescent="0.25">
      <c r="A20" t="s">
        <v>428</v>
      </c>
      <c r="B20" t="s">
        <v>633</v>
      </c>
      <c r="C20" s="94">
        <f>C24*C19</f>
        <v>8799420</v>
      </c>
      <c r="D20" s="94">
        <f>D24*D19</f>
        <v>13008600</v>
      </c>
    </row>
    <row r="21" spans="1:6" x14ac:dyDescent="0.25">
      <c r="A21" s="152" t="s">
        <v>428</v>
      </c>
      <c r="B21" s="152" t="s">
        <v>372</v>
      </c>
      <c r="C21" s="154">
        <f>C20*10^-6*Legend!$B$51</f>
        <v>1231.9187999999999</v>
      </c>
      <c r="D21" s="154">
        <f>D20*10^-6*Legend!$B$51</f>
        <v>1821.204</v>
      </c>
    </row>
    <row r="22" spans="1:6" x14ac:dyDescent="0.25">
      <c r="A22" t="s">
        <v>634</v>
      </c>
      <c r="B22" t="s">
        <v>635</v>
      </c>
      <c r="C22">
        <v>35</v>
      </c>
      <c r="D22">
        <v>35</v>
      </c>
    </row>
    <row r="23" spans="1:6" x14ac:dyDescent="0.25">
      <c r="A23" t="s">
        <v>636</v>
      </c>
      <c r="B23" t="s">
        <v>637</v>
      </c>
      <c r="C23">
        <v>29.4</v>
      </c>
      <c r="D23">
        <v>40.5</v>
      </c>
    </row>
    <row r="24" spans="1:6" x14ac:dyDescent="0.25">
      <c r="A24" t="s">
        <v>636</v>
      </c>
      <c r="B24" t="s">
        <v>633</v>
      </c>
      <c r="C24" s="89">
        <f>C23*(C4*365*10^3)/100</f>
        <v>214620000</v>
      </c>
      <c r="D24" s="89">
        <f>D23*(D4*365*10^3)/100</f>
        <v>295650000</v>
      </c>
      <c r="F24" s="89"/>
    </row>
    <row r="25" spans="1:6" x14ac:dyDescent="0.25">
      <c r="A25" t="s">
        <v>638</v>
      </c>
      <c r="B25" t="s">
        <v>639</v>
      </c>
      <c r="C25">
        <v>165</v>
      </c>
      <c r="D25">
        <v>1420</v>
      </c>
    </row>
    <row r="26" spans="1:6" x14ac:dyDescent="0.25">
      <c r="A26" t="s">
        <v>638</v>
      </c>
      <c r="B26" t="s">
        <v>600</v>
      </c>
      <c r="C26">
        <v>9.1999999999999993</v>
      </c>
      <c r="D26">
        <v>79.400000000000006</v>
      </c>
    </row>
    <row r="27" spans="1:6" x14ac:dyDescent="0.25">
      <c r="A27" t="s">
        <v>640</v>
      </c>
      <c r="B27" t="s">
        <v>641</v>
      </c>
      <c r="C27">
        <v>0.71</v>
      </c>
      <c r="D27">
        <v>0.52</v>
      </c>
    </row>
    <row r="28" spans="1:6" x14ac:dyDescent="0.25">
      <c r="A28" s="152" t="s">
        <v>640</v>
      </c>
      <c r="B28" s="152" t="s">
        <v>372</v>
      </c>
      <c r="C28" s="152">
        <f>C27*C8*24*365*Legend!$B$67*10^-3</f>
        <v>415.56879359999999</v>
      </c>
      <c r="D28" s="152">
        <f>D27*D8*24*365*Legend!$B$67*10^-3</f>
        <v>495.89729280000006</v>
      </c>
    </row>
    <row r="29" spans="1:6" x14ac:dyDescent="0.25">
      <c r="A29" s="152" t="s">
        <v>440</v>
      </c>
      <c r="B29" s="152" t="s">
        <v>642</v>
      </c>
      <c r="C29" s="152">
        <v>512</v>
      </c>
      <c r="D29" s="152">
        <v>468</v>
      </c>
    </row>
    <row r="30" spans="1:6" x14ac:dyDescent="0.25">
      <c r="A30" s="152" t="s">
        <v>390</v>
      </c>
      <c r="B30" s="152" t="s">
        <v>643</v>
      </c>
      <c r="C30" s="152">
        <v>23.9</v>
      </c>
      <c r="D30" s="152">
        <v>22.2</v>
      </c>
    </row>
    <row r="31" spans="1:6" x14ac:dyDescent="0.25">
      <c r="A31" s="152" t="s">
        <v>413</v>
      </c>
      <c r="B31" s="152" t="s">
        <v>643</v>
      </c>
      <c r="C31" s="152">
        <f>5.48+25</f>
        <v>30.48</v>
      </c>
      <c r="D31" s="152">
        <f>5.57+13.8</f>
        <v>19.37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7843-CC4F-462E-AAD4-31326B01DC9E}">
  <sheetPr>
    <tabColor theme="9" tint="0.39997558519241921"/>
  </sheetPr>
  <dimension ref="B1:M40"/>
  <sheetViews>
    <sheetView workbookViewId="0">
      <selection activeCell="D29" sqref="D29"/>
    </sheetView>
  </sheetViews>
  <sheetFormatPr defaultRowHeight="15" x14ac:dyDescent="0.25"/>
  <cols>
    <col min="2" max="2" width="40.5703125" bestFit="1" customWidth="1"/>
    <col min="3" max="3" width="15.140625" bestFit="1" customWidth="1"/>
    <col min="4" max="4" width="31.28515625" bestFit="1" customWidth="1"/>
    <col min="5" max="5" width="4.85546875" bestFit="1" customWidth="1"/>
    <col min="6" max="6" width="8.42578125" bestFit="1" customWidth="1"/>
    <col min="7" max="7" width="6.5703125" bestFit="1" customWidth="1"/>
    <col min="8" max="8" width="7.28515625" bestFit="1" customWidth="1"/>
    <col min="9" max="9" width="6.140625" bestFit="1" customWidth="1"/>
  </cols>
  <sheetData>
    <row r="1" spans="2:13" s="68" customFormat="1" ht="26.25" x14ac:dyDescent="0.25">
      <c r="B1" s="67" t="s">
        <v>238</v>
      </c>
    </row>
    <row r="2" spans="2:13" s="68" customFormat="1" x14ac:dyDescent="0.25"/>
    <row r="3" spans="2:13" s="68" customFormat="1" x14ac:dyDescent="0.25">
      <c r="B3" s="69"/>
      <c r="C3" s="70"/>
      <c r="D3" s="70"/>
      <c r="E3" s="70"/>
      <c r="F3" s="70"/>
      <c r="G3" s="70"/>
      <c r="H3" s="70"/>
      <c r="I3" s="70"/>
    </row>
    <row r="4" spans="2:13" s="68" customFormat="1" ht="15.75" thickBot="1" x14ac:dyDescent="0.3">
      <c r="B4" s="71" t="s">
        <v>239</v>
      </c>
      <c r="C4" s="53" t="s">
        <v>240</v>
      </c>
      <c r="D4" s="53" t="s">
        <v>241</v>
      </c>
      <c r="E4" s="53" t="s">
        <v>242</v>
      </c>
      <c r="F4" s="53" t="s">
        <v>243</v>
      </c>
      <c r="G4" s="53" t="s">
        <v>244</v>
      </c>
      <c r="H4" s="53" t="s">
        <v>245</v>
      </c>
      <c r="I4" s="53" t="s">
        <v>246</v>
      </c>
    </row>
    <row r="5" spans="2:13" s="68" customFormat="1" x14ac:dyDescent="0.25">
      <c r="B5" s="72" t="s">
        <v>247</v>
      </c>
      <c r="C5" s="73" t="s">
        <v>248</v>
      </c>
      <c r="D5" s="74" t="s">
        <v>23</v>
      </c>
      <c r="E5" s="74"/>
      <c r="F5" s="74"/>
      <c r="G5" s="74"/>
      <c r="H5" s="74"/>
      <c r="I5" s="74"/>
      <c r="J5" s="75"/>
    </row>
    <row r="6" spans="2:13" x14ac:dyDescent="0.25">
      <c r="B6" s="76" t="s">
        <v>249</v>
      </c>
      <c r="E6" s="77"/>
    </row>
    <row r="7" spans="2:13" x14ac:dyDescent="0.25">
      <c r="B7" s="77" t="s">
        <v>250</v>
      </c>
      <c r="C7" t="s">
        <v>251</v>
      </c>
      <c r="D7" t="s">
        <v>252</v>
      </c>
      <c r="E7" s="77" t="s">
        <v>45</v>
      </c>
    </row>
    <row r="8" spans="2:13" x14ac:dyDescent="0.25">
      <c r="B8" s="77" t="s">
        <v>250</v>
      </c>
      <c r="C8" t="s">
        <v>253</v>
      </c>
      <c r="D8" t="s">
        <v>254</v>
      </c>
      <c r="E8" s="77" t="s">
        <v>45</v>
      </c>
    </row>
    <row r="9" spans="2:13" x14ac:dyDescent="0.25">
      <c r="B9" s="77" t="s">
        <v>250</v>
      </c>
      <c r="C9" t="s">
        <v>255</v>
      </c>
      <c r="D9" t="s">
        <v>256</v>
      </c>
      <c r="E9" s="77" t="s">
        <v>45</v>
      </c>
    </row>
    <row r="10" spans="2:13" x14ac:dyDescent="0.25">
      <c r="B10" s="77" t="s">
        <v>250</v>
      </c>
      <c r="C10" t="s">
        <v>257</v>
      </c>
      <c r="D10" t="s">
        <v>258</v>
      </c>
      <c r="E10" s="77" t="s">
        <v>45</v>
      </c>
    </row>
    <row r="11" spans="2:13" x14ac:dyDescent="0.25">
      <c r="B11" s="77" t="s">
        <v>250</v>
      </c>
      <c r="C11" t="s">
        <v>259</v>
      </c>
      <c r="D11" t="s">
        <v>260</v>
      </c>
      <c r="E11" s="77" t="s">
        <v>45</v>
      </c>
    </row>
    <row r="12" spans="2:13" x14ac:dyDescent="0.25">
      <c r="B12" s="76" t="s">
        <v>261</v>
      </c>
      <c r="E12" s="77"/>
      <c r="L12" s="68"/>
      <c r="M12" s="68"/>
    </row>
    <row r="13" spans="2:13" ht="15.75" x14ac:dyDescent="0.25">
      <c r="B13" s="77" t="s">
        <v>250</v>
      </c>
      <c r="C13" t="s">
        <v>262</v>
      </c>
      <c r="D13" s="120" t="s">
        <v>263</v>
      </c>
      <c r="E13" s="77" t="s">
        <v>45</v>
      </c>
      <c r="L13" s="68"/>
      <c r="M13" s="68"/>
    </row>
    <row r="14" spans="2:13" ht="15.75" x14ac:dyDescent="0.25">
      <c r="B14" s="77" t="s">
        <v>250</v>
      </c>
      <c r="C14" t="s">
        <v>264</v>
      </c>
      <c r="D14" s="120" t="s">
        <v>265</v>
      </c>
      <c r="E14" s="77" t="s">
        <v>45</v>
      </c>
    </row>
    <row r="15" spans="2:13" ht="15.75" x14ac:dyDescent="0.25">
      <c r="B15" s="77" t="s">
        <v>250</v>
      </c>
      <c r="C15" t="s">
        <v>266</v>
      </c>
      <c r="D15" s="120" t="s">
        <v>267</v>
      </c>
      <c r="E15" s="77" t="s">
        <v>45</v>
      </c>
    </row>
    <row r="16" spans="2:13" ht="15.75" x14ac:dyDescent="0.25">
      <c r="B16" s="77" t="s">
        <v>250</v>
      </c>
      <c r="C16" t="s">
        <v>268</v>
      </c>
      <c r="D16" s="120" t="s">
        <v>269</v>
      </c>
      <c r="E16" s="77" t="s">
        <v>45</v>
      </c>
    </row>
    <row r="17" spans="2:9" ht="15.75" x14ac:dyDescent="0.25">
      <c r="B17" s="77" t="s">
        <v>250</v>
      </c>
      <c r="C17" t="s">
        <v>270</v>
      </c>
      <c r="D17" s="120" t="s">
        <v>271</v>
      </c>
      <c r="E17" s="77" t="s">
        <v>45</v>
      </c>
    </row>
    <row r="18" spans="2:9" ht="15.75" x14ac:dyDescent="0.25">
      <c r="B18" s="77" t="s">
        <v>250</v>
      </c>
      <c r="C18" t="s">
        <v>272</v>
      </c>
      <c r="D18" s="120" t="s">
        <v>273</v>
      </c>
      <c r="E18" s="77" t="s">
        <v>45</v>
      </c>
    </row>
    <row r="19" spans="2:9" ht="15.75" x14ac:dyDescent="0.25">
      <c r="B19" s="77" t="s">
        <v>250</v>
      </c>
      <c r="C19" t="s">
        <v>274</v>
      </c>
      <c r="D19" s="120" t="s">
        <v>275</v>
      </c>
      <c r="E19" s="77" t="s">
        <v>45</v>
      </c>
    </row>
    <row r="20" spans="2:9" ht="15.75" x14ac:dyDescent="0.25">
      <c r="B20" s="77" t="s">
        <v>250</v>
      </c>
      <c r="C20" t="s">
        <v>276</v>
      </c>
      <c r="D20" s="120" t="s">
        <v>277</v>
      </c>
      <c r="E20" s="77" t="s">
        <v>45</v>
      </c>
    </row>
    <row r="21" spans="2:9" ht="15.75" x14ac:dyDescent="0.25">
      <c r="B21" s="77" t="s">
        <v>250</v>
      </c>
      <c r="C21" t="s">
        <v>278</v>
      </c>
      <c r="D21" s="120" t="s">
        <v>279</v>
      </c>
      <c r="E21" s="77" t="s">
        <v>45</v>
      </c>
    </row>
    <row r="22" spans="2:9" ht="15.75" x14ac:dyDescent="0.25">
      <c r="B22" s="77" t="s">
        <v>250</v>
      </c>
      <c r="C22" t="s">
        <v>280</v>
      </c>
      <c r="D22" s="120" t="s">
        <v>281</v>
      </c>
      <c r="E22" s="77" t="s">
        <v>45</v>
      </c>
    </row>
    <row r="23" spans="2:9" ht="15.75" x14ac:dyDescent="0.25">
      <c r="B23" s="77" t="s">
        <v>250</v>
      </c>
      <c r="C23" t="s">
        <v>282</v>
      </c>
      <c r="D23" s="120" t="s">
        <v>283</v>
      </c>
      <c r="E23" s="77" t="s">
        <v>45</v>
      </c>
    </row>
    <row r="24" spans="2:9" ht="15.75" x14ac:dyDescent="0.25">
      <c r="B24" s="77" t="s">
        <v>250</v>
      </c>
      <c r="C24" t="s">
        <v>284</v>
      </c>
      <c r="D24" s="120" t="s">
        <v>285</v>
      </c>
      <c r="E24" s="77" t="s">
        <v>45</v>
      </c>
    </row>
    <row r="25" spans="2:9" ht="15.75" x14ac:dyDescent="0.25">
      <c r="B25" s="128" t="s">
        <v>286</v>
      </c>
      <c r="C25" s="129" t="s">
        <v>287</v>
      </c>
      <c r="D25" s="129" t="s">
        <v>287</v>
      </c>
      <c r="E25" s="130" t="s">
        <v>287</v>
      </c>
      <c r="F25" s="129"/>
      <c r="G25" s="129"/>
      <c r="H25" s="129"/>
      <c r="I25" s="129"/>
    </row>
    <row r="26" spans="2:9" x14ac:dyDescent="0.25">
      <c r="B26" t="s">
        <v>250</v>
      </c>
      <c r="C26" t="s">
        <v>288</v>
      </c>
      <c r="D26" t="s">
        <v>289</v>
      </c>
      <c r="E26" s="77" t="s">
        <v>45</v>
      </c>
      <c r="G26" t="s">
        <v>290</v>
      </c>
      <c r="I26" t="s">
        <v>291</v>
      </c>
    </row>
    <row r="27" spans="2:9" x14ac:dyDescent="0.25">
      <c r="B27" t="s">
        <v>250</v>
      </c>
      <c r="C27" t="s">
        <v>292</v>
      </c>
      <c r="D27" t="s">
        <v>293</v>
      </c>
      <c r="E27" s="77" t="s">
        <v>45</v>
      </c>
    </row>
    <row r="28" spans="2:9" x14ac:dyDescent="0.25">
      <c r="B28" t="s">
        <v>250</v>
      </c>
      <c r="C28" t="s">
        <v>294</v>
      </c>
      <c r="D28" t="s">
        <v>295</v>
      </c>
      <c r="E28" s="77" t="s">
        <v>45</v>
      </c>
      <c r="G28" t="s">
        <v>290</v>
      </c>
      <c r="I28" t="s">
        <v>296</v>
      </c>
    </row>
    <row r="35" spans="2:7" x14ac:dyDescent="0.25">
      <c r="B35" t="s">
        <v>297</v>
      </c>
      <c r="C35" t="s">
        <v>298</v>
      </c>
      <c r="D35" t="s">
        <v>299</v>
      </c>
      <c r="E35" t="s">
        <v>300</v>
      </c>
    </row>
    <row r="36" spans="2:7" x14ac:dyDescent="0.25">
      <c r="B36" t="s">
        <v>297</v>
      </c>
      <c r="C36" t="s">
        <v>301</v>
      </c>
      <c r="D36" t="s">
        <v>302</v>
      </c>
      <c r="E36" t="s">
        <v>300</v>
      </c>
    </row>
    <row r="37" spans="2:7" x14ac:dyDescent="0.25">
      <c r="B37" t="s">
        <v>297</v>
      </c>
      <c r="C37" t="s">
        <v>303</v>
      </c>
      <c r="D37" t="s">
        <v>304</v>
      </c>
      <c r="E37" t="s">
        <v>300</v>
      </c>
    </row>
    <row r="38" spans="2:7" x14ac:dyDescent="0.25">
      <c r="B38" s="77" t="s">
        <v>297</v>
      </c>
      <c r="C38" s="77" t="s">
        <v>305</v>
      </c>
      <c r="D38" s="77" t="s">
        <v>306</v>
      </c>
      <c r="E38" s="77" t="s">
        <v>307</v>
      </c>
      <c r="F38" s="77"/>
      <c r="G38" s="77"/>
    </row>
    <row r="39" spans="2:7" x14ac:dyDescent="0.25">
      <c r="B39" s="77" t="s">
        <v>297</v>
      </c>
      <c r="C39" s="77" t="s">
        <v>308</v>
      </c>
      <c r="D39" s="77" t="s">
        <v>309</v>
      </c>
      <c r="E39" s="77" t="s">
        <v>307</v>
      </c>
      <c r="F39" s="77"/>
      <c r="G39" s="77"/>
    </row>
    <row r="40" spans="2:7" x14ac:dyDescent="0.25">
      <c r="B40" s="77" t="s">
        <v>297</v>
      </c>
      <c r="C40" s="77" t="s">
        <v>310</v>
      </c>
      <c r="D40" s="77" t="s">
        <v>311</v>
      </c>
      <c r="E40" s="77" t="s">
        <v>307</v>
      </c>
      <c r="F40" s="77" t="s">
        <v>287</v>
      </c>
      <c r="G40" s="77" t="s">
        <v>287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1F93-FE73-4B85-AA27-EC71C9CCF492}">
  <sheetPr>
    <tabColor theme="5" tint="0.39997558519241921"/>
  </sheetPr>
  <dimension ref="A1:D20"/>
  <sheetViews>
    <sheetView workbookViewId="0">
      <selection activeCell="D29" sqref="D29"/>
    </sheetView>
  </sheetViews>
  <sheetFormatPr defaultRowHeight="15" x14ac:dyDescent="0.25"/>
  <cols>
    <col min="1" max="1" width="18.140625" bestFit="1" customWidth="1"/>
    <col min="2" max="2" width="18.28515625" bestFit="1" customWidth="1"/>
    <col min="3" max="3" width="18" bestFit="1" customWidth="1"/>
    <col min="4" max="4" width="15.28515625" bestFit="1" customWidth="1"/>
    <col min="5" max="10" width="9.5703125" bestFit="1" customWidth="1"/>
  </cols>
  <sheetData>
    <row r="1" spans="1:4" ht="30" x14ac:dyDescent="0.25">
      <c r="C1" s="145" t="s">
        <v>644</v>
      </c>
    </row>
    <row r="2" spans="1:4" x14ac:dyDescent="0.25">
      <c r="A2" t="s">
        <v>373</v>
      </c>
      <c r="C2">
        <v>30</v>
      </c>
    </row>
    <row r="3" spans="1:4" x14ac:dyDescent="0.25">
      <c r="A3" t="s">
        <v>645</v>
      </c>
      <c r="B3" t="s">
        <v>361</v>
      </c>
      <c r="C3">
        <f>8410/8760</f>
        <v>0.96004566210045661</v>
      </c>
    </row>
    <row r="4" spans="1:4" x14ac:dyDescent="0.25">
      <c r="A4" t="s">
        <v>445</v>
      </c>
      <c r="B4" t="s">
        <v>570</v>
      </c>
      <c r="C4" s="155">
        <v>2000</v>
      </c>
      <c r="D4" s="94"/>
    </row>
    <row r="5" spans="1:4" x14ac:dyDescent="0.25">
      <c r="A5" s="152" t="s">
        <v>445</v>
      </c>
      <c r="B5" s="152" t="s">
        <v>646</v>
      </c>
      <c r="C5" s="153">
        <f>C4*365*10^-3</f>
        <v>730</v>
      </c>
      <c r="D5" s="155"/>
    </row>
    <row r="6" spans="1:4" x14ac:dyDescent="0.25">
      <c r="A6" t="s">
        <v>647</v>
      </c>
      <c r="B6" t="s">
        <v>648</v>
      </c>
      <c r="C6">
        <f>C7*10^6/(C5*10^3)</f>
        <v>226.87277051129607</v>
      </c>
      <c r="D6" s="155"/>
    </row>
    <row r="7" spans="1:4" x14ac:dyDescent="0.25">
      <c r="A7" s="152" t="s">
        <v>649</v>
      </c>
      <c r="B7" s="152" t="s">
        <v>650</v>
      </c>
      <c r="C7" s="154">
        <f>C9/C3</f>
        <v>165.61712247324613</v>
      </c>
      <c r="D7" s="155"/>
    </row>
    <row r="8" spans="1:4" x14ac:dyDescent="0.25">
      <c r="A8" s="152" t="s">
        <v>649</v>
      </c>
      <c r="B8" s="152" t="s">
        <v>372</v>
      </c>
      <c r="C8" s="154">
        <f>C7*10^6*Legend!B54*Legend!B41*10^-9</f>
        <v>13336.840481093934</v>
      </c>
      <c r="D8" s="155"/>
    </row>
    <row r="9" spans="1:4" x14ac:dyDescent="0.25">
      <c r="A9" t="s">
        <v>366</v>
      </c>
      <c r="B9" t="s">
        <v>650</v>
      </c>
      <c r="C9" s="155">
        <v>159</v>
      </c>
      <c r="D9" s="94"/>
    </row>
    <row r="10" spans="1:4" x14ac:dyDescent="0.25">
      <c r="A10" t="s">
        <v>366</v>
      </c>
      <c r="B10" t="s">
        <v>372</v>
      </c>
      <c r="C10" s="155">
        <f>C9*10^6*Legend!B54*Legend!B41*10^-9</f>
        <v>12803.975850000001</v>
      </c>
      <c r="D10" s="94"/>
    </row>
    <row r="11" spans="1:4" x14ac:dyDescent="0.25">
      <c r="A11" t="s">
        <v>651</v>
      </c>
      <c r="B11" t="s">
        <v>652</v>
      </c>
      <c r="C11" s="155">
        <v>8.36</v>
      </c>
    </row>
    <row r="12" spans="1:4" x14ac:dyDescent="0.25">
      <c r="A12" s="152" t="s">
        <v>651</v>
      </c>
      <c r="B12" s="152" t="s">
        <v>372</v>
      </c>
      <c r="C12" s="153">
        <f>C11*(C9*10^6)*Legend!B67*10^-3</f>
        <v>4785.2640000000001</v>
      </c>
    </row>
    <row r="13" spans="1:4" x14ac:dyDescent="0.25">
      <c r="A13" t="s">
        <v>653</v>
      </c>
      <c r="B13" t="s">
        <v>654</v>
      </c>
      <c r="C13" s="155">
        <v>8.68</v>
      </c>
    </row>
    <row r="14" spans="1:4" x14ac:dyDescent="0.25">
      <c r="A14" s="152" t="s">
        <v>653</v>
      </c>
      <c r="B14" s="152" t="s">
        <v>372</v>
      </c>
      <c r="C14" s="153">
        <f>C13*(C9*10^6)*Legend!B52*Legend!B41*10^-9</f>
        <v>1738.4957604000001</v>
      </c>
    </row>
    <row r="15" spans="1:4" x14ac:dyDescent="0.25">
      <c r="A15" t="s">
        <v>440</v>
      </c>
      <c r="B15" t="s">
        <v>655</v>
      </c>
      <c r="C15" s="155">
        <v>515840000</v>
      </c>
    </row>
    <row r="16" spans="1:4" x14ac:dyDescent="0.25">
      <c r="A16" t="s">
        <v>440</v>
      </c>
      <c r="B16" t="s">
        <v>656</v>
      </c>
      <c r="C16" s="155">
        <f>C15*10^-6/C8</f>
        <v>3.8677826336098536E-2</v>
      </c>
    </row>
    <row r="17" spans="1:3" x14ac:dyDescent="0.25">
      <c r="A17" t="s">
        <v>390</v>
      </c>
      <c r="B17" t="s">
        <v>655</v>
      </c>
      <c r="C17" s="155">
        <f>23240000</f>
        <v>23240000</v>
      </c>
    </row>
    <row r="18" spans="1:3" x14ac:dyDescent="0.25">
      <c r="A18" t="s">
        <v>390</v>
      </c>
      <c r="B18" t="s">
        <v>657</v>
      </c>
      <c r="C18" s="114">
        <f>C17*10^-6/C8</f>
        <v>1.742541648671933E-3</v>
      </c>
    </row>
    <row r="19" spans="1:3" x14ac:dyDescent="0.25">
      <c r="A19" t="s">
        <v>413</v>
      </c>
      <c r="B19" t="s">
        <v>655</v>
      </c>
      <c r="C19" s="155">
        <f>6380000+380000+520000</f>
        <v>7280000</v>
      </c>
    </row>
    <row r="20" spans="1:3" x14ac:dyDescent="0.25">
      <c r="A20" t="s">
        <v>390</v>
      </c>
      <c r="B20" t="s">
        <v>658</v>
      </c>
      <c r="C20" s="114">
        <f>C19*10^-6/C10</f>
        <v>5.6857339355259715E-4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F62DB-E219-40D8-97D0-E693D2CCA0E2}">
  <sheetPr>
    <tabColor theme="5" tint="0.39997558519241921"/>
  </sheetPr>
  <dimension ref="A1:G21"/>
  <sheetViews>
    <sheetView workbookViewId="0">
      <selection activeCell="D29" sqref="D29"/>
    </sheetView>
  </sheetViews>
  <sheetFormatPr defaultRowHeight="15" x14ac:dyDescent="0.25"/>
  <cols>
    <col min="1" max="1" width="30.140625" bestFit="1" customWidth="1"/>
    <col min="2" max="2" width="14.7109375" bestFit="1" customWidth="1"/>
    <col min="3" max="7" width="13.28515625" customWidth="1"/>
  </cols>
  <sheetData>
    <row r="1" spans="1:7" x14ac:dyDescent="0.25">
      <c r="C1" t="s">
        <v>659</v>
      </c>
      <c r="F1" t="s">
        <v>660</v>
      </c>
    </row>
    <row r="2" spans="1:7" x14ac:dyDescent="0.25">
      <c r="C2" t="s">
        <v>661</v>
      </c>
      <c r="D2" t="s">
        <v>662</v>
      </c>
      <c r="E2" t="s">
        <v>663</v>
      </c>
      <c r="F2" t="s">
        <v>664</v>
      </c>
      <c r="G2" t="s">
        <v>665</v>
      </c>
    </row>
    <row r="3" spans="1:7" ht="105" x14ac:dyDescent="0.25">
      <c r="C3" s="145" t="s">
        <v>666</v>
      </c>
      <c r="D3" s="145" t="s">
        <v>667</v>
      </c>
      <c r="E3" s="145" t="s">
        <v>668</v>
      </c>
      <c r="F3" s="145" t="s">
        <v>669</v>
      </c>
      <c r="G3" s="145" t="s">
        <v>670</v>
      </c>
    </row>
    <row r="4" spans="1:7" x14ac:dyDescent="0.25">
      <c r="A4" t="s">
        <v>373</v>
      </c>
      <c r="C4" s="145">
        <v>20</v>
      </c>
      <c r="D4" s="145">
        <v>20</v>
      </c>
      <c r="E4" s="145">
        <v>20</v>
      </c>
      <c r="F4" s="145">
        <v>20</v>
      </c>
      <c r="G4" s="145">
        <v>20</v>
      </c>
    </row>
    <row r="5" spans="1:7" x14ac:dyDescent="0.25">
      <c r="A5" s="146" t="s">
        <v>355</v>
      </c>
      <c r="C5" s="145"/>
      <c r="D5" s="145"/>
      <c r="E5" s="145"/>
      <c r="F5" s="145"/>
      <c r="G5" s="145"/>
    </row>
    <row r="6" spans="1:7" x14ac:dyDescent="0.25">
      <c r="A6" t="s">
        <v>671</v>
      </c>
      <c r="B6" t="s">
        <v>548</v>
      </c>
      <c r="C6">
        <v>77.88</v>
      </c>
      <c r="D6">
        <v>77.88</v>
      </c>
      <c r="E6">
        <v>77.88</v>
      </c>
    </row>
    <row r="7" spans="1:7" x14ac:dyDescent="0.25">
      <c r="A7" t="s">
        <v>672</v>
      </c>
      <c r="B7" t="s">
        <v>548</v>
      </c>
      <c r="F7">
        <v>14.87</v>
      </c>
      <c r="G7">
        <f>63.27+31.16</f>
        <v>94.43</v>
      </c>
    </row>
    <row r="8" spans="1:7" x14ac:dyDescent="0.25">
      <c r="B8" t="s">
        <v>673</v>
      </c>
    </row>
    <row r="9" spans="1:7" x14ac:dyDescent="0.25">
      <c r="A9" s="146" t="s">
        <v>674</v>
      </c>
    </row>
    <row r="10" spans="1:7" x14ac:dyDescent="0.25">
      <c r="A10" s="147" t="s">
        <v>675</v>
      </c>
      <c r="B10" s="147" t="s">
        <v>593</v>
      </c>
      <c r="C10" s="147">
        <v>145.58000000000001</v>
      </c>
      <c r="D10" s="147">
        <v>202.32</v>
      </c>
      <c r="E10" s="147">
        <v>109.09</v>
      </c>
      <c r="F10" s="147">
        <v>12.43</v>
      </c>
      <c r="G10" s="147">
        <v>156.47999999999999</v>
      </c>
    </row>
    <row r="11" spans="1:7" x14ac:dyDescent="0.25">
      <c r="A11" s="147" t="s">
        <v>676</v>
      </c>
      <c r="B11" s="147" t="s">
        <v>593</v>
      </c>
      <c r="C11" s="147">
        <v>88.75</v>
      </c>
      <c r="D11" s="147">
        <v>81.99</v>
      </c>
      <c r="E11" s="147">
        <v>39.33</v>
      </c>
      <c r="F11" s="147">
        <v>7.62</v>
      </c>
      <c r="G11" s="147">
        <v>72.92</v>
      </c>
    </row>
    <row r="12" spans="1:7" x14ac:dyDescent="0.25">
      <c r="A12" s="147" t="s">
        <v>603</v>
      </c>
      <c r="B12" s="147" t="s">
        <v>593</v>
      </c>
      <c r="C12" s="147">
        <v>23.79</v>
      </c>
      <c r="D12" s="147">
        <v>25.94</v>
      </c>
      <c r="E12" s="147">
        <v>42.11</v>
      </c>
      <c r="F12" s="147">
        <v>2.6</v>
      </c>
      <c r="G12" s="147">
        <v>15.46</v>
      </c>
    </row>
    <row r="13" spans="1:7" x14ac:dyDescent="0.25">
      <c r="A13" s="147" t="s">
        <v>677</v>
      </c>
      <c r="B13" s="147" t="s">
        <v>678</v>
      </c>
      <c r="C13" s="147">
        <v>12.1</v>
      </c>
      <c r="D13" s="147">
        <v>12.1</v>
      </c>
      <c r="E13" s="147">
        <v>23.2</v>
      </c>
      <c r="F13" s="147">
        <v>65.3</v>
      </c>
      <c r="G13" s="147">
        <v>12.1</v>
      </c>
    </row>
    <row r="14" spans="1:7" x14ac:dyDescent="0.25">
      <c r="A14" s="146" t="s">
        <v>679</v>
      </c>
    </row>
    <row r="15" spans="1:7" x14ac:dyDescent="0.25">
      <c r="A15" t="s">
        <v>267</v>
      </c>
      <c r="B15" t="s">
        <v>548</v>
      </c>
      <c r="C15">
        <v>7.93</v>
      </c>
      <c r="D15">
        <v>7.75</v>
      </c>
      <c r="E15">
        <v>7.94</v>
      </c>
      <c r="F15">
        <v>7.14</v>
      </c>
      <c r="G15">
        <v>7.76</v>
      </c>
    </row>
    <row r="16" spans="1:7" x14ac:dyDescent="0.25">
      <c r="A16" t="s">
        <v>419</v>
      </c>
      <c r="B16" t="s">
        <v>548</v>
      </c>
      <c r="C16">
        <v>2.39</v>
      </c>
      <c r="F16">
        <v>1.71</v>
      </c>
    </row>
    <row r="17" spans="1:7" x14ac:dyDescent="0.25">
      <c r="A17" t="s">
        <v>427</v>
      </c>
      <c r="B17" t="s">
        <v>548</v>
      </c>
      <c r="D17">
        <v>1.01</v>
      </c>
      <c r="E17">
        <v>1.04</v>
      </c>
      <c r="F17">
        <v>0.31</v>
      </c>
      <c r="G17">
        <v>1.01</v>
      </c>
    </row>
    <row r="18" spans="1:7" x14ac:dyDescent="0.25">
      <c r="A18" t="s">
        <v>603</v>
      </c>
      <c r="B18" t="s">
        <v>593</v>
      </c>
      <c r="C18">
        <v>12.5</v>
      </c>
      <c r="D18">
        <v>19.100000000000001</v>
      </c>
      <c r="G18">
        <v>52.6</v>
      </c>
    </row>
    <row r="19" spans="1:7" x14ac:dyDescent="0.25">
      <c r="A19" t="s">
        <v>440</v>
      </c>
      <c r="B19" t="s">
        <v>680</v>
      </c>
      <c r="C19">
        <v>623.9</v>
      </c>
      <c r="D19">
        <v>532.70000000000005</v>
      </c>
      <c r="E19">
        <v>452.5</v>
      </c>
      <c r="F19">
        <v>179.4</v>
      </c>
      <c r="G19">
        <v>358.3</v>
      </c>
    </row>
    <row r="20" spans="1:7" x14ac:dyDescent="0.25">
      <c r="A20" t="s">
        <v>390</v>
      </c>
      <c r="B20" t="s">
        <v>681</v>
      </c>
      <c r="C20">
        <v>27.85</v>
      </c>
      <c r="D20">
        <v>24.78</v>
      </c>
      <c r="E20">
        <v>22.09</v>
      </c>
      <c r="F20">
        <v>10.52</v>
      </c>
      <c r="G20">
        <v>18.920000000000002</v>
      </c>
    </row>
    <row r="21" spans="1:7" x14ac:dyDescent="0.25">
      <c r="A21" t="s">
        <v>413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9FB6-F809-4BE1-971F-552DB6B2C44B}">
  <dimension ref="A1:BP271"/>
  <sheetViews>
    <sheetView topLeftCell="AY1" workbookViewId="0">
      <selection activeCell="A257" sqref="A1:XFD1048576"/>
    </sheetView>
  </sheetViews>
  <sheetFormatPr defaultRowHeight="15" x14ac:dyDescent="0.25"/>
  <cols>
    <col min="1" max="1" width="47.7109375" bestFit="1" customWidth="1"/>
    <col min="2" max="2" width="27.7109375" bestFit="1" customWidth="1"/>
    <col min="3" max="3" width="30.7109375" bestFit="1" customWidth="1"/>
    <col min="4" max="4" width="13.42578125" bestFit="1" customWidth="1"/>
    <col min="5" max="54" width="11.7109375" bestFit="1" customWidth="1"/>
    <col min="55" max="55" width="4.85546875" bestFit="1" customWidth="1"/>
    <col min="56" max="68" width="11.7109375" bestFit="1" customWidth="1"/>
  </cols>
  <sheetData>
    <row r="1" spans="1:68" x14ac:dyDescent="0.25">
      <c r="A1" s="78" t="s">
        <v>682</v>
      </c>
      <c r="B1" s="78" t="s">
        <v>683</v>
      </c>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row>
    <row r="3" spans="1:68" x14ac:dyDescent="0.25">
      <c r="A3" s="78" t="s">
        <v>684</v>
      </c>
      <c r="B3" s="79">
        <v>45554</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row>
    <row r="5" spans="1:68" x14ac:dyDescent="0.25">
      <c r="A5" s="78" t="s">
        <v>685</v>
      </c>
      <c r="B5" s="78" t="s">
        <v>686</v>
      </c>
      <c r="C5" s="78" t="s">
        <v>687</v>
      </c>
      <c r="D5" s="78" t="s">
        <v>688</v>
      </c>
      <c r="E5" s="78">
        <v>1960</v>
      </c>
      <c r="F5" s="78">
        <v>1961</v>
      </c>
      <c r="G5" s="78">
        <v>1962</v>
      </c>
      <c r="H5" s="78">
        <v>1963</v>
      </c>
      <c r="I5" s="78">
        <v>1964</v>
      </c>
      <c r="J5" s="78">
        <v>1965</v>
      </c>
      <c r="K5" s="78">
        <v>1966</v>
      </c>
      <c r="L5" s="78">
        <v>1967</v>
      </c>
      <c r="M5" s="78">
        <v>1968</v>
      </c>
      <c r="N5" s="78">
        <v>1969</v>
      </c>
      <c r="O5" s="78">
        <v>1970</v>
      </c>
      <c r="P5" s="78">
        <v>1971</v>
      </c>
      <c r="Q5" s="78">
        <v>1972</v>
      </c>
      <c r="R5" s="78">
        <v>1973</v>
      </c>
      <c r="S5" s="78">
        <v>1974</v>
      </c>
      <c r="T5" s="78">
        <v>1975</v>
      </c>
      <c r="U5" s="78">
        <v>1976</v>
      </c>
      <c r="V5" s="78">
        <v>1977</v>
      </c>
      <c r="W5" s="78">
        <v>1978</v>
      </c>
      <c r="X5" s="78">
        <v>1979</v>
      </c>
      <c r="Y5" s="78">
        <v>1980</v>
      </c>
      <c r="Z5" s="78">
        <v>1981</v>
      </c>
      <c r="AA5" s="78">
        <v>1982</v>
      </c>
      <c r="AB5" s="78">
        <v>1983</v>
      </c>
      <c r="AC5" s="78">
        <v>1984</v>
      </c>
      <c r="AD5" s="78">
        <v>1985</v>
      </c>
      <c r="AE5" s="78">
        <v>1986</v>
      </c>
      <c r="AF5" s="78">
        <v>1987</v>
      </c>
      <c r="AG5" s="78">
        <v>1988</v>
      </c>
      <c r="AH5" s="78">
        <v>1989</v>
      </c>
      <c r="AI5" s="78">
        <v>1990</v>
      </c>
      <c r="AJ5" s="78">
        <v>1991</v>
      </c>
      <c r="AK5" s="78">
        <v>1992</v>
      </c>
      <c r="AL5" s="78">
        <v>1993</v>
      </c>
      <c r="AM5" s="78">
        <v>1994</v>
      </c>
      <c r="AN5" s="78">
        <v>1995</v>
      </c>
      <c r="AO5" s="78">
        <v>1996</v>
      </c>
      <c r="AP5" s="78">
        <v>1997</v>
      </c>
      <c r="AQ5" s="78">
        <v>1998</v>
      </c>
      <c r="AR5" s="78">
        <v>1999</v>
      </c>
      <c r="AS5" s="78">
        <v>2000</v>
      </c>
      <c r="AT5" s="78">
        <v>2001</v>
      </c>
      <c r="AU5" s="78">
        <v>2002</v>
      </c>
      <c r="AV5" s="78">
        <v>2003</v>
      </c>
      <c r="AW5" s="78">
        <v>2004</v>
      </c>
      <c r="AX5" s="78">
        <v>2005</v>
      </c>
      <c r="AY5" s="78">
        <v>2006</v>
      </c>
      <c r="AZ5" s="78">
        <v>2007</v>
      </c>
      <c r="BA5" s="78">
        <v>2008</v>
      </c>
      <c r="BB5" s="78">
        <v>2009</v>
      </c>
      <c r="BC5" s="78">
        <v>2010</v>
      </c>
      <c r="BD5" s="78">
        <v>2011</v>
      </c>
      <c r="BE5" s="78">
        <v>2012</v>
      </c>
      <c r="BF5" s="78">
        <v>2013</v>
      </c>
      <c r="BG5" s="78">
        <v>2014</v>
      </c>
      <c r="BH5" s="78">
        <v>2015</v>
      </c>
      <c r="BI5" s="78">
        <v>2016</v>
      </c>
      <c r="BJ5" s="78">
        <v>2017</v>
      </c>
      <c r="BK5" s="78">
        <v>2018</v>
      </c>
      <c r="BL5" s="78">
        <v>2019</v>
      </c>
      <c r="BM5" s="78">
        <v>2020</v>
      </c>
      <c r="BN5" s="78">
        <v>2021</v>
      </c>
      <c r="BO5" s="78">
        <v>2022</v>
      </c>
      <c r="BP5" s="78">
        <v>2023</v>
      </c>
    </row>
    <row r="6" spans="1:68" x14ac:dyDescent="0.25">
      <c r="A6" s="78" t="s">
        <v>689</v>
      </c>
      <c r="B6" s="78" t="s">
        <v>690</v>
      </c>
      <c r="C6" s="78" t="s">
        <v>691</v>
      </c>
      <c r="D6" s="78" t="s">
        <v>692</v>
      </c>
      <c r="E6" s="78"/>
      <c r="F6" s="78"/>
      <c r="G6" s="78"/>
      <c r="H6" s="78"/>
      <c r="I6" s="78"/>
      <c r="J6" s="78"/>
      <c r="K6" s="78"/>
      <c r="L6" s="78"/>
      <c r="M6" s="78"/>
      <c r="N6" s="78"/>
      <c r="O6" s="78"/>
      <c r="P6" s="78"/>
      <c r="Q6" s="78"/>
      <c r="R6" s="78"/>
      <c r="S6" s="78"/>
      <c r="T6" s="78"/>
      <c r="U6" s="78"/>
      <c r="V6" s="78"/>
      <c r="W6" s="78"/>
      <c r="X6" s="78"/>
      <c r="Y6" s="78">
        <v>31.982459138140499</v>
      </c>
      <c r="Z6" s="78"/>
      <c r="AA6" s="78"/>
      <c r="AB6" s="78"/>
      <c r="AC6" s="78">
        <v>39.857537016526898</v>
      </c>
      <c r="AD6" s="78">
        <v>41.464695763913099</v>
      </c>
      <c r="AE6" s="78">
        <v>41.910012667708102</v>
      </c>
      <c r="AF6" s="78">
        <v>43.436813480720502</v>
      </c>
      <c r="AG6" s="78">
        <v>44.792853676488001</v>
      </c>
      <c r="AH6" s="78">
        <v>46.580817786462902</v>
      </c>
      <c r="AI6" s="78">
        <v>49.299594672791898</v>
      </c>
      <c r="AJ6" s="78">
        <v>52.0384610435027</v>
      </c>
      <c r="AK6" s="78">
        <v>54.054105976470503</v>
      </c>
      <c r="AL6" s="78">
        <v>56.873330284708302</v>
      </c>
      <c r="AM6" s="78">
        <v>60.462651494245897</v>
      </c>
      <c r="AN6" s="78">
        <v>62.495037664198897</v>
      </c>
      <c r="AO6" s="78">
        <v>64.510682597166607</v>
      </c>
      <c r="AP6" s="78">
        <v>66.445969592607796</v>
      </c>
      <c r="AQ6" s="78">
        <v>67.688169376878903</v>
      </c>
      <c r="AR6" s="78">
        <v>69.231711426875606</v>
      </c>
      <c r="AS6" s="78">
        <v>72.031456591575207</v>
      </c>
      <c r="AT6" s="78">
        <v>74.108558773480596</v>
      </c>
      <c r="AU6" s="78">
        <v>76.565440386261301</v>
      </c>
      <c r="AV6" s="78">
        <v>79.3649524114212</v>
      </c>
      <c r="AW6" s="78">
        <v>81.3721948111763</v>
      </c>
      <c r="AX6" s="78">
        <v>84.137048487673297</v>
      </c>
      <c r="AY6" s="78">
        <v>87.172733716321801</v>
      </c>
      <c r="AZ6" s="78">
        <v>91.873582524102304</v>
      </c>
      <c r="BA6" s="78">
        <v>100.101768678965</v>
      </c>
      <c r="BB6" s="78">
        <v>97.964166760896902</v>
      </c>
      <c r="BC6" s="78">
        <v>100</v>
      </c>
      <c r="BD6" s="78">
        <v>104.316297421952</v>
      </c>
      <c r="BE6" s="78">
        <v>104.970852972298</v>
      </c>
      <c r="BF6" s="78">
        <v>102.480875854163</v>
      </c>
      <c r="BG6" s="78">
        <v>102.91277219904001</v>
      </c>
      <c r="BH6" s="78">
        <v>103.40136457845701</v>
      </c>
      <c r="BI6" s="78">
        <v>102.43849522091701</v>
      </c>
      <c r="BJ6" s="78">
        <v>101.385138831048</v>
      </c>
      <c r="BK6" s="78">
        <v>105.06140595222701</v>
      </c>
      <c r="BL6" s="78">
        <v>109.534355432857</v>
      </c>
      <c r="BM6" s="78"/>
      <c r="BN6" s="78"/>
      <c r="BO6" s="78"/>
      <c r="BP6" s="78"/>
    </row>
    <row r="7" spans="1:68" x14ac:dyDescent="0.25">
      <c r="A7" s="78" t="s">
        <v>693</v>
      </c>
      <c r="B7" s="78" t="s">
        <v>112</v>
      </c>
      <c r="C7" s="78" t="s">
        <v>691</v>
      </c>
      <c r="D7" s="78" t="s">
        <v>692</v>
      </c>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row>
    <row r="8" spans="1:68" x14ac:dyDescent="0.25">
      <c r="A8" s="78" t="s">
        <v>694</v>
      </c>
      <c r="B8" s="78" t="s">
        <v>695</v>
      </c>
      <c r="C8" s="78" t="s">
        <v>691</v>
      </c>
      <c r="D8" s="78" t="s">
        <v>692</v>
      </c>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v>63.523394809315697</v>
      </c>
      <c r="AX8" s="78">
        <v>71.582143375953805</v>
      </c>
      <c r="AY8" s="78">
        <v>76.438703005866699</v>
      </c>
      <c r="AZ8" s="78">
        <v>83.074018727529406</v>
      </c>
      <c r="BA8" s="78">
        <v>105.021064735005</v>
      </c>
      <c r="BB8" s="78">
        <v>97.867910838531301</v>
      </c>
      <c r="BC8" s="78">
        <v>100</v>
      </c>
      <c r="BD8" s="78">
        <v>111.804185808913</v>
      </c>
      <c r="BE8" s="78">
        <v>119.005731346616</v>
      </c>
      <c r="BF8" s="78">
        <v>127.795223073732</v>
      </c>
      <c r="BG8" s="78">
        <v>133.76836673358201</v>
      </c>
      <c r="BH8" s="78">
        <v>132.88320919141799</v>
      </c>
      <c r="BI8" s="78">
        <v>138.70866550889099</v>
      </c>
      <c r="BJ8" s="78">
        <v>145.61074143859301</v>
      </c>
      <c r="BK8" s="78">
        <v>146.52248185721001</v>
      </c>
      <c r="BL8" s="78">
        <v>149.89597520803201</v>
      </c>
      <c r="BM8" s="78"/>
      <c r="BN8" s="78"/>
      <c r="BO8" s="78"/>
      <c r="BP8" s="78"/>
    </row>
    <row r="9" spans="1:68" x14ac:dyDescent="0.25">
      <c r="A9" s="78" t="s">
        <v>696</v>
      </c>
      <c r="B9" s="78" t="s">
        <v>118</v>
      </c>
      <c r="C9" s="78" t="s">
        <v>691</v>
      </c>
      <c r="D9" s="78" t="s">
        <v>692</v>
      </c>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row>
    <row r="10" spans="1:68" x14ac:dyDescent="0.25">
      <c r="A10" s="78" t="s">
        <v>697</v>
      </c>
      <c r="B10" s="78" t="s">
        <v>698</v>
      </c>
      <c r="C10" s="78" t="s">
        <v>691</v>
      </c>
      <c r="D10" s="78" t="s">
        <v>692</v>
      </c>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80">
        <v>2.22008150730772E-8</v>
      </c>
      <c r="AJ10" s="80">
        <v>4.0801497972141797E-8</v>
      </c>
      <c r="AK10" s="80">
        <v>1.63005984545567E-7</v>
      </c>
      <c r="AL10" s="80">
        <v>2.4100884831583802E-6</v>
      </c>
      <c r="AM10" s="80">
        <v>2.5300928889588001E-5</v>
      </c>
      <c r="AN10" s="78">
        <v>6.9993769727151297E-4</v>
      </c>
      <c r="AO10" s="78">
        <v>2.9713097058590598E-2</v>
      </c>
      <c r="AP10" s="78">
        <v>9.4837288950552795E-2</v>
      </c>
      <c r="AQ10" s="78">
        <v>0.19658330514343</v>
      </c>
      <c r="AR10" s="78">
        <v>0.68449501333720797</v>
      </c>
      <c r="AS10" s="78">
        <v>2.9090823929501801</v>
      </c>
      <c r="AT10" s="78">
        <v>7.3472082361093101</v>
      </c>
      <c r="AU10" s="78">
        <v>15.348129629383701</v>
      </c>
      <c r="AV10" s="78">
        <v>30.4236985252629</v>
      </c>
      <c r="AW10" s="78">
        <v>43.670817815029899</v>
      </c>
      <c r="AX10" s="78">
        <v>53.6948050312199</v>
      </c>
      <c r="AY10" s="78">
        <v>60.839011695292697</v>
      </c>
      <c r="AZ10" s="78">
        <v>68.292701659281903</v>
      </c>
      <c r="BA10" s="78">
        <v>76.812782428357394</v>
      </c>
      <c r="BB10" s="78">
        <v>87.359395549413605</v>
      </c>
      <c r="BC10" s="78">
        <v>100</v>
      </c>
      <c r="BD10" s="78">
        <v>113.482467921851</v>
      </c>
      <c r="BE10" s="78">
        <v>125.146088077866</v>
      </c>
      <c r="BF10" s="78">
        <v>136.13117928470399</v>
      </c>
      <c r="BG10" s="78">
        <v>146.04205637760401</v>
      </c>
      <c r="BH10" s="78">
        <v>159.70571050737499</v>
      </c>
      <c r="BI10" s="78">
        <v>208.72644419804499</v>
      </c>
      <c r="BJ10" s="78">
        <v>271.01976588598802</v>
      </c>
      <c r="BK10" s="78">
        <v>324.2180676186</v>
      </c>
      <c r="BL10" s="78">
        <v>379.59760707327399</v>
      </c>
      <c r="BM10" s="78">
        <v>464.13983711346498</v>
      </c>
      <c r="BN10" s="78">
        <v>583.67577943866104</v>
      </c>
      <c r="BO10" s="78">
        <v>708.32143556847996</v>
      </c>
      <c r="BP10" s="78">
        <v>804.965533144132</v>
      </c>
    </row>
    <row r="11" spans="1:68" x14ac:dyDescent="0.25">
      <c r="A11" s="78" t="s">
        <v>699</v>
      </c>
      <c r="B11" s="78" t="s">
        <v>700</v>
      </c>
      <c r="C11" s="78" t="s">
        <v>691</v>
      </c>
      <c r="D11" s="78" t="s">
        <v>692</v>
      </c>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v>5.1145517610624598</v>
      </c>
      <c r="AK11" s="78">
        <v>16.6737160138813</v>
      </c>
      <c r="AL11" s="78">
        <v>30.847166833730899</v>
      </c>
      <c r="AM11" s="78">
        <v>37.807846284173998</v>
      </c>
      <c r="AN11" s="78">
        <v>40.754294369569998</v>
      </c>
      <c r="AO11" s="78">
        <v>45.940473055666097</v>
      </c>
      <c r="AP11" s="78">
        <v>61.183648064890697</v>
      </c>
      <c r="AQ11" s="78">
        <v>73.813702184644598</v>
      </c>
      <c r="AR11" s="78">
        <v>74.101160534439401</v>
      </c>
      <c r="AS11" s="78">
        <v>74.138224553950195</v>
      </c>
      <c r="AT11" s="78">
        <v>76.442135324008007</v>
      </c>
      <c r="AU11" s="78">
        <v>82.382091197662504</v>
      </c>
      <c r="AV11" s="78">
        <v>82.780822670729805</v>
      </c>
      <c r="AW11" s="78">
        <v>84.668241296193798</v>
      </c>
      <c r="AX11" s="78">
        <v>86.671984617847698</v>
      </c>
      <c r="AY11" s="78">
        <v>88.726741901859398</v>
      </c>
      <c r="AZ11" s="78">
        <v>91.328815518130298</v>
      </c>
      <c r="BA11" s="78">
        <v>94.361727579541693</v>
      </c>
      <c r="BB11" s="78">
        <v>96.500834430802001</v>
      </c>
      <c r="BC11" s="78">
        <v>100</v>
      </c>
      <c r="BD11" s="78">
        <v>103.42912324722199</v>
      </c>
      <c r="BE11" s="78">
        <v>105.530381748189</v>
      </c>
      <c r="BF11" s="78">
        <v>107.575160377427</v>
      </c>
      <c r="BG11" s="78">
        <v>109.324187306059</v>
      </c>
      <c r="BH11" s="78">
        <v>111.39716414980801</v>
      </c>
      <c r="BI11" s="78">
        <v>112.81795887608899</v>
      </c>
      <c r="BJ11" s="78">
        <v>115.05926964030699</v>
      </c>
      <c r="BK11" s="78">
        <v>117.392740239274</v>
      </c>
      <c r="BL11" s="78">
        <v>119.049258384382</v>
      </c>
      <c r="BM11" s="78">
        <v>120.978911881374</v>
      </c>
      <c r="BN11" s="78">
        <v>123.448662047404</v>
      </c>
      <c r="BO11" s="78">
        <v>131.750834819418</v>
      </c>
      <c r="BP11" s="78"/>
    </row>
    <row r="12" spans="1:68" x14ac:dyDescent="0.25">
      <c r="A12" s="78" t="s">
        <v>701</v>
      </c>
      <c r="B12" s="78" t="s">
        <v>702</v>
      </c>
      <c r="C12" s="78" t="s">
        <v>691</v>
      </c>
      <c r="D12" s="78" t="s">
        <v>692</v>
      </c>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row>
    <row r="13" spans="1:68" x14ac:dyDescent="0.25">
      <c r="A13" s="78" t="s">
        <v>703</v>
      </c>
      <c r="B13" s="78" t="s">
        <v>704</v>
      </c>
      <c r="C13" s="78" t="s">
        <v>691</v>
      </c>
      <c r="D13" s="78" t="s">
        <v>692</v>
      </c>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row>
    <row r="14" spans="1:68" x14ac:dyDescent="0.25">
      <c r="A14" s="78" t="s">
        <v>705</v>
      </c>
      <c r="B14" s="78" t="s">
        <v>706</v>
      </c>
      <c r="C14" s="78" t="s">
        <v>691</v>
      </c>
      <c r="D14" s="78" t="s">
        <v>692</v>
      </c>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v>86.953123520422096</v>
      </c>
      <c r="BA14" s="78">
        <v>97.605246567666001</v>
      </c>
      <c r="BB14" s="78">
        <v>99.129658167553799</v>
      </c>
      <c r="BC14" s="78">
        <v>100</v>
      </c>
      <c r="BD14" s="78">
        <v>100.877346595685</v>
      </c>
      <c r="BE14" s="78">
        <v>101.545425889605</v>
      </c>
      <c r="BF14" s="78">
        <v>102.663561221631</v>
      </c>
      <c r="BG14" s="78">
        <v>105.072324180443</v>
      </c>
      <c r="BH14" s="78">
        <v>109.348732137854</v>
      </c>
      <c r="BI14" s="78">
        <v>111.117434855702</v>
      </c>
      <c r="BJ14" s="78">
        <v>113.302920986271</v>
      </c>
      <c r="BK14" s="78">
        <v>116.779772707568</v>
      </c>
      <c r="BL14" s="78">
        <v>114.52466053234301</v>
      </c>
      <c r="BM14" s="78">
        <v>112.14323110002501</v>
      </c>
      <c r="BN14" s="78">
        <v>112.12768811054499</v>
      </c>
      <c r="BO14" s="78">
        <v>117.541087977731</v>
      </c>
      <c r="BP14" s="78"/>
    </row>
    <row r="15" spans="1:68" x14ac:dyDescent="0.25">
      <c r="A15" s="78" t="s">
        <v>707</v>
      </c>
      <c r="B15" s="78" t="s">
        <v>708</v>
      </c>
      <c r="C15" s="78" t="s">
        <v>691</v>
      </c>
      <c r="D15" s="78" t="s">
        <v>692</v>
      </c>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row>
    <row r="16" spans="1:68" x14ac:dyDescent="0.25">
      <c r="A16" s="78" t="s">
        <v>709</v>
      </c>
      <c r="B16" s="78" t="s">
        <v>710</v>
      </c>
      <c r="C16" s="78" t="s">
        <v>691</v>
      </c>
      <c r="D16" s="78" t="s">
        <v>692</v>
      </c>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v>0.46203029570684201</v>
      </c>
      <c r="AM16" s="78">
        <v>16.049821028314099</v>
      </c>
      <c r="AN16" s="78">
        <v>44.289693873560999</v>
      </c>
      <c r="AO16" s="78">
        <v>52.563533805484603</v>
      </c>
      <c r="AP16" s="78">
        <v>59.9018047741462</v>
      </c>
      <c r="AQ16" s="78">
        <v>65.096780600924305</v>
      </c>
      <c r="AR16" s="78">
        <v>65.518767721372498</v>
      </c>
      <c r="AS16" s="78">
        <v>65.000590421858107</v>
      </c>
      <c r="AT16" s="78">
        <v>67.045447016419402</v>
      </c>
      <c r="AU16" s="78">
        <v>67.756161803785005</v>
      </c>
      <c r="AV16" s="78">
        <v>70.955305142140205</v>
      </c>
      <c r="AW16" s="78">
        <v>75.894689380988794</v>
      </c>
      <c r="AX16" s="78">
        <v>76.379601803786102</v>
      </c>
      <c r="AY16" s="78">
        <v>78.588772276393399</v>
      </c>
      <c r="AZ16" s="78">
        <v>82.052463094699505</v>
      </c>
      <c r="BA16" s="78">
        <v>89.396120267100699</v>
      </c>
      <c r="BB16" s="78">
        <v>92.441637636840497</v>
      </c>
      <c r="BC16" s="78">
        <v>100</v>
      </c>
      <c r="BD16" s="78">
        <v>107.650008078593</v>
      </c>
      <c r="BE16" s="78">
        <v>110.403716898759</v>
      </c>
      <c r="BF16" s="78">
        <v>116.79572532998201</v>
      </c>
      <c r="BG16" s="78">
        <v>120.27776643801801</v>
      </c>
      <c r="BH16" s="78">
        <v>124.766161254862</v>
      </c>
      <c r="BI16" s="78">
        <v>123.014933984404</v>
      </c>
      <c r="BJ16" s="78">
        <v>124.207629297981</v>
      </c>
      <c r="BK16" s="78">
        <v>127.33795197859</v>
      </c>
      <c r="BL16" s="78">
        <v>129.17600732674799</v>
      </c>
      <c r="BM16" s="78">
        <v>130.740891696593</v>
      </c>
      <c r="BN16" s="78">
        <v>140.13441073487601</v>
      </c>
      <c r="BO16" s="78">
        <v>152.24330057260599</v>
      </c>
      <c r="BP16" s="78">
        <v>155.25835548258499</v>
      </c>
    </row>
    <row r="17" spans="1:68" x14ac:dyDescent="0.25">
      <c r="A17" s="78" t="s">
        <v>711</v>
      </c>
      <c r="B17" s="78" t="s">
        <v>712</v>
      </c>
      <c r="C17" s="78" t="s">
        <v>691</v>
      </c>
      <c r="D17" s="78" t="s">
        <v>692</v>
      </c>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row>
    <row r="18" spans="1:68" x14ac:dyDescent="0.25">
      <c r="A18" s="78" t="s">
        <v>713</v>
      </c>
      <c r="B18" s="78" t="s">
        <v>714</v>
      </c>
      <c r="C18" s="78" t="s">
        <v>691</v>
      </c>
      <c r="D18" s="78" t="s">
        <v>692</v>
      </c>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v>79.569380733944797</v>
      </c>
      <c r="AR18" s="78">
        <v>80.461582568807103</v>
      </c>
      <c r="AS18" s="78">
        <v>81.0825688073393</v>
      </c>
      <c r="AT18" s="78">
        <v>82.2199923547401</v>
      </c>
      <c r="AU18" s="78">
        <v>84.199568588903503</v>
      </c>
      <c r="AV18" s="78">
        <v>85.878112712975096</v>
      </c>
      <c r="AW18" s="78">
        <v>87.621505024027996</v>
      </c>
      <c r="AX18" s="78">
        <v>89.460463084316302</v>
      </c>
      <c r="AY18" s="78">
        <v>91.059824159021503</v>
      </c>
      <c r="AZ18" s="78">
        <v>92.3492791612058</v>
      </c>
      <c r="BA18" s="78">
        <v>97.275010921800003</v>
      </c>
      <c r="BB18" s="78">
        <v>96.739842726081307</v>
      </c>
      <c r="BC18" s="78">
        <v>100</v>
      </c>
      <c r="BD18" s="78">
        <v>103.45674967234601</v>
      </c>
      <c r="BE18" s="78">
        <v>106.950360419397</v>
      </c>
      <c r="BF18" s="78">
        <v>108.083497160332</v>
      </c>
      <c r="BG18" s="78">
        <v>109.26100371341199</v>
      </c>
      <c r="BH18" s="78">
        <v>110.31973569244199</v>
      </c>
      <c r="BI18" s="78">
        <v>109.77978920926201</v>
      </c>
      <c r="BJ18" s="78">
        <v>112.450169287899</v>
      </c>
      <c r="BK18" s="78">
        <v>113.80762042788299</v>
      </c>
      <c r="BL18" s="78">
        <v>115.436612610656</v>
      </c>
      <c r="BM18" s="78">
        <v>116.159233923762</v>
      </c>
      <c r="BN18" s="78">
        <v>118.555594720979</v>
      </c>
      <c r="BO18" s="78">
        <v>127.484109443389</v>
      </c>
      <c r="BP18" s="78">
        <v>133.94390603024601</v>
      </c>
    </row>
    <row r="19" spans="1:68" x14ac:dyDescent="0.25">
      <c r="A19" s="78" t="s">
        <v>715</v>
      </c>
      <c r="B19" s="78" t="s">
        <v>716</v>
      </c>
      <c r="C19" s="78" t="s">
        <v>691</v>
      </c>
      <c r="D19" s="78" t="s">
        <v>692</v>
      </c>
      <c r="E19" s="78">
        <v>7.9604578563995796</v>
      </c>
      <c r="F19" s="78">
        <v>8.1425598335067608</v>
      </c>
      <c r="G19" s="78">
        <v>8.1165452653485897</v>
      </c>
      <c r="H19" s="78">
        <v>8.1685744016649302</v>
      </c>
      <c r="I19" s="78">
        <v>8.4027055150884493</v>
      </c>
      <c r="J19" s="78">
        <v>8.6888657648283001</v>
      </c>
      <c r="K19" s="78">
        <v>8.9750260145681597</v>
      </c>
      <c r="L19" s="78">
        <v>9.2872008324661799</v>
      </c>
      <c r="M19" s="78">
        <v>9.5213319458897008</v>
      </c>
      <c r="N19" s="78">
        <v>9.8335067637877192</v>
      </c>
      <c r="O19" s="78">
        <v>10.1716961498439</v>
      </c>
      <c r="P19" s="78">
        <v>10.796045785640001</v>
      </c>
      <c r="Q19" s="78">
        <v>11.4464099895942</v>
      </c>
      <c r="R19" s="78">
        <v>12.4869927159209</v>
      </c>
      <c r="S19" s="78">
        <v>14.412070759625401</v>
      </c>
      <c r="T19" s="78">
        <v>16.5972944849116</v>
      </c>
      <c r="U19" s="78">
        <v>18.8085327783559</v>
      </c>
      <c r="V19" s="78">
        <v>21.123829344432899</v>
      </c>
      <c r="W19" s="78">
        <v>22.8147762747138</v>
      </c>
      <c r="X19" s="78">
        <v>24.895941727367301</v>
      </c>
      <c r="Y19" s="78">
        <v>27.419354838709701</v>
      </c>
      <c r="Z19" s="78">
        <v>30.020811654526501</v>
      </c>
      <c r="AA19" s="78">
        <v>33.428720083246603</v>
      </c>
      <c r="AB19" s="78">
        <v>36.784599375650401</v>
      </c>
      <c r="AC19" s="78">
        <v>38.241415192507802</v>
      </c>
      <c r="AD19" s="78">
        <v>40.816857440166501</v>
      </c>
      <c r="AE19" s="78">
        <v>44.510926118626401</v>
      </c>
      <c r="AF19" s="78">
        <v>48.309053069718999</v>
      </c>
      <c r="AG19" s="78">
        <v>51.7950052029136</v>
      </c>
      <c r="AH19" s="78">
        <v>55.697190426638898</v>
      </c>
      <c r="AI19" s="78">
        <v>59.781477627471403</v>
      </c>
      <c r="AJ19" s="78">
        <v>61.680541103017703</v>
      </c>
      <c r="AK19" s="78">
        <v>62.304890738813697</v>
      </c>
      <c r="AL19" s="78">
        <v>63.3975026014568</v>
      </c>
      <c r="AM19" s="78">
        <v>64.646201873048895</v>
      </c>
      <c r="AN19" s="78">
        <v>67.637877211238305</v>
      </c>
      <c r="AO19" s="78">
        <v>69.406867845993801</v>
      </c>
      <c r="AP19" s="78">
        <v>69.562955254942807</v>
      </c>
      <c r="AQ19" s="78">
        <v>70.161290322580697</v>
      </c>
      <c r="AR19" s="78">
        <v>71.201873048907402</v>
      </c>
      <c r="AS19" s="78">
        <v>74.375650364204006</v>
      </c>
      <c r="AT19" s="78">
        <v>77.653485952133195</v>
      </c>
      <c r="AU19" s="78">
        <v>79.968782518210205</v>
      </c>
      <c r="AV19" s="78">
        <v>82.154006243496397</v>
      </c>
      <c r="AW19" s="78">
        <v>84.0790842872008</v>
      </c>
      <c r="AX19" s="78">
        <v>86.342351716961502</v>
      </c>
      <c r="AY19" s="78">
        <v>89.412070759625394</v>
      </c>
      <c r="AZ19" s="78">
        <v>91.493236212278902</v>
      </c>
      <c r="BA19" s="78">
        <v>95.473465140478694</v>
      </c>
      <c r="BB19" s="78">
        <v>97.164412070759596</v>
      </c>
      <c r="BC19" s="78">
        <v>100</v>
      </c>
      <c r="BD19" s="78">
        <v>103.30385015608699</v>
      </c>
      <c r="BE19" s="78">
        <v>105.124869927159</v>
      </c>
      <c r="BF19" s="78">
        <v>107.700312174818</v>
      </c>
      <c r="BG19" s="78">
        <v>110.379812695109</v>
      </c>
      <c r="BH19" s="78">
        <v>112.04474505723201</v>
      </c>
      <c r="BI19" s="78">
        <v>113.475546305931</v>
      </c>
      <c r="BJ19" s="78">
        <v>115.686784599376</v>
      </c>
      <c r="BK19" s="78">
        <v>117.89802289281999</v>
      </c>
      <c r="BL19" s="78">
        <v>119.797086368366</v>
      </c>
      <c r="BM19" s="78">
        <v>120.81165452653499</v>
      </c>
      <c r="BN19" s="78">
        <v>124.27159209157099</v>
      </c>
      <c r="BO19" s="78">
        <v>132.466181061394</v>
      </c>
      <c r="BP19" s="78">
        <v>139.88033298647201</v>
      </c>
    </row>
    <row r="20" spans="1:68" x14ac:dyDescent="0.25">
      <c r="A20" s="78" t="s">
        <v>717</v>
      </c>
      <c r="B20" s="78" t="s">
        <v>718</v>
      </c>
      <c r="C20" s="78" t="s">
        <v>691</v>
      </c>
      <c r="D20" s="78" t="s">
        <v>692</v>
      </c>
      <c r="E20" s="78">
        <v>17.824166743342701</v>
      </c>
      <c r="F20" s="78">
        <v>18.4555414837351</v>
      </c>
      <c r="G20" s="78">
        <v>19.264226149199398</v>
      </c>
      <c r="H20" s="78">
        <v>19.786049148970701</v>
      </c>
      <c r="I20" s="78">
        <v>20.551485034207499</v>
      </c>
      <c r="J20" s="78">
        <v>21.564861575427202</v>
      </c>
      <c r="K20" s="78">
        <v>22.007980791840399</v>
      </c>
      <c r="L20" s="78">
        <v>22.882726046590601</v>
      </c>
      <c r="M20" s="78">
        <v>23.515402409597701</v>
      </c>
      <c r="N20" s="78">
        <v>24.239771851987101</v>
      </c>
      <c r="O20" s="78">
        <v>25.299734513870099</v>
      </c>
      <c r="P20" s="78">
        <v>26.489899333703899</v>
      </c>
      <c r="Q20" s="78">
        <v>28.173371145221001</v>
      </c>
      <c r="R20" s="78">
        <v>30.2951297121793</v>
      </c>
      <c r="S20" s="78">
        <v>33.179767797507402</v>
      </c>
      <c r="T20" s="78">
        <v>35.981885003886198</v>
      </c>
      <c r="U20" s="78">
        <v>38.615285986685997</v>
      </c>
      <c r="V20" s="78">
        <v>40.737047545880301</v>
      </c>
      <c r="W20" s="78">
        <v>42.193119403428</v>
      </c>
      <c r="X20" s="78">
        <v>43.757387518735698</v>
      </c>
      <c r="Y20" s="78">
        <v>46.5264973709467</v>
      </c>
      <c r="Z20" s="78">
        <v>49.691714423998299</v>
      </c>
      <c r="AA20" s="78">
        <v>52.392971337621702</v>
      </c>
      <c r="AB20" s="78">
        <v>54.1424588548863</v>
      </c>
      <c r="AC20" s="78">
        <v>57.208646863550797</v>
      </c>
      <c r="AD20" s="78">
        <v>59.033326276643699</v>
      </c>
      <c r="AE20" s="78">
        <v>60.040106932536801</v>
      </c>
      <c r="AF20" s="78">
        <v>60.881840843471402</v>
      </c>
      <c r="AG20" s="78">
        <v>62.0481645250985</v>
      </c>
      <c r="AH20" s="78">
        <v>63.641777497837502</v>
      </c>
      <c r="AI20" s="78">
        <v>65.717691021222706</v>
      </c>
      <c r="AJ20" s="78">
        <v>67.910971007977096</v>
      </c>
      <c r="AK20" s="78">
        <v>70.641567791971795</v>
      </c>
      <c r="AL20" s="78">
        <v>73.207117831008006</v>
      </c>
      <c r="AM20" s="78">
        <v>75.369223706786798</v>
      </c>
      <c r="AN20" s="78">
        <v>77.060031483308705</v>
      </c>
      <c r="AO20" s="78">
        <v>78.494096443253895</v>
      </c>
      <c r="AP20" s="78">
        <v>79.5192125233052</v>
      </c>
      <c r="AQ20" s="78">
        <v>80.252751173891596</v>
      </c>
      <c r="AR20" s="78">
        <v>80.709384325022697</v>
      </c>
      <c r="AS20" s="78">
        <v>82.601908697407396</v>
      </c>
      <c r="AT20" s="78">
        <v>84.790859916232407</v>
      </c>
      <c r="AU20" s="78">
        <v>86.325877928245703</v>
      </c>
      <c r="AV20" s="78">
        <v>87.496071568298206</v>
      </c>
      <c r="AW20" s="78">
        <v>89.2995460030087</v>
      </c>
      <c r="AX20" s="78">
        <v>91.352665670750795</v>
      </c>
      <c r="AY20" s="78">
        <v>92.669558662660094</v>
      </c>
      <c r="AZ20" s="78">
        <v>94.679149277412407</v>
      </c>
      <c r="BA20" s="78">
        <v>97.723983693311794</v>
      </c>
      <c r="BB20" s="78">
        <v>98.218768849527706</v>
      </c>
      <c r="BC20" s="78">
        <v>100</v>
      </c>
      <c r="BD20" s="78">
        <v>103.286579148754</v>
      </c>
      <c r="BE20" s="78">
        <v>105.85394846721501</v>
      </c>
      <c r="BF20" s="78">
        <v>107.97119274761801</v>
      </c>
      <c r="BG20" s="78">
        <v>109.70500693325999</v>
      </c>
      <c r="BH20" s="78">
        <v>110.68858180236801</v>
      </c>
      <c r="BI20" s="78">
        <v>111.675472068849</v>
      </c>
      <c r="BJ20" s="78">
        <v>113.999739176771</v>
      </c>
      <c r="BK20" s="78">
        <v>116.27788695282899</v>
      </c>
      <c r="BL20" s="78">
        <v>118.05798005624899</v>
      </c>
      <c r="BM20" s="78">
        <v>119.689435836364</v>
      </c>
      <c r="BN20" s="78">
        <v>123.00084356117</v>
      </c>
      <c r="BO20" s="78">
        <v>133.51356567546401</v>
      </c>
      <c r="BP20" s="78">
        <v>143.94649483253301</v>
      </c>
    </row>
    <row r="21" spans="1:68" x14ac:dyDescent="0.25">
      <c r="A21" s="78" t="s">
        <v>719</v>
      </c>
      <c r="B21" s="78" t="s">
        <v>720</v>
      </c>
      <c r="C21" s="78" t="s">
        <v>691</v>
      </c>
      <c r="D21" s="78" t="s">
        <v>692</v>
      </c>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v>4.3021778631455898E-2</v>
      </c>
      <c r="AK21" s="78">
        <v>3.8448521763995901E-2</v>
      </c>
      <c r="AL21" s="78">
        <v>0.47214785660257103</v>
      </c>
      <c r="AM21" s="78">
        <v>8.3202648307742297</v>
      </c>
      <c r="AN21" s="78">
        <v>42.579757492890202</v>
      </c>
      <c r="AO21" s="78">
        <v>51.008336523961702</v>
      </c>
      <c r="AP21" s="78">
        <v>52.882560366263299</v>
      </c>
      <c r="AQ21" s="78">
        <v>52.473937940233</v>
      </c>
      <c r="AR21" s="78">
        <v>48.000445522320703</v>
      </c>
      <c r="AS21" s="78">
        <v>48.866855021793</v>
      </c>
      <c r="AT21" s="78">
        <v>49.622920999893303</v>
      </c>
      <c r="AU21" s="78">
        <v>50.998053879667196</v>
      </c>
      <c r="AV21" s="78">
        <v>52.137281520099599</v>
      </c>
      <c r="AW21" s="78">
        <v>55.635135464321998</v>
      </c>
      <c r="AX21" s="78">
        <v>61.020342473621497</v>
      </c>
      <c r="AY21" s="78">
        <v>66.102680928423297</v>
      </c>
      <c r="AZ21" s="78">
        <v>77.141666666666694</v>
      </c>
      <c r="BA21" s="78">
        <v>93.224999999999994</v>
      </c>
      <c r="BB21" s="78">
        <v>94.5833333333333</v>
      </c>
      <c r="BC21" s="78">
        <v>100</v>
      </c>
      <c r="BD21" s="78">
        <v>107.85833333333299</v>
      </c>
      <c r="BE21" s="78">
        <v>109.008333333333</v>
      </c>
      <c r="BF21" s="78">
        <v>111.64166666666701</v>
      </c>
      <c r="BG21" s="78">
        <v>113.175</v>
      </c>
      <c r="BH21" s="78">
        <v>117.73333333333299</v>
      </c>
      <c r="BI21" s="78">
        <v>132.38333333333301</v>
      </c>
      <c r="BJ21" s="78">
        <v>149.50833333333301</v>
      </c>
      <c r="BK21" s="78">
        <v>152.9</v>
      </c>
      <c r="BL21" s="78">
        <v>156.89156432499999</v>
      </c>
      <c r="BM21" s="78">
        <v>161.22147257500001</v>
      </c>
      <c r="BN21" s="78">
        <v>171.94318275833299</v>
      </c>
      <c r="BO21" s="78">
        <v>195.761197791667</v>
      </c>
      <c r="BP21" s="78">
        <v>212.95966176666701</v>
      </c>
    </row>
    <row r="22" spans="1:68" x14ac:dyDescent="0.25">
      <c r="A22" s="78" t="s">
        <v>721</v>
      </c>
      <c r="B22" s="78" t="s">
        <v>722</v>
      </c>
      <c r="C22" s="78" t="s">
        <v>691</v>
      </c>
      <c r="D22" s="78" t="s">
        <v>692</v>
      </c>
      <c r="E22" s="78"/>
      <c r="F22" s="78"/>
      <c r="G22" s="78"/>
      <c r="H22" s="78"/>
      <c r="I22" s="78"/>
      <c r="J22" s="78">
        <v>1.46845115458481</v>
      </c>
      <c r="K22" s="78">
        <v>1.53360427747613</v>
      </c>
      <c r="L22" s="78">
        <v>1.5168983485274901</v>
      </c>
      <c r="M22" s="78">
        <v>1.6087809577408001</v>
      </c>
      <c r="N22" s="78">
        <v>1.6735164324251</v>
      </c>
      <c r="O22" s="78">
        <v>1.6701752466353701</v>
      </c>
      <c r="P22" s="78">
        <v>1.73449307308343</v>
      </c>
      <c r="Q22" s="78">
        <v>1.8008991406542501</v>
      </c>
      <c r="R22" s="78">
        <v>1.9090700306008199</v>
      </c>
      <c r="S22" s="78">
        <v>2.2092198873667801</v>
      </c>
      <c r="T22" s="78">
        <v>2.55628556128437</v>
      </c>
      <c r="U22" s="78">
        <v>2.7315585991634799</v>
      </c>
      <c r="V22" s="78">
        <v>2.9182473551714199</v>
      </c>
      <c r="W22" s="78">
        <v>3.6155806727022499</v>
      </c>
      <c r="X22" s="78">
        <v>4.9367412203843797</v>
      </c>
      <c r="Y22" s="78">
        <v>5.0600866624551202</v>
      </c>
      <c r="Z22" s="78">
        <v>5.6757673610667503</v>
      </c>
      <c r="AA22" s="78">
        <v>6.0088268588261702</v>
      </c>
      <c r="AB22" s="78">
        <v>6.4986202378841504</v>
      </c>
      <c r="AC22" s="78">
        <v>7.4290192353798199</v>
      </c>
      <c r="AD22" s="78">
        <v>7.7116404362319999</v>
      </c>
      <c r="AE22" s="78">
        <v>7.8408625192174899</v>
      </c>
      <c r="AF22" s="78">
        <v>8.3986017032001001</v>
      </c>
      <c r="AG22" s="78">
        <v>8.7754299710029997</v>
      </c>
      <c r="AH22" s="78">
        <v>9.7987854991624594</v>
      </c>
      <c r="AI22" s="78">
        <v>10.4849130752725</v>
      </c>
      <c r="AJ22" s="78">
        <v>11.428234281066899</v>
      </c>
      <c r="AK22" s="78">
        <v>11.636609086125</v>
      </c>
      <c r="AL22" s="78">
        <v>12.762956809809801</v>
      </c>
      <c r="AM22" s="78">
        <v>14.658615171181699</v>
      </c>
      <c r="AN22" s="78">
        <v>17.482341391462001</v>
      </c>
      <c r="AO22" s="78">
        <v>22.104109805296702</v>
      </c>
      <c r="AP22" s="78">
        <v>28.9810497839288</v>
      </c>
      <c r="AQ22" s="78">
        <v>32.603800051026901</v>
      </c>
      <c r="AR22" s="78">
        <v>33.707577012006702</v>
      </c>
      <c r="AS22" s="78">
        <v>41.943020388256997</v>
      </c>
      <c r="AT22" s="78">
        <v>45.842122296226997</v>
      </c>
      <c r="AU22" s="78">
        <v>45.216065576026899</v>
      </c>
      <c r="AV22" s="78">
        <v>50.030430136297099</v>
      </c>
      <c r="AW22" s="78">
        <v>54.121132922310302</v>
      </c>
      <c r="AX22" s="78">
        <v>61.293303298033699</v>
      </c>
      <c r="AY22" s="78">
        <v>62.976061906751703</v>
      </c>
      <c r="AZ22" s="78">
        <v>68.273647819667801</v>
      </c>
      <c r="BA22" s="78">
        <v>84.937163613089595</v>
      </c>
      <c r="BB22" s="78">
        <v>93.902651159239895</v>
      </c>
      <c r="BC22" s="78">
        <v>100</v>
      </c>
      <c r="BD22" s="78">
        <v>109.59216605979699</v>
      </c>
      <c r="BE22" s="78">
        <v>129.495248990341</v>
      </c>
      <c r="BF22" s="78">
        <v>139.77452756421201</v>
      </c>
      <c r="BG22" s="78">
        <v>145.93208798757601</v>
      </c>
      <c r="BH22" s="78">
        <v>154.02356829014599</v>
      </c>
      <c r="BI22" s="78">
        <v>162.58372014813401</v>
      </c>
      <c r="BJ22" s="78">
        <v>188.682529221908</v>
      </c>
      <c r="BK22" s="78">
        <v>183.37168570085899</v>
      </c>
      <c r="BL22" s="78">
        <v>182.11233999434401</v>
      </c>
      <c r="BM22" s="78">
        <v>195.44497823506001</v>
      </c>
      <c r="BN22" s="78">
        <v>211.87122658091201</v>
      </c>
      <c r="BO22" s="78">
        <v>251.70487881960301</v>
      </c>
      <c r="BP22" s="78">
        <v>319.51790740739398</v>
      </c>
    </row>
    <row r="23" spans="1:68" x14ac:dyDescent="0.25">
      <c r="A23" s="78" t="s">
        <v>723</v>
      </c>
      <c r="B23" s="78" t="s">
        <v>724</v>
      </c>
      <c r="C23" s="78" t="s">
        <v>691</v>
      </c>
      <c r="D23" s="78" t="s">
        <v>692</v>
      </c>
      <c r="E23" s="78">
        <v>15.5960812459628</v>
      </c>
      <c r="F23" s="78">
        <v>15.7508998421015</v>
      </c>
      <c r="G23" s="78">
        <v>15.972138089428</v>
      </c>
      <c r="H23" s="78">
        <v>16.3152201607694</v>
      </c>
      <c r="I23" s="78">
        <v>16.9953626282926</v>
      </c>
      <c r="J23" s="78">
        <v>17.686258343500999</v>
      </c>
      <c r="K23" s="78">
        <v>18.424544247469999</v>
      </c>
      <c r="L23" s="78">
        <v>18.927590073925199</v>
      </c>
      <c r="M23" s="78">
        <v>19.438909423670399</v>
      </c>
      <c r="N23" s="78">
        <v>20.168644584798699</v>
      </c>
      <c r="O23" s="78">
        <v>20.9569304887677</v>
      </c>
      <c r="P23" s="78">
        <v>21.867221703868498</v>
      </c>
      <c r="Q23" s="78">
        <v>23.058642252207001</v>
      </c>
      <c r="R23" s="78">
        <v>24.6624354051532</v>
      </c>
      <c r="S23" s="78">
        <v>27.789111282566601</v>
      </c>
      <c r="T23" s="78">
        <v>31.337280198090799</v>
      </c>
      <c r="U23" s="78">
        <v>34.179135864494398</v>
      </c>
      <c r="V23" s="78">
        <v>36.604487547548999</v>
      </c>
      <c r="W23" s="78">
        <v>38.240925321179901</v>
      </c>
      <c r="X23" s="78">
        <v>39.949944376659701</v>
      </c>
      <c r="Y23" s="78">
        <v>42.606091652910301</v>
      </c>
      <c r="Z23" s="78">
        <v>45.855865570946698</v>
      </c>
      <c r="AA23" s="78">
        <v>49.857500179430097</v>
      </c>
      <c r="AB23" s="78">
        <v>53.677387317878399</v>
      </c>
      <c r="AC23" s="78">
        <v>57.081486399196102</v>
      </c>
      <c r="AD23" s="78">
        <v>59.860632132347703</v>
      </c>
      <c r="AE23" s="78">
        <v>60.635449113615103</v>
      </c>
      <c r="AF23" s="78">
        <v>61.577349637551102</v>
      </c>
      <c r="AG23" s="78">
        <v>62.292222601019198</v>
      </c>
      <c r="AH23" s="78">
        <v>64.227673508935595</v>
      </c>
      <c r="AI23" s="78">
        <v>66.442444197229605</v>
      </c>
      <c r="AJ23" s="78">
        <v>68.578775209933298</v>
      </c>
      <c r="AK23" s="78">
        <v>70.243837472188304</v>
      </c>
      <c r="AL23" s="78">
        <v>72.178652300294303</v>
      </c>
      <c r="AM23" s="78">
        <v>73.894729239933895</v>
      </c>
      <c r="AN23" s="78">
        <v>74.979479473193095</v>
      </c>
      <c r="AO23" s="78">
        <v>76.536819062657003</v>
      </c>
      <c r="AP23" s="78">
        <v>77.782961314863996</v>
      </c>
      <c r="AQ23" s="78">
        <v>78.521316299432996</v>
      </c>
      <c r="AR23" s="78">
        <v>79.401421086628801</v>
      </c>
      <c r="AS23" s="78">
        <v>81.421804349386306</v>
      </c>
      <c r="AT23" s="78">
        <v>83.432318954998905</v>
      </c>
      <c r="AU23" s="78">
        <v>84.804959448790598</v>
      </c>
      <c r="AV23" s="78">
        <v>86.152479724395306</v>
      </c>
      <c r="AW23" s="78">
        <v>87.959341132562997</v>
      </c>
      <c r="AX23" s="78">
        <v>90.405870953850496</v>
      </c>
      <c r="AY23" s="78">
        <v>92.025227876265006</v>
      </c>
      <c r="AZ23" s="78">
        <v>93.702899590899307</v>
      </c>
      <c r="BA23" s="78">
        <v>97.909638986578599</v>
      </c>
      <c r="BB23" s="78">
        <v>97.857604248905503</v>
      </c>
      <c r="BC23" s="78">
        <v>100</v>
      </c>
      <c r="BD23" s="78">
        <v>103.532082107227</v>
      </c>
      <c r="BE23" s="78">
        <v>106.47204478576</v>
      </c>
      <c r="BF23" s="78">
        <v>107.657180793799</v>
      </c>
      <c r="BG23" s="78">
        <v>108.02321825881</v>
      </c>
      <c r="BH23" s="78">
        <v>108.62969209789701</v>
      </c>
      <c r="BI23" s="78">
        <v>110.773882150291</v>
      </c>
      <c r="BJ23" s="78">
        <v>113.128902605325</v>
      </c>
      <c r="BK23" s="78">
        <v>115.451625636977</v>
      </c>
      <c r="BL23" s="78">
        <v>117.11045718797099</v>
      </c>
      <c r="BM23" s="78">
        <v>117.978001866073</v>
      </c>
      <c r="BN23" s="78">
        <v>120.856958300438</v>
      </c>
      <c r="BO23" s="78">
        <v>132.45621904830301</v>
      </c>
      <c r="BP23" s="78">
        <v>137.81938563123501</v>
      </c>
    </row>
    <row r="24" spans="1:68" x14ac:dyDescent="0.25">
      <c r="A24" s="78" t="s">
        <v>725</v>
      </c>
      <c r="B24" s="78" t="s">
        <v>726</v>
      </c>
      <c r="C24" s="78" t="s">
        <v>691</v>
      </c>
      <c r="D24" s="78" t="s">
        <v>692</v>
      </c>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v>38.903511086678698</v>
      </c>
      <c r="AL24" s="78">
        <v>39.0749196511075</v>
      </c>
      <c r="AM24" s="78">
        <v>54.130824646681397</v>
      </c>
      <c r="AN24" s="78">
        <v>61.959521262057201</v>
      </c>
      <c r="AO24" s="78">
        <v>65.004360670187097</v>
      </c>
      <c r="AP24" s="78">
        <v>67.257604162590297</v>
      </c>
      <c r="AQ24" s="78">
        <v>71.127145711840399</v>
      </c>
      <c r="AR24" s="78">
        <v>71.359534380300701</v>
      </c>
      <c r="AS24" s="78">
        <v>74.331947581540604</v>
      </c>
      <c r="AT24" s="78">
        <v>77.293552007502598</v>
      </c>
      <c r="AU24" s="78">
        <v>79.217514006850294</v>
      </c>
      <c r="AV24" s="78">
        <v>80.395670512068804</v>
      </c>
      <c r="AW24" s="78">
        <v>81.098240905089</v>
      </c>
      <c r="AX24" s="78">
        <v>85.448772954175894</v>
      </c>
      <c r="AY24" s="78">
        <v>88.680596762068902</v>
      </c>
      <c r="AZ24" s="78">
        <v>89.831731329094396</v>
      </c>
      <c r="BA24" s="78">
        <v>96.970927399707605</v>
      </c>
      <c r="BB24" s="78">
        <v>97.839857073249902</v>
      </c>
      <c r="BC24" s="78">
        <v>100</v>
      </c>
      <c r="BD24" s="78">
        <v>102.70423907747301</v>
      </c>
      <c r="BE24" s="78">
        <v>109.63131395160001</v>
      </c>
      <c r="BF24" s="78">
        <v>110.101510475881</v>
      </c>
      <c r="BG24" s="78">
        <v>109.49732012343701</v>
      </c>
      <c r="BH24" s="78">
        <v>109.73688484651601</v>
      </c>
      <c r="BI24" s="78">
        <v>108.86633100536</v>
      </c>
      <c r="BJ24" s="78">
        <v>108.91343186616901</v>
      </c>
      <c r="BK24" s="78">
        <v>109.914532239727</v>
      </c>
      <c r="BL24" s="78">
        <v>110.720040198148</v>
      </c>
      <c r="BM24" s="78">
        <v>114.066798322144</v>
      </c>
      <c r="BN24" s="78">
        <v>116.04419147224</v>
      </c>
      <c r="BO24" s="78">
        <v>117.611691618775</v>
      </c>
      <c r="BP24" s="78">
        <v>120.823695911462</v>
      </c>
    </row>
    <row r="25" spans="1:68" x14ac:dyDescent="0.25">
      <c r="A25" s="78" t="s">
        <v>727</v>
      </c>
      <c r="B25" s="78" t="s">
        <v>728</v>
      </c>
      <c r="C25" s="78" t="s">
        <v>691</v>
      </c>
      <c r="D25" s="78" t="s">
        <v>692</v>
      </c>
      <c r="E25" s="78">
        <v>10.7133005080714</v>
      </c>
      <c r="F25" s="78">
        <v>12.7019182107387</v>
      </c>
      <c r="G25" s="78">
        <v>12.914790872513899</v>
      </c>
      <c r="H25" s="78">
        <v>13.634687510708501</v>
      </c>
      <c r="I25" s="78">
        <v>13.886264292909299</v>
      </c>
      <c r="J25" s="78">
        <v>13.784859497606901</v>
      </c>
      <c r="K25" s="78">
        <v>14.1107481908154</v>
      </c>
      <c r="L25" s="78">
        <v>13.4992230895676</v>
      </c>
      <c r="M25" s="78">
        <v>13.4605189692272</v>
      </c>
      <c r="N25" s="78">
        <v>14.7602033299891</v>
      </c>
      <c r="O25" s="78">
        <v>15.0218431834454</v>
      </c>
      <c r="P25" s="78">
        <v>15.3314761461065</v>
      </c>
      <c r="Q25" s="78">
        <v>14.883282432646901</v>
      </c>
      <c r="R25" s="78">
        <v>16.014990911173001</v>
      </c>
      <c r="S25" s="78">
        <v>17.411435572766401</v>
      </c>
      <c r="T25" s="78">
        <v>20.6772892464645</v>
      </c>
      <c r="U25" s="78">
        <v>18.940248325912901</v>
      </c>
      <c r="V25" s="78">
        <v>24.619690943546001</v>
      </c>
      <c r="W25" s="78">
        <v>26.655527672995898</v>
      </c>
      <c r="X25" s="78">
        <v>30.652115138535201</v>
      </c>
      <c r="Y25" s="78">
        <v>34.392481327480397</v>
      </c>
      <c r="Z25" s="78">
        <v>36.991075966636302</v>
      </c>
      <c r="AA25" s="78">
        <v>41.452112876175001</v>
      </c>
      <c r="AB25" s="78">
        <v>44.832019824993701</v>
      </c>
      <c r="AC25" s="78">
        <v>47.005008853834603</v>
      </c>
      <c r="AD25" s="78">
        <v>50.251201944236797</v>
      </c>
      <c r="AE25" s="78">
        <v>48.938769732847398</v>
      </c>
      <c r="AF25" s="78">
        <v>47.6263375212922</v>
      </c>
      <c r="AG25" s="78">
        <v>49.653131569568103</v>
      </c>
      <c r="AH25" s="78">
        <v>49.413903419607699</v>
      </c>
      <c r="AI25" s="78">
        <v>49.164707430065498</v>
      </c>
      <c r="AJ25" s="78">
        <v>50.227943652112103</v>
      </c>
      <c r="AK25" s="78">
        <v>49.227837080749801</v>
      </c>
      <c r="AL25" s="78">
        <v>49.500291362649101</v>
      </c>
      <c r="AM25" s="78">
        <v>61.963413452949403</v>
      </c>
      <c r="AN25" s="78">
        <v>66.585168405657598</v>
      </c>
      <c r="AO25" s="78">
        <v>70.645401728597307</v>
      </c>
      <c r="AP25" s="78">
        <v>72.283450033187805</v>
      </c>
      <c r="AQ25" s="78">
        <v>75.958581655861295</v>
      </c>
      <c r="AR25" s="78">
        <v>75.143839557692402</v>
      </c>
      <c r="AS25" s="78">
        <v>74.915242853889694</v>
      </c>
      <c r="AT25" s="78">
        <v>78.666573377831099</v>
      </c>
      <c r="AU25" s="78">
        <v>80.378117929379002</v>
      </c>
      <c r="AV25" s="78">
        <v>82.013463579659501</v>
      </c>
      <c r="AW25" s="78">
        <v>81.685222158814696</v>
      </c>
      <c r="AX25" s="78">
        <v>86.925361984444706</v>
      </c>
      <c r="AY25" s="78">
        <v>88.953425048950294</v>
      </c>
      <c r="AZ25" s="78">
        <v>88.748274160922307</v>
      </c>
      <c r="BA25" s="78">
        <v>98.208660825985902</v>
      </c>
      <c r="BB25" s="78">
        <v>100.77011619936501</v>
      </c>
      <c r="BC25" s="78">
        <v>100</v>
      </c>
      <c r="BD25" s="78">
        <v>102.759767248545</v>
      </c>
      <c r="BE25" s="78">
        <v>106.683291770574</v>
      </c>
      <c r="BF25" s="78">
        <v>107.252701579385</v>
      </c>
      <c r="BG25" s="78">
        <v>106.975893599335</v>
      </c>
      <c r="BH25" s="78">
        <v>107.751296576491</v>
      </c>
      <c r="BI25" s="78">
        <v>108.226524455215</v>
      </c>
      <c r="BJ25" s="78">
        <v>109.831522699898</v>
      </c>
      <c r="BK25" s="78">
        <v>111.97976470929299</v>
      </c>
      <c r="BL25" s="78">
        <v>108.359022934412</v>
      </c>
      <c r="BM25" s="78">
        <v>110.40098363881999</v>
      </c>
      <c r="BN25" s="78">
        <v>114.434519867232</v>
      </c>
      <c r="BO25" s="78">
        <v>130.78748216983399</v>
      </c>
      <c r="BP25" s="78">
        <v>131.75911601426699</v>
      </c>
    </row>
    <row r="26" spans="1:68" x14ac:dyDescent="0.25">
      <c r="A26" s="78" t="s">
        <v>729</v>
      </c>
      <c r="B26" s="78" t="s">
        <v>730</v>
      </c>
      <c r="C26" s="78" t="s">
        <v>691</v>
      </c>
      <c r="D26" s="78" t="s">
        <v>692</v>
      </c>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v>24.280002828765799</v>
      </c>
      <c r="AF26" s="78">
        <v>26.677579319057301</v>
      </c>
      <c r="AG26" s="78">
        <v>28.655125837091202</v>
      </c>
      <c r="AH26" s="78">
        <v>30.387465668618098</v>
      </c>
      <c r="AI26" s="78">
        <v>32.249220140245903</v>
      </c>
      <c r="AJ26" s="78">
        <v>34.299420491318998</v>
      </c>
      <c r="AK26" s="78">
        <v>35.5458878143966</v>
      </c>
      <c r="AL26" s="78">
        <v>36.617531851723903</v>
      </c>
      <c r="AM26" s="78">
        <v>38.563292317803203</v>
      </c>
      <c r="AN26" s="78">
        <v>42.534467582538497</v>
      </c>
      <c r="AO26" s="78">
        <v>43.545566759000003</v>
      </c>
      <c r="AP26" s="78">
        <v>45.855920809106301</v>
      </c>
      <c r="AQ26" s="78">
        <v>49.708844392463</v>
      </c>
      <c r="AR26" s="78">
        <v>52.744412354129302</v>
      </c>
      <c r="AS26" s="78">
        <v>53.909144115037897</v>
      </c>
      <c r="AT26" s="78">
        <v>54.991194300326498</v>
      </c>
      <c r="AU26" s="78">
        <v>56.823811557662602</v>
      </c>
      <c r="AV26" s="78">
        <v>60.044987358421103</v>
      </c>
      <c r="AW26" s="78">
        <v>64.600922621638105</v>
      </c>
      <c r="AX26" s="78">
        <v>69.153102968056402</v>
      </c>
      <c r="AY26" s="78">
        <v>73.831490991383106</v>
      </c>
      <c r="AZ26" s="78">
        <v>80.555313778396695</v>
      </c>
      <c r="BA26" s="78">
        <v>87.7263034206632</v>
      </c>
      <c r="BB26" s="78">
        <v>92.484115240665005</v>
      </c>
      <c r="BC26" s="78">
        <v>100</v>
      </c>
      <c r="BD26" s="78">
        <v>111.39516515523999</v>
      </c>
      <c r="BE26" s="78">
        <v>118.32116425041499</v>
      </c>
      <c r="BF26" s="78">
        <v>127.23122878648699</v>
      </c>
      <c r="BG26" s="78">
        <v>136.126776861358</v>
      </c>
      <c r="BH26" s="78">
        <v>144.55885088801301</v>
      </c>
      <c r="BI26" s="78">
        <v>152.52914032227801</v>
      </c>
      <c r="BJ26" s="78">
        <v>161.22645891358599</v>
      </c>
      <c r="BK26" s="78">
        <v>170.16424338410201</v>
      </c>
      <c r="BL26" s="78">
        <v>179.67982174704801</v>
      </c>
      <c r="BM26" s="78">
        <v>189.90553470877899</v>
      </c>
      <c r="BN26" s="78">
        <v>200.43703917498399</v>
      </c>
      <c r="BO26" s="78">
        <v>215.864586624407</v>
      </c>
      <c r="BP26" s="78">
        <v>237.199569600947</v>
      </c>
    </row>
    <row r="27" spans="1:68" x14ac:dyDescent="0.25">
      <c r="A27" s="78" t="s">
        <v>731</v>
      </c>
      <c r="B27" s="78" t="s">
        <v>732</v>
      </c>
      <c r="C27" s="78" t="s">
        <v>691</v>
      </c>
      <c r="D27" s="78" t="s">
        <v>692</v>
      </c>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v>2.4834862532264201E-2</v>
      </c>
      <c r="AE27" s="78">
        <v>2.5505403820635299E-2</v>
      </c>
      <c r="AF27" s="78">
        <v>2.6200779971538701E-2</v>
      </c>
      <c r="AG27" s="78">
        <v>2.6821651534845298E-2</v>
      </c>
      <c r="AH27" s="78">
        <v>2.8535257049571501E-2</v>
      </c>
      <c r="AI27" s="78">
        <v>3.5326648227369598E-2</v>
      </c>
      <c r="AJ27" s="78">
        <v>0.15488937526507399</v>
      </c>
      <c r="AK27" s="78">
        <v>0.29630017289574401</v>
      </c>
      <c r="AL27" s="78">
        <v>0.51224015777866705</v>
      </c>
      <c r="AM27" s="78">
        <v>1.0042844188839899</v>
      </c>
      <c r="AN27" s="78">
        <v>1.6274914447347599</v>
      </c>
      <c r="AO27" s="78">
        <v>3.6066437942484999</v>
      </c>
      <c r="AP27" s="78">
        <v>41.778408087814</v>
      </c>
      <c r="AQ27" s="78">
        <v>49.5793578586104</v>
      </c>
      <c r="AR27" s="78">
        <v>50.8550559656491</v>
      </c>
      <c r="AS27" s="78">
        <v>56.101396844914603</v>
      </c>
      <c r="AT27" s="78">
        <v>60.230986597591198</v>
      </c>
      <c r="AU27" s="78">
        <v>63.730493445071097</v>
      </c>
      <c r="AV27" s="78">
        <v>65.2272943870787</v>
      </c>
      <c r="AW27" s="78">
        <v>69.236901452823503</v>
      </c>
      <c r="AX27" s="78">
        <v>72.725636802491493</v>
      </c>
      <c r="AY27" s="78">
        <v>78.006677737501406</v>
      </c>
      <c r="AZ27" s="78">
        <v>84.561215504924107</v>
      </c>
      <c r="BA27" s="78">
        <v>95.003442897473306</v>
      </c>
      <c r="BB27" s="78">
        <v>97.6190798145944</v>
      </c>
      <c r="BC27" s="78">
        <v>100</v>
      </c>
      <c r="BD27" s="78">
        <v>104.21990346601901</v>
      </c>
      <c r="BE27" s="78">
        <v>107.299151694355</v>
      </c>
      <c r="BF27" s="78">
        <v>108.25421451304101</v>
      </c>
      <c r="BG27" s="78">
        <v>106.71897077713299</v>
      </c>
      <c r="BH27" s="78">
        <v>106.60730723789401</v>
      </c>
      <c r="BI27" s="78">
        <v>105.755888099687</v>
      </c>
      <c r="BJ27" s="78">
        <v>107.936147464138</v>
      </c>
      <c r="BK27" s="78">
        <v>110.974058623258</v>
      </c>
      <c r="BL27" s="78">
        <v>114.41839316035301</v>
      </c>
      <c r="BM27" s="78">
        <v>116.331973243132</v>
      </c>
      <c r="BN27" s="78">
        <v>120.168304321485</v>
      </c>
      <c r="BO27" s="78">
        <v>138.58440810626101</v>
      </c>
      <c r="BP27" s="78">
        <v>151.67071397009099</v>
      </c>
    </row>
    <row r="28" spans="1:68" x14ac:dyDescent="0.25">
      <c r="A28" s="78" t="s">
        <v>733</v>
      </c>
      <c r="B28" s="78" t="s">
        <v>734</v>
      </c>
      <c r="C28" s="78" t="s">
        <v>691</v>
      </c>
      <c r="D28" s="78" t="s">
        <v>692</v>
      </c>
      <c r="E28" s="78"/>
      <c r="F28" s="78"/>
      <c r="G28" s="78"/>
      <c r="H28" s="78"/>
      <c r="I28" s="78"/>
      <c r="J28" s="78">
        <v>17.965654749727001</v>
      </c>
      <c r="K28" s="78">
        <v>18.3491265694073</v>
      </c>
      <c r="L28" s="78">
        <v>19.1304504018123</v>
      </c>
      <c r="M28" s="78">
        <v>19.753592108714901</v>
      </c>
      <c r="N28" s="78">
        <v>19.715244926751598</v>
      </c>
      <c r="O28" s="78">
        <v>20.036402575597801</v>
      </c>
      <c r="P28" s="78">
        <v>21.196404830129499</v>
      </c>
      <c r="Q28" s="78">
        <v>22.274919322797501</v>
      </c>
      <c r="R28" s="78">
        <v>25.467322221188699</v>
      </c>
      <c r="S28" s="78">
        <v>31.679565699232601</v>
      </c>
      <c r="T28" s="78">
        <v>36.798914491324297</v>
      </c>
      <c r="U28" s="78">
        <v>45.0771123977812</v>
      </c>
      <c r="V28" s="78">
        <v>53.069789692663001</v>
      </c>
      <c r="W28" s="78">
        <v>61.447141295760503</v>
      </c>
      <c r="X28" s="78">
        <v>62.802660286967601</v>
      </c>
      <c r="Y28" s="78">
        <v>65.232824964751103</v>
      </c>
      <c r="Z28" s="78">
        <v>72.633225943729798</v>
      </c>
      <c r="AA28" s="78">
        <v>79.087206005262104</v>
      </c>
      <c r="AB28" s="78">
        <v>81.437993444914994</v>
      </c>
      <c r="AC28" s="78">
        <v>81.700548925188102</v>
      </c>
      <c r="AD28" s="78">
        <v>79.546947535162403</v>
      </c>
      <c r="AE28" s="78">
        <v>77.720475470707797</v>
      </c>
      <c r="AF28" s="78">
        <v>76.364251810705099</v>
      </c>
      <c r="AG28" s="78">
        <v>76.595968415931694</v>
      </c>
      <c r="AH28" s="78">
        <v>77.734105859250505</v>
      </c>
      <c r="AI28" s="78">
        <v>78.456516452015805</v>
      </c>
      <c r="AJ28" s="78">
        <v>79.056253547896304</v>
      </c>
      <c r="AK28" s="78">
        <v>78.919949662468994</v>
      </c>
      <c r="AL28" s="78">
        <v>80.923616778251898</v>
      </c>
      <c r="AM28" s="78">
        <v>81.584690622574797</v>
      </c>
      <c r="AN28" s="78">
        <v>83.790769008217097</v>
      </c>
      <c r="AO28" s="78">
        <v>83.411844206729199</v>
      </c>
      <c r="AP28" s="78">
        <v>85.440046021889003</v>
      </c>
      <c r="AQ28" s="78">
        <v>85.126879319338698</v>
      </c>
      <c r="AR28" s="78">
        <v>84.030795860412397</v>
      </c>
      <c r="AS28" s="78">
        <v>83.438502314284605</v>
      </c>
      <c r="AT28" s="78">
        <v>82.430922488687798</v>
      </c>
      <c r="AU28" s="78">
        <v>82.022444181013498</v>
      </c>
      <c r="AV28" s="78">
        <v>83.329574765571394</v>
      </c>
      <c r="AW28" s="78">
        <v>85.290270642408402</v>
      </c>
      <c r="AX28" s="78">
        <v>87.496053503850007</v>
      </c>
      <c r="AY28" s="78">
        <v>89.252510226849793</v>
      </c>
      <c r="AZ28" s="78">
        <v>92.1591669765712</v>
      </c>
      <c r="BA28" s="78">
        <v>95.408702119746806</v>
      </c>
      <c r="BB28" s="78">
        <v>98.075864633692206</v>
      </c>
      <c r="BC28" s="78">
        <v>100</v>
      </c>
      <c r="BD28" s="78">
        <v>99.599959302511905</v>
      </c>
      <c r="BE28" s="78">
        <v>102.34632529315201</v>
      </c>
      <c r="BF28" s="78">
        <v>105.723765868154</v>
      </c>
      <c r="BG28" s="78">
        <v>108.52285882773199</v>
      </c>
      <c r="BH28" s="78">
        <v>110.529042157059</v>
      </c>
      <c r="BI28" s="78">
        <v>113.609258293</v>
      </c>
      <c r="BJ28" s="78">
        <v>115.18469867479099</v>
      </c>
      <c r="BK28" s="78">
        <v>117.58937436001101</v>
      </c>
      <c r="BL28" s="78">
        <v>118.77211186049099</v>
      </c>
      <c r="BM28" s="78">
        <v>116.019323149199</v>
      </c>
      <c r="BN28" s="78">
        <v>115.315875502436</v>
      </c>
      <c r="BO28" s="78">
        <v>119.496930529675</v>
      </c>
      <c r="BP28" s="78">
        <v>119.586099949687</v>
      </c>
    </row>
    <row r="29" spans="1:68" x14ac:dyDescent="0.25">
      <c r="A29" s="78" t="s">
        <v>735</v>
      </c>
      <c r="B29" s="78" t="s">
        <v>736</v>
      </c>
      <c r="C29" s="78" t="s">
        <v>691</v>
      </c>
      <c r="D29" s="78" t="s">
        <v>692</v>
      </c>
      <c r="E29" s="78"/>
      <c r="F29" s="78"/>
      <c r="G29" s="78"/>
      <c r="H29" s="78"/>
      <c r="I29" s="78"/>
      <c r="J29" s="78"/>
      <c r="K29" s="78">
        <v>13.962336896827299</v>
      </c>
      <c r="L29" s="78">
        <v>14.721574778853499</v>
      </c>
      <c r="M29" s="78">
        <v>15.390086121392001</v>
      </c>
      <c r="N29" s="78">
        <v>16.765309454518501</v>
      </c>
      <c r="O29" s="78">
        <v>17.796726954530602</v>
      </c>
      <c r="P29" s="78">
        <v>18.6180408895538</v>
      </c>
      <c r="Q29" s="78">
        <v>19.889804134017901</v>
      </c>
      <c r="R29" s="78">
        <v>20.9801142998882</v>
      </c>
      <c r="S29" s="78">
        <v>23.722602497952899</v>
      </c>
      <c r="T29" s="78">
        <v>26.1801775286024</v>
      </c>
      <c r="U29" s="78">
        <v>27.294363099483999</v>
      </c>
      <c r="V29" s="78">
        <v>28.1650195384886</v>
      </c>
      <c r="W29" s="78">
        <v>29.8856403987206</v>
      </c>
      <c r="X29" s="78">
        <v>32.602661498005901</v>
      </c>
      <c r="Y29" s="78">
        <v>36.546878419030797</v>
      </c>
      <c r="Z29" s="78">
        <v>40.608880671756602</v>
      </c>
      <c r="AA29" s="78">
        <v>43.050538765663099</v>
      </c>
      <c r="AB29" s="78">
        <v>44.772560316289599</v>
      </c>
      <c r="AC29" s="78">
        <v>46.548395040373201</v>
      </c>
      <c r="AD29" s="78">
        <v>48.691953116413501</v>
      </c>
      <c r="AE29" s="78">
        <v>51.337767478053202</v>
      </c>
      <c r="AF29" s="78">
        <v>54.293007587071301</v>
      </c>
      <c r="AG29" s="78">
        <v>56.683209374789598</v>
      </c>
      <c r="AH29" s="78">
        <v>59.737106968478798</v>
      </c>
      <c r="AI29" s="78">
        <v>62.526423126004403</v>
      </c>
      <c r="AJ29" s="78">
        <v>66.974978798455894</v>
      </c>
      <c r="AK29" s="78">
        <v>70.818136269515804</v>
      </c>
      <c r="AL29" s="78">
        <v>72.746441651727594</v>
      </c>
      <c r="AM29" s="78">
        <v>73.764407516290802</v>
      </c>
      <c r="AN29" s="78">
        <v>75.289114097574597</v>
      </c>
      <c r="AO29" s="78">
        <v>76.327454437435804</v>
      </c>
      <c r="AP29" s="78">
        <v>76.742790573380304</v>
      </c>
      <c r="AQ29" s="78">
        <v>77.768544969728097</v>
      </c>
      <c r="AR29" s="78">
        <v>78.743955592022004</v>
      </c>
      <c r="AS29" s="78">
        <v>80.008842915125598</v>
      </c>
      <c r="AT29" s="78">
        <v>81.645015571876698</v>
      </c>
      <c r="AU29" s="78">
        <v>83.419633607275898</v>
      </c>
      <c r="AV29" s="78">
        <v>85.943115281726307</v>
      </c>
      <c r="AW29" s="78">
        <v>86.787002794304399</v>
      </c>
      <c r="AX29" s="78">
        <v>88.168310094907895</v>
      </c>
      <c r="AY29" s="78">
        <v>90.2753795352439</v>
      </c>
      <c r="AZ29" s="78">
        <v>92.525563739271107</v>
      </c>
      <c r="BA29" s="78">
        <v>96.679554395891401</v>
      </c>
      <c r="BB29" s="78">
        <v>98.673797145601199</v>
      </c>
      <c r="BC29" s="78">
        <v>100</v>
      </c>
      <c r="BD29" s="78">
        <v>103.198781416603</v>
      </c>
      <c r="BE29" s="78">
        <v>105.23527269114901</v>
      </c>
      <c r="BF29" s="78">
        <v>105.995507859611</v>
      </c>
      <c r="BG29" s="78">
        <v>107.600021675885</v>
      </c>
      <c r="BH29" s="78">
        <v>109.60297781818799</v>
      </c>
      <c r="BI29" s="78">
        <v>109.223338388445</v>
      </c>
      <c r="BJ29" s="78">
        <v>110.88157476553199</v>
      </c>
      <c r="BK29" s="78">
        <v>113.393999859543</v>
      </c>
      <c r="BL29" s="78">
        <v>116.218911182281</v>
      </c>
      <c r="BM29" s="78">
        <v>116.263679982958</v>
      </c>
      <c r="BN29" s="78">
        <v>119.641038306054</v>
      </c>
      <c r="BO29" s="78">
        <v>126.34740464751501</v>
      </c>
      <c r="BP29" s="78">
        <v>130.204684513872</v>
      </c>
    </row>
    <row r="30" spans="1:68" x14ac:dyDescent="0.25">
      <c r="A30" s="78" t="s">
        <v>737</v>
      </c>
      <c r="B30" s="78" t="s">
        <v>738</v>
      </c>
      <c r="C30" s="78" t="s">
        <v>691</v>
      </c>
      <c r="D30" s="78" t="s">
        <v>692</v>
      </c>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v>85.049701205601494</v>
      </c>
      <c r="AY30" s="78">
        <v>90.259476918603497</v>
      </c>
      <c r="AZ30" s="78">
        <v>91.6140704842974</v>
      </c>
      <c r="BA30" s="78">
        <v>98.418286987880904</v>
      </c>
      <c r="BB30" s="78">
        <v>98.042856375619905</v>
      </c>
      <c r="BC30" s="78">
        <v>100</v>
      </c>
      <c r="BD30" s="78">
        <v>103.67125</v>
      </c>
      <c r="BE30" s="78">
        <v>105.79928333333299</v>
      </c>
      <c r="BF30" s="78"/>
      <c r="BG30" s="78"/>
      <c r="BH30" s="78"/>
      <c r="BI30" s="78"/>
      <c r="BJ30" s="78"/>
      <c r="BK30" s="78"/>
      <c r="BL30" s="78"/>
      <c r="BM30" s="78"/>
      <c r="BN30" s="78"/>
      <c r="BO30" s="78"/>
      <c r="BP30" s="78"/>
    </row>
    <row r="31" spans="1:68" x14ac:dyDescent="0.25">
      <c r="A31" s="78" t="s">
        <v>739</v>
      </c>
      <c r="B31" s="78" t="s">
        <v>740</v>
      </c>
      <c r="C31" s="78" t="s">
        <v>691</v>
      </c>
      <c r="D31" s="78" t="s">
        <v>692</v>
      </c>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v>1.44697526067745E-4</v>
      </c>
      <c r="AL31" s="78">
        <v>1.86692978146556E-3</v>
      </c>
      <c r="AM31" s="78">
        <v>4.3331749576594303E-2</v>
      </c>
      <c r="AN31" s="78">
        <v>0.35070379584573702</v>
      </c>
      <c r="AO31" s="78">
        <v>0.53556704988831105</v>
      </c>
      <c r="AP31" s="78">
        <v>0.87799451654895799</v>
      </c>
      <c r="AQ31" s="78">
        <v>1.51778663650374</v>
      </c>
      <c r="AR31" s="78">
        <v>5.9752034717598201</v>
      </c>
      <c r="AS31" s="78">
        <v>16.050605658414401</v>
      </c>
      <c r="AT31" s="78">
        <v>25.863132699757699</v>
      </c>
      <c r="AU31" s="78">
        <v>36.864675221104903</v>
      </c>
      <c r="AV31" s="78">
        <v>47.3334466749698</v>
      </c>
      <c r="AW31" s="78">
        <v>55.904701979530103</v>
      </c>
      <c r="AX31" s="78">
        <v>61.684621721723701</v>
      </c>
      <c r="AY31" s="78">
        <v>66.000774298563798</v>
      </c>
      <c r="AZ31" s="78">
        <v>71.562496351924295</v>
      </c>
      <c r="BA31" s="78">
        <v>82.180851168649198</v>
      </c>
      <c r="BB31" s="78">
        <v>92.819701739084294</v>
      </c>
      <c r="BC31" s="78">
        <v>100</v>
      </c>
      <c r="BD31" s="78">
        <v>153.228698311817</v>
      </c>
      <c r="BE31" s="78">
        <v>243.97032896394001</v>
      </c>
      <c r="BF31" s="78">
        <v>288.64681245856599</v>
      </c>
      <c r="BG31" s="78">
        <v>340.94832852925498</v>
      </c>
      <c r="BH31" s="78">
        <v>387.09394515789398</v>
      </c>
      <c r="BI31" s="78">
        <v>432.91263261428702</v>
      </c>
      <c r="BJ31" s="78">
        <v>459.02521805596803</v>
      </c>
      <c r="BK31" s="78">
        <v>481.39031387914201</v>
      </c>
      <c r="BL31" s="78">
        <v>508.33929438020903</v>
      </c>
      <c r="BM31" s="78">
        <v>536.54268827835403</v>
      </c>
      <c r="BN31" s="78">
        <v>587.30114981395604</v>
      </c>
      <c r="BO31" s="78">
        <v>676.62774758160299</v>
      </c>
      <c r="BP31" s="78">
        <v>710.46318817005795</v>
      </c>
    </row>
    <row r="32" spans="1:68" x14ac:dyDescent="0.25">
      <c r="A32" s="78" t="s">
        <v>741</v>
      </c>
      <c r="B32" s="78" t="s">
        <v>742</v>
      </c>
      <c r="C32" s="78" t="s">
        <v>691</v>
      </c>
      <c r="D32" s="78" t="s">
        <v>692</v>
      </c>
      <c r="E32" s="78"/>
      <c r="F32" s="78"/>
      <c r="G32" s="78"/>
      <c r="H32" s="78"/>
      <c r="I32" s="78"/>
      <c r="J32" s="78"/>
      <c r="K32" s="78"/>
      <c r="L32" s="78"/>
      <c r="M32" s="78"/>
      <c r="N32" s="78"/>
      <c r="O32" s="78"/>
      <c r="P32" s="78"/>
      <c r="Q32" s="78"/>
      <c r="R32" s="78"/>
      <c r="S32" s="78"/>
      <c r="T32" s="78"/>
      <c r="U32" s="78"/>
      <c r="V32" s="78"/>
      <c r="W32" s="78"/>
      <c r="X32" s="78"/>
      <c r="Y32" s="78">
        <v>43.5056855487787</v>
      </c>
      <c r="Z32" s="78">
        <v>48.388976783891003</v>
      </c>
      <c r="AA32" s="78">
        <v>51.698314645702602</v>
      </c>
      <c r="AB32" s="78">
        <v>54.281212489269599</v>
      </c>
      <c r="AC32" s="78">
        <v>56.117491424988799</v>
      </c>
      <c r="AD32" s="78">
        <v>59.617632586450902</v>
      </c>
      <c r="AE32" s="78">
        <v>60.094437417190903</v>
      </c>
      <c r="AF32" s="78">
        <v>61.303478237995797</v>
      </c>
      <c r="AG32" s="78">
        <v>63.227726304910703</v>
      </c>
      <c r="AH32" s="78">
        <v>64.572997077355595</v>
      </c>
      <c r="AI32" s="78">
        <v>66.548331376135494</v>
      </c>
      <c r="AJ32" s="78">
        <v>67.055397385817898</v>
      </c>
      <c r="AK32" s="78">
        <v>68.662514584637094</v>
      </c>
      <c r="AL32" s="78">
        <v>69.673636678100493</v>
      </c>
      <c r="AM32" s="78">
        <v>71.463791417293194</v>
      </c>
      <c r="AN32" s="78">
        <v>73.528820456611399</v>
      </c>
      <c r="AO32" s="78">
        <v>77.914830019792205</v>
      </c>
      <c r="AP32" s="78">
        <v>78.810100687455503</v>
      </c>
      <c r="AQ32" s="78">
        <v>80.540189274355697</v>
      </c>
      <c r="AR32" s="78">
        <v>82.651465966974101</v>
      </c>
      <c r="AS32" s="78">
        <v>85.186749821307899</v>
      </c>
      <c r="AT32" s="78">
        <v>88.297274023419902</v>
      </c>
      <c r="AU32" s="78">
        <v>92.041313848626004</v>
      </c>
      <c r="AV32" s="78">
        <v>94.174907664723506</v>
      </c>
      <c r="AW32" s="78">
        <v>100.196857152232</v>
      </c>
      <c r="AX32" s="78">
        <v>99.090372794020794</v>
      </c>
      <c r="AY32" s="78">
        <v>92.041313847855093</v>
      </c>
      <c r="AZ32" s="78">
        <v>94.174907663740697</v>
      </c>
      <c r="BA32" s="78">
        <v>100.196857155967</v>
      </c>
      <c r="BB32" s="78">
        <v>99.090372793181203</v>
      </c>
      <c r="BC32" s="78">
        <v>100</v>
      </c>
      <c r="BD32" s="78">
        <v>101.602056156402</v>
      </c>
      <c r="BE32" s="78">
        <v>102.923472935782</v>
      </c>
      <c r="BF32" s="78">
        <v>103.448123042833</v>
      </c>
      <c r="BG32" s="78">
        <v>104.690948425632</v>
      </c>
      <c r="BH32" s="78">
        <v>103.788947954679</v>
      </c>
      <c r="BI32" s="78">
        <v>104.477512032706</v>
      </c>
      <c r="BJ32" s="78">
        <v>105.67655174453201</v>
      </c>
      <c r="BK32" s="78">
        <v>105.96186007045399</v>
      </c>
      <c r="BL32" s="78">
        <v>106.16008227061501</v>
      </c>
      <c r="BM32" s="78">
        <v>106.28899738924299</v>
      </c>
      <c r="BN32" s="78">
        <v>109.728123082433</v>
      </c>
      <c r="BO32" s="78">
        <v>116.61564017262</v>
      </c>
      <c r="BP32" s="78">
        <v>121.73488039510799</v>
      </c>
    </row>
    <row r="33" spans="1:68" x14ac:dyDescent="0.25">
      <c r="A33" s="78" t="s">
        <v>743</v>
      </c>
      <c r="B33" s="78" t="s">
        <v>744</v>
      </c>
      <c r="C33" s="78" t="s">
        <v>691</v>
      </c>
      <c r="D33" s="78" t="s">
        <v>692</v>
      </c>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row>
    <row r="34" spans="1:68" x14ac:dyDescent="0.25">
      <c r="A34" s="78" t="s">
        <v>745</v>
      </c>
      <c r="B34" s="78" t="s">
        <v>746</v>
      </c>
      <c r="C34" s="78" t="s">
        <v>691</v>
      </c>
      <c r="D34" s="78" t="s">
        <v>692</v>
      </c>
      <c r="E34" s="80">
        <v>2.2431194687767998E-5</v>
      </c>
      <c r="F34" s="80">
        <v>2.4127327920014301E-5</v>
      </c>
      <c r="G34" s="80">
        <v>2.55458534917657E-5</v>
      </c>
      <c r="H34" s="80">
        <v>2.53654085126076E-5</v>
      </c>
      <c r="I34" s="80">
        <v>2.7948068288436701E-5</v>
      </c>
      <c r="J34" s="80">
        <v>2.87474629809552E-5</v>
      </c>
      <c r="K34" s="80">
        <v>3.0745949712251602E-5</v>
      </c>
      <c r="L34" s="80">
        <v>3.4189496079716301E-5</v>
      </c>
      <c r="M34" s="80">
        <v>3.6059874687339697E-5</v>
      </c>
      <c r="N34" s="80">
        <v>3.68567072174334E-5</v>
      </c>
      <c r="O34" s="80">
        <v>3.8314577666289402E-5</v>
      </c>
      <c r="P34" s="80">
        <v>3.9722490618402699E-5</v>
      </c>
      <c r="Q34" s="80">
        <v>4.23090380775013E-5</v>
      </c>
      <c r="R34" s="80">
        <v>5.56304739870008E-5</v>
      </c>
      <c r="S34" s="80">
        <v>9.0586480679737594E-5</v>
      </c>
      <c r="T34" s="80">
        <v>9.7812334176970497E-5</v>
      </c>
      <c r="U34" s="78">
        <v>1.0220803186715701E-4</v>
      </c>
      <c r="V34" s="78">
        <v>1.10494298173105E-4</v>
      </c>
      <c r="W34" s="78">
        <v>1.2193672557526801E-4</v>
      </c>
      <c r="X34" s="78">
        <v>1.4598230250805299E-4</v>
      </c>
      <c r="Y34" s="78">
        <v>2.1494675106952099E-4</v>
      </c>
      <c r="Z34" s="78">
        <v>2.84016882664291E-4</v>
      </c>
      <c r="AA34" s="78">
        <v>6.3487917951047005E-4</v>
      </c>
      <c r="AB34" s="78">
        <v>2.3845191154218898E-3</v>
      </c>
      <c r="AC34" s="78">
        <v>3.2938553411775297E-2</v>
      </c>
      <c r="AD34" s="78">
        <v>3.9030998793365899</v>
      </c>
      <c r="AE34" s="78">
        <v>14.688768695859499</v>
      </c>
      <c r="AF34" s="78">
        <v>16.830199989888101</v>
      </c>
      <c r="AG34" s="78">
        <v>19.523383916998299</v>
      </c>
      <c r="AH34" s="78">
        <v>22.485758350139299</v>
      </c>
      <c r="AI34" s="78">
        <v>26.335044640285101</v>
      </c>
      <c r="AJ34" s="78">
        <v>31.983140050655201</v>
      </c>
      <c r="AK34" s="78">
        <v>35.840410238790298</v>
      </c>
      <c r="AL34" s="78">
        <v>38.896836324795402</v>
      </c>
      <c r="AM34" s="78">
        <v>41.959590415119301</v>
      </c>
      <c r="AN34" s="78">
        <v>46.236618223071602</v>
      </c>
      <c r="AO34" s="78">
        <v>51.9817430329974</v>
      </c>
      <c r="AP34" s="78">
        <v>54.429274481210797</v>
      </c>
      <c r="AQ34" s="78">
        <v>58.605757331652498</v>
      </c>
      <c r="AR34" s="78">
        <v>59.871358195422701</v>
      </c>
      <c r="AS34" s="78">
        <v>62.630368078441698</v>
      </c>
      <c r="AT34" s="78">
        <v>63.625974091274301</v>
      </c>
      <c r="AU34" s="78">
        <v>64.216587827700394</v>
      </c>
      <c r="AV34" s="78">
        <v>66.359671957017994</v>
      </c>
      <c r="AW34" s="78">
        <v>69.304303300056702</v>
      </c>
      <c r="AX34" s="78">
        <v>73.042044517724605</v>
      </c>
      <c r="AY34" s="78">
        <v>76.169994145548799</v>
      </c>
      <c r="AZ34" s="78">
        <v>82.801056190783399</v>
      </c>
      <c r="BA34" s="78">
        <v>94.398843447196398</v>
      </c>
      <c r="BB34" s="78">
        <v>97.557857509827102</v>
      </c>
      <c r="BC34" s="78">
        <v>100</v>
      </c>
      <c r="BD34" s="78">
        <v>109.884464198239</v>
      </c>
      <c r="BE34" s="78">
        <v>114.84641026560099</v>
      </c>
      <c r="BF34" s="78">
        <v>121.434460016488</v>
      </c>
      <c r="BG34" s="78">
        <v>128.43710049344699</v>
      </c>
      <c r="BH34" s="78">
        <v>133.651146397123</v>
      </c>
      <c r="BI34" s="78">
        <v>138.49361386907501</v>
      </c>
      <c r="BJ34" s="78">
        <v>142.40295351087801</v>
      </c>
      <c r="BK34" s="78">
        <v>145.63843387457101</v>
      </c>
      <c r="BL34" s="78">
        <v>148.31751847535801</v>
      </c>
      <c r="BM34" s="78">
        <v>149.71280389250501</v>
      </c>
      <c r="BN34" s="78">
        <v>150.816761737338</v>
      </c>
      <c r="BO34" s="78">
        <v>153.45051817639799</v>
      </c>
      <c r="BP34" s="78">
        <v>157.40476617273001</v>
      </c>
    </row>
    <row r="35" spans="1:68" x14ac:dyDescent="0.25">
      <c r="A35" s="78" t="s">
        <v>137</v>
      </c>
      <c r="B35" s="78" t="s">
        <v>136</v>
      </c>
      <c r="C35" s="78" t="s">
        <v>691</v>
      </c>
      <c r="D35" s="78" t="s">
        <v>692</v>
      </c>
      <c r="E35" s="78"/>
      <c r="F35" s="78"/>
      <c r="G35" s="78"/>
      <c r="H35" s="78"/>
      <c r="I35" s="78"/>
      <c r="J35" s="78"/>
      <c r="K35" s="78"/>
      <c r="L35" s="78"/>
      <c r="M35" s="78"/>
      <c r="N35" s="78"/>
      <c r="O35" s="78"/>
      <c r="P35" s="78"/>
      <c r="Q35" s="78"/>
      <c r="R35" s="78"/>
      <c r="S35" s="78"/>
      <c r="T35" s="78"/>
      <c r="U35" s="78"/>
      <c r="V35" s="78"/>
      <c r="W35" s="78"/>
      <c r="X35" s="78"/>
      <c r="Y35" s="80">
        <v>3.5720399582062901E-10</v>
      </c>
      <c r="Z35" s="80">
        <v>7.2057002117779498E-10</v>
      </c>
      <c r="AA35" s="80">
        <v>1.4450553258209899E-9</v>
      </c>
      <c r="AB35" s="80">
        <v>3.3962800392250802E-9</v>
      </c>
      <c r="AC35" s="80">
        <v>9.92127211260218E-9</v>
      </c>
      <c r="AD35" s="80">
        <v>3.2342321744633003E-8</v>
      </c>
      <c r="AE35" s="80">
        <v>7.9931728030545196E-8</v>
      </c>
      <c r="AF35" s="80">
        <v>2.6244476849578802E-7</v>
      </c>
      <c r="AG35" s="80">
        <v>1.9135228855315402E-6</v>
      </c>
      <c r="AH35" s="80">
        <v>2.92907487949526E-5</v>
      </c>
      <c r="AI35" s="78">
        <v>8.92703750329439E-4</v>
      </c>
      <c r="AJ35" s="78">
        <v>4.7562065122725497E-3</v>
      </c>
      <c r="AK35" s="78">
        <v>5.0033487673934202E-2</v>
      </c>
      <c r="AL35" s="78">
        <v>1.01436931774855</v>
      </c>
      <c r="AM35" s="78">
        <v>22.071544293433501</v>
      </c>
      <c r="AN35" s="78">
        <v>36.640315941140898</v>
      </c>
      <c r="AO35" s="78">
        <v>42.413974402024898</v>
      </c>
      <c r="AP35" s="78">
        <v>45.351868475586699</v>
      </c>
      <c r="AQ35" s="78">
        <v>46.800895273592197</v>
      </c>
      <c r="AR35" s="78">
        <v>49.074692199534098</v>
      </c>
      <c r="AS35" s="78">
        <v>52.531582742571402</v>
      </c>
      <c r="AT35" s="78">
        <v>56.124931603612602</v>
      </c>
      <c r="AU35" s="78">
        <v>60.867580580643498</v>
      </c>
      <c r="AV35" s="78">
        <v>69.824196200304698</v>
      </c>
      <c r="AW35" s="78">
        <v>74.430627668127997</v>
      </c>
      <c r="AX35" s="78">
        <v>79.543667330674594</v>
      </c>
      <c r="AY35" s="78">
        <v>82.871430845733897</v>
      </c>
      <c r="AZ35" s="78">
        <v>85.889005874396801</v>
      </c>
      <c r="BA35" s="78">
        <v>90.766293725191602</v>
      </c>
      <c r="BB35" s="78">
        <v>95.202981748030993</v>
      </c>
      <c r="BC35" s="78">
        <v>100</v>
      </c>
      <c r="BD35" s="78">
        <v>106.636449622131</v>
      </c>
      <c r="BE35" s="78">
        <v>112.39854926078399</v>
      </c>
      <c r="BF35" s="78">
        <v>119.372104441451</v>
      </c>
      <c r="BG35" s="78">
        <v>126.927212865611</v>
      </c>
      <c r="BH35" s="78">
        <v>138.38861456010201</v>
      </c>
      <c r="BI35" s="78">
        <v>150.48259420640801</v>
      </c>
      <c r="BJ35" s="78">
        <v>155.66878623001799</v>
      </c>
      <c r="BK35" s="78">
        <v>161.37381418390601</v>
      </c>
      <c r="BL35" s="78">
        <v>167.397860280061</v>
      </c>
      <c r="BM35" s="78">
        <v>172.77429125288799</v>
      </c>
      <c r="BN35" s="78">
        <v>187.11742505829599</v>
      </c>
      <c r="BO35" s="78">
        <v>204.48212061577499</v>
      </c>
      <c r="BP35" s="78">
        <v>213.87513528772001</v>
      </c>
    </row>
    <row r="36" spans="1:68" x14ac:dyDescent="0.25">
      <c r="A36" s="78" t="s">
        <v>747</v>
      </c>
      <c r="B36" s="78" t="s">
        <v>748</v>
      </c>
      <c r="C36" s="78" t="s">
        <v>691</v>
      </c>
      <c r="D36" s="78" t="s">
        <v>692</v>
      </c>
      <c r="E36" s="78"/>
      <c r="F36" s="78"/>
      <c r="G36" s="78"/>
      <c r="H36" s="78"/>
      <c r="I36" s="78"/>
      <c r="J36" s="78"/>
      <c r="K36" s="78">
        <v>6.1383620902613396</v>
      </c>
      <c r="L36" s="78">
        <v>6.3614838887033702</v>
      </c>
      <c r="M36" s="78">
        <v>6.8378790800028701</v>
      </c>
      <c r="N36" s="78">
        <v>7.2368851790414999</v>
      </c>
      <c r="O36" s="78">
        <v>7.7640355541980401</v>
      </c>
      <c r="P36" s="78">
        <v>8.3439512195491297</v>
      </c>
      <c r="Q36" s="78">
        <v>9.3349336216880108</v>
      </c>
      <c r="R36" s="78">
        <v>10.908344322028301</v>
      </c>
      <c r="S36" s="78">
        <v>15.1541913380622</v>
      </c>
      <c r="T36" s="78">
        <v>18.2296539653791</v>
      </c>
      <c r="U36" s="78">
        <v>19.138724536094301</v>
      </c>
      <c r="V36" s="78">
        <v>20.737261565089099</v>
      </c>
      <c r="W36" s="78">
        <v>22.703648045590899</v>
      </c>
      <c r="X36" s="78">
        <v>25.6936811554976</v>
      </c>
      <c r="Y36" s="78">
        <v>29.401412881536899</v>
      </c>
      <c r="Z36" s="78">
        <v>33.684482289066402</v>
      </c>
      <c r="AA36" s="78">
        <v>37.164920116080303</v>
      </c>
      <c r="AB36" s="78">
        <v>39.108756480573099</v>
      </c>
      <c r="AC36" s="78">
        <v>40.941313540440099</v>
      </c>
      <c r="AD36" s="78">
        <v>42.544209056619799</v>
      </c>
      <c r="AE36" s="78">
        <v>43.110076159272801</v>
      </c>
      <c r="AF36" s="78">
        <v>44.537765961877298</v>
      </c>
      <c r="AG36" s="78">
        <v>46.701793291054699</v>
      </c>
      <c r="AH36" s="78">
        <v>49.592687567778597</v>
      </c>
      <c r="AI36" s="78">
        <v>51.117450806279997</v>
      </c>
      <c r="AJ36" s="78">
        <v>54.3161389044404</v>
      </c>
      <c r="AK36" s="78">
        <v>57.6261063072741</v>
      </c>
      <c r="AL36" s="78">
        <v>58.267738042730301</v>
      </c>
      <c r="AM36" s="78">
        <v>58.312723293555798</v>
      </c>
      <c r="AN36" s="78">
        <v>59.408339355437199</v>
      </c>
      <c r="AO36" s="78">
        <v>60.825912768836197</v>
      </c>
      <c r="AP36" s="78">
        <v>65.515918367065694</v>
      </c>
      <c r="AQ36" s="78">
        <v>64.684595653445001</v>
      </c>
      <c r="AR36" s="78">
        <v>65.693715710440998</v>
      </c>
      <c r="AS36" s="78">
        <v>67.293891800820404</v>
      </c>
      <c r="AT36" s="78">
        <v>69.028617232132504</v>
      </c>
      <c r="AU36" s="78">
        <v>69.115075201119296</v>
      </c>
      <c r="AV36" s="78">
        <v>70.2343476740119</v>
      </c>
      <c r="AW36" s="78">
        <v>71.213711087792902</v>
      </c>
      <c r="AX36" s="78">
        <v>75.545062376122203</v>
      </c>
      <c r="AY36" s="78">
        <v>81.065640666899995</v>
      </c>
      <c r="AZ36" s="78">
        <v>84.336014923633002</v>
      </c>
      <c r="BA36" s="78">
        <v>91.174070187711095</v>
      </c>
      <c r="BB36" s="78">
        <v>94.496327387198306</v>
      </c>
      <c r="BC36" s="78">
        <v>100</v>
      </c>
      <c r="BD36" s="78">
        <v>109.432202401772</v>
      </c>
      <c r="BE36" s="78">
        <v>114.393144456103</v>
      </c>
      <c r="BF36" s="78">
        <v>116.468355477784</v>
      </c>
      <c r="BG36" s="78">
        <v>118.52926677929</v>
      </c>
      <c r="BH36" s="78">
        <v>117.210285040264</v>
      </c>
      <c r="BI36" s="78">
        <v>118.712836656173</v>
      </c>
      <c r="BJ36" s="78">
        <v>124.24507403521</v>
      </c>
      <c r="BK36" s="78">
        <v>128.80960708872601</v>
      </c>
      <c r="BL36" s="78">
        <v>134.091174070188</v>
      </c>
      <c r="BM36" s="78"/>
      <c r="BN36" s="78"/>
      <c r="BO36" s="78">
        <v>155.64882826163</v>
      </c>
      <c r="BP36" s="78">
        <v>170.890071679653</v>
      </c>
    </row>
    <row r="37" spans="1:68" x14ac:dyDescent="0.25">
      <c r="A37" s="78" t="s">
        <v>749</v>
      </c>
      <c r="B37" s="78" t="s">
        <v>750</v>
      </c>
      <c r="C37" s="78" t="s">
        <v>691</v>
      </c>
      <c r="D37" s="78" t="s">
        <v>692</v>
      </c>
      <c r="E37" s="78"/>
      <c r="F37" s="78"/>
      <c r="G37" s="78"/>
      <c r="H37" s="78"/>
      <c r="I37" s="78"/>
      <c r="J37" s="78"/>
      <c r="K37" s="78"/>
      <c r="L37" s="78"/>
      <c r="M37" s="78"/>
      <c r="N37" s="78"/>
      <c r="O37" s="78"/>
      <c r="P37" s="78"/>
      <c r="Q37" s="78"/>
      <c r="R37" s="78"/>
      <c r="S37" s="78"/>
      <c r="T37" s="78"/>
      <c r="U37" s="78"/>
      <c r="V37" s="78">
        <v>49.3979184996874</v>
      </c>
      <c r="W37" s="78"/>
      <c r="X37" s="78"/>
      <c r="Y37" s="78">
        <v>58.3883396666305</v>
      </c>
      <c r="Z37" s="78">
        <v>63.723314864596702</v>
      </c>
      <c r="AA37" s="78">
        <v>67.773944181571096</v>
      </c>
      <c r="AB37" s="78">
        <v>68.564310877566101</v>
      </c>
      <c r="AC37" s="78">
        <v>70.671955400219602</v>
      </c>
      <c r="AD37" s="78">
        <v>72.335018656375397</v>
      </c>
      <c r="AE37" s="78">
        <v>73.623481030575903</v>
      </c>
      <c r="AF37" s="78">
        <v>74.541459016028199</v>
      </c>
      <c r="AG37" s="78">
        <v>75.430621549022604</v>
      </c>
      <c r="AH37" s="78">
        <v>76.414463425808194</v>
      </c>
      <c r="AI37" s="78">
        <v>78.048711229505997</v>
      </c>
      <c r="AJ37" s="78">
        <v>79.297490609178098</v>
      </c>
      <c r="AK37" s="78">
        <v>80.312123855161701</v>
      </c>
      <c r="AL37" s="78">
        <v>83.726754971452607</v>
      </c>
      <c r="AM37" s="78">
        <v>85.788541759765394</v>
      </c>
      <c r="AN37" s="78">
        <v>90.907236404567101</v>
      </c>
      <c r="AO37" s="78">
        <v>92.721868940653195</v>
      </c>
      <c r="AP37" s="78">
        <v>94.308859402319797</v>
      </c>
      <c r="AQ37" s="78">
        <v>93.892599609095697</v>
      </c>
      <c r="AR37" s="78">
        <v>93.502356052948201</v>
      </c>
      <c r="AS37" s="78">
        <v>94.959265329232295</v>
      </c>
      <c r="AT37" s="78">
        <v>95.525118485646303</v>
      </c>
      <c r="AU37" s="78">
        <v>93.313738334143594</v>
      </c>
      <c r="AV37" s="78">
        <v>93.593679549146003</v>
      </c>
      <c r="AW37" s="78">
        <v>94.355741745541494</v>
      </c>
      <c r="AX37" s="78">
        <v>95.529939619579494</v>
      </c>
      <c r="AY37" s="78">
        <v>95.682680604281501</v>
      </c>
      <c r="AZ37" s="78">
        <v>96.608672824037598</v>
      </c>
      <c r="BA37" s="78">
        <v>98.622944559795698</v>
      </c>
      <c r="BB37" s="78">
        <v>99.644399894990599</v>
      </c>
      <c r="BC37" s="78">
        <v>100</v>
      </c>
      <c r="BD37" s="78">
        <v>100.137911563169</v>
      </c>
      <c r="BE37" s="78">
        <v>100.24983196316801</v>
      </c>
      <c r="BF37" s="78">
        <v>100.640009374917</v>
      </c>
      <c r="BG37" s="78">
        <v>100.431575127898</v>
      </c>
      <c r="BH37" s="78">
        <v>99.941120121148302</v>
      </c>
      <c r="BI37" s="78">
        <v>99.662590949652497</v>
      </c>
      <c r="BJ37" s="78">
        <v>98.406338363493603</v>
      </c>
      <c r="BK37" s="78">
        <v>99.4150542992179</v>
      </c>
      <c r="BL37" s="78">
        <v>99.026816572106597</v>
      </c>
      <c r="BM37" s="78">
        <v>100.948253665821</v>
      </c>
      <c r="BN37" s="78">
        <v>102.69810471103</v>
      </c>
      <c r="BO37" s="78">
        <v>106.479705986051</v>
      </c>
      <c r="BP37" s="78">
        <v>106.85990701515701</v>
      </c>
    </row>
    <row r="38" spans="1:68" x14ac:dyDescent="0.25">
      <c r="A38" s="78" t="s">
        <v>751</v>
      </c>
      <c r="B38" s="78" t="s">
        <v>752</v>
      </c>
      <c r="C38" s="78" t="s">
        <v>691</v>
      </c>
      <c r="D38" s="78" t="s">
        <v>692</v>
      </c>
      <c r="E38" s="78"/>
      <c r="F38" s="78"/>
      <c r="G38" s="78"/>
      <c r="H38" s="78"/>
      <c r="I38" s="78"/>
      <c r="J38" s="78"/>
      <c r="K38" s="78"/>
      <c r="L38" s="78"/>
      <c r="M38" s="78"/>
      <c r="N38" s="78"/>
      <c r="O38" s="78"/>
      <c r="P38" s="78"/>
      <c r="Q38" s="78"/>
      <c r="R38" s="78"/>
      <c r="S38" s="78"/>
      <c r="T38" s="78"/>
      <c r="U38" s="78"/>
      <c r="V38" s="78"/>
      <c r="W38" s="78"/>
      <c r="X38" s="78"/>
      <c r="Y38" s="78">
        <v>10.86</v>
      </c>
      <c r="Z38" s="78">
        <v>11.943</v>
      </c>
      <c r="AA38" s="78">
        <v>13.119</v>
      </c>
      <c r="AB38" s="78">
        <v>15.488</v>
      </c>
      <c r="AC38" s="78">
        <v>16.577999999999999</v>
      </c>
      <c r="AD38" s="78">
        <v>16.89</v>
      </c>
      <c r="AE38" s="78">
        <v>18.573</v>
      </c>
      <c r="AF38" s="78">
        <v>19.748999999999999</v>
      </c>
      <c r="AG38" s="78">
        <v>21.742999999999999</v>
      </c>
      <c r="AH38" s="78">
        <v>23.652000000000001</v>
      </c>
      <c r="AI38" s="78">
        <v>26.02</v>
      </c>
      <c r="AJ38" s="78">
        <v>29.213999999999999</v>
      </c>
      <c r="AK38" s="78">
        <v>33.881</v>
      </c>
      <c r="AL38" s="78">
        <v>37.674999999999997</v>
      </c>
      <c r="AM38" s="78">
        <v>40.316000000000003</v>
      </c>
      <c r="AN38" s="78">
        <v>44.140999999999998</v>
      </c>
      <c r="AO38" s="78">
        <v>48.021000000000001</v>
      </c>
      <c r="AP38" s="78">
        <v>51.145000000000003</v>
      </c>
      <c r="AQ38" s="78">
        <v>56.558999999999997</v>
      </c>
      <c r="AR38" s="78">
        <v>60.392000000000003</v>
      </c>
      <c r="AS38" s="78">
        <v>62.814999999999998</v>
      </c>
      <c r="AT38" s="78">
        <v>64.959999999999994</v>
      </c>
      <c r="AU38" s="78">
        <v>66.555000000000007</v>
      </c>
      <c r="AV38" s="78">
        <v>68.266999999999996</v>
      </c>
      <c r="AW38" s="78">
        <v>71.069999999999993</v>
      </c>
      <c r="AX38" s="78">
        <v>74.845686884660495</v>
      </c>
      <c r="AY38" s="78">
        <v>78.588311312894305</v>
      </c>
      <c r="AZ38" s="78">
        <v>82.640412181808898</v>
      </c>
      <c r="BA38" s="78">
        <v>89.522011936948402</v>
      </c>
      <c r="BB38" s="78">
        <v>93.426176265537606</v>
      </c>
      <c r="BC38" s="78">
        <v>100</v>
      </c>
      <c r="BD38" s="78">
        <v>108.848985699468</v>
      </c>
      <c r="BE38" s="78">
        <v>120.734921525617</v>
      </c>
      <c r="BF38" s="78">
        <v>131.3310812</v>
      </c>
      <c r="BG38" s="78">
        <v>142.193554958547</v>
      </c>
      <c r="BH38" s="78">
        <v>148.66072252685299</v>
      </c>
      <c r="BI38" s="78">
        <v>153.44742964795799</v>
      </c>
      <c r="BJ38" s="78">
        <v>161.05087817625</v>
      </c>
      <c r="BK38" s="78">
        <v>165.437845896943</v>
      </c>
      <c r="BL38" s="78">
        <v>169.948393577383</v>
      </c>
      <c r="BM38" s="78">
        <v>179.51540934812701</v>
      </c>
      <c r="BN38" s="78">
        <v>192.704073301911</v>
      </c>
      <c r="BO38" s="78">
        <v>203.57097726000501</v>
      </c>
      <c r="BP38" s="78">
        <v>212.18069457819399</v>
      </c>
    </row>
    <row r="39" spans="1:68" x14ac:dyDescent="0.25">
      <c r="A39" s="78" t="s">
        <v>753</v>
      </c>
      <c r="B39" s="78" t="s">
        <v>754</v>
      </c>
      <c r="C39" s="78" t="s">
        <v>691</v>
      </c>
      <c r="D39" s="78" t="s">
        <v>692</v>
      </c>
      <c r="E39" s="78"/>
      <c r="F39" s="78"/>
      <c r="G39" s="78"/>
      <c r="H39" s="78"/>
      <c r="I39" s="78"/>
      <c r="J39" s="78"/>
      <c r="K39" s="78"/>
      <c r="L39" s="78"/>
      <c r="M39" s="78"/>
      <c r="N39" s="78"/>
      <c r="O39" s="78"/>
      <c r="P39" s="78"/>
      <c r="Q39" s="78"/>
      <c r="R39" s="78"/>
      <c r="S39" s="78">
        <v>3.0385770591977499</v>
      </c>
      <c r="T39" s="78">
        <v>3.40243921825504</v>
      </c>
      <c r="U39" s="78">
        <v>3.80162780053741</v>
      </c>
      <c r="V39" s="78">
        <v>4.3022536837461098</v>
      </c>
      <c r="W39" s="78">
        <v>4.6913490022542099</v>
      </c>
      <c r="X39" s="78">
        <v>5.2419365411354404</v>
      </c>
      <c r="Y39" s="78">
        <v>5.9565396163636599</v>
      </c>
      <c r="Z39" s="78">
        <v>6.9350815392586904</v>
      </c>
      <c r="AA39" s="78">
        <v>7.7074558861992202</v>
      </c>
      <c r="AB39" s="78">
        <v>8.5149771235289897</v>
      </c>
      <c r="AC39" s="78">
        <v>9.2453466502772699</v>
      </c>
      <c r="AD39" s="78">
        <v>9.9937182428344808</v>
      </c>
      <c r="AE39" s="78">
        <v>10.993261515410801</v>
      </c>
      <c r="AF39" s="78">
        <v>12.0708137397458</v>
      </c>
      <c r="AG39" s="78">
        <v>13.0789294245651</v>
      </c>
      <c r="AH39" s="78">
        <v>14.5928174342512</v>
      </c>
      <c r="AI39" s="78">
        <v>16.2558654177117</v>
      </c>
      <c r="AJ39" s="78">
        <v>18.1683705986913</v>
      </c>
      <c r="AK39" s="78">
        <v>21.1057623358172</v>
      </c>
      <c r="AL39" s="78">
        <v>24.130387628851</v>
      </c>
      <c r="AM39" s="78">
        <v>26.674435332063702</v>
      </c>
      <c r="AN39" s="78">
        <v>29.4785976383479</v>
      </c>
      <c r="AO39" s="78">
        <v>32.450882797837103</v>
      </c>
      <c r="AP39" s="78">
        <v>35.280577474796203</v>
      </c>
      <c r="AQ39" s="78">
        <v>37.6307573887633</v>
      </c>
      <c r="AR39" s="78">
        <v>40.546876238122202</v>
      </c>
      <c r="AS39" s="78">
        <v>44.034509775930999</v>
      </c>
      <c r="AT39" s="78">
        <v>46.922749859999598</v>
      </c>
      <c r="AU39" s="78">
        <v>50.691958927239803</v>
      </c>
      <c r="AV39" s="78">
        <v>55.350500607238601</v>
      </c>
      <c r="AW39" s="78">
        <v>59.194982340762401</v>
      </c>
      <c r="AX39" s="78">
        <v>64.291803677992903</v>
      </c>
      <c r="AY39" s="78">
        <v>71.720862257946706</v>
      </c>
      <c r="AZ39" s="78">
        <v>76.799415418341297</v>
      </c>
      <c r="BA39" s="78">
        <v>86.554621848739501</v>
      </c>
      <c r="BB39" s="78">
        <v>93.502618438679605</v>
      </c>
      <c r="BC39" s="78">
        <v>100</v>
      </c>
      <c r="BD39" s="78">
        <v>108.459872334086</v>
      </c>
      <c r="BE39" s="78">
        <v>116.63438728383299</v>
      </c>
      <c r="BF39" s="78">
        <v>123.497862684651</v>
      </c>
      <c r="BG39" s="78">
        <v>128.934551163777</v>
      </c>
      <c r="BH39" s="78">
        <v>132.88256798725601</v>
      </c>
      <c r="BI39" s="78">
        <v>136.62315635063399</v>
      </c>
      <c r="BJ39" s="78">
        <v>141.14303395638299</v>
      </c>
      <c r="BK39" s="78">
        <v>145.713267399351</v>
      </c>
      <c r="BL39" s="78">
        <v>149.75369875886699</v>
      </c>
      <c r="BM39" s="78">
        <v>152.584581533137</v>
      </c>
      <c r="BN39" s="78">
        <v>163.63319698827601</v>
      </c>
      <c r="BO39" s="78">
        <v>182.72193800066501</v>
      </c>
      <c r="BP39" s="78">
        <v>191.98158324069701</v>
      </c>
    </row>
    <row r="40" spans="1:68" x14ac:dyDescent="0.25">
      <c r="A40" s="78" t="s">
        <v>755</v>
      </c>
      <c r="B40" s="78" t="s">
        <v>756</v>
      </c>
      <c r="C40" s="78" t="s">
        <v>691</v>
      </c>
      <c r="D40" s="78" t="s">
        <v>692</v>
      </c>
      <c r="E40" s="78"/>
      <c r="F40" s="78"/>
      <c r="G40" s="78"/>
      <c r="H40" s="78"/>
      <c r="I40" s="78"/>
      <c r="J40" s="78"/>
      <c r="K40" s="78"/>
      <c r="L40" s="78"/>
      <c r="M40" s="78"/>
      <c r="N40" s="78"/>
      <c r="O40" s="78"/>
      <c r="P40" s="78"/>
      <c r="Q40" s="78"/>
      <c r="R40" s="78"/>
      <c r="S40" s="78"/>
      <c r="T40" s="78"/>
      <c r="U40" s="78"/>
      <c r="V40" s="78"/>
      <c r="W40" s="78"/>
      <c r="X40" s="78"/>
      <c r="Y40" s="78">
        <v>36.775048436736398</v>
      </c>
      <c r="Z40" s="78">
        <v>36.7627900872575</v>
      </c>
      <c r="AA40" s="78">
        <v>41.650806941973599</v>
      </c>
      <c r="AB40" s="78">
        <v>47.737077458253502</v>
      </c>
      <c r="AC40" s="78">
        <v>48.950654056665797</v>
      </c>
      <c r="AD40" s="78">
        <v>54.053192027262902</v>
      </c>
      <c r="AE40" s="78">
        <v>55.266768625675198</v>
      </c>
      <c r="AF40" s="78">
        <v>51.405388539817899</v>
      </c>
      <c r="AG40" s="78">
        <v>49.367437938949003</v>
      </c>
      <c r="AH40" s="78">
        <v>49.707607136988898</v>
      </c>
      <c r="AI40" s="78">
        <v>49.7014779622492</v>
      </c>
      <c r="AJ40" s="78">
        <v>48.328542820611197</v>
      </c>
      <c r="AK40" s="78">
        <v>47.829015079345297</v>
      </c>
      <c r="AL40" s="78">
        <v>46.434627826119304</v>
      </c>
      <c r="AM40" s="78">
        <v>57.844086603616702</v>
      </c>
      <c r="AN40" s="78">
        <v>68.944022056771601</v>
      </c>
      <c r="AO40" s="78">
        <v>71.512146272603601</v>
      </c>
      <c r="AP40" s="78">
        <v>72.664431123621597</v>
      </c>
      <c r="AQ40" s="78">
        <v>71.294560569353095</v>
      </c>
      <c r="AR40" s="78">
        <v>70.286311324712401</v>
      </c>
      <c r="AS40" s="78">
        <v>72.537863665251606</v>
      </c>
      <c r="AT40" s="78">
        <v>75.319589620753803</v>
      </c>
      <c r="AU40" s="78">
        <v>77.075904642344895</v>
      </c>
      <c r="AV40" s="78">
        <v>80.262769048125094</v>
      </c>
      <c r="AW40" s="78">
        <v>78.604214363628301</v>
      </c>
      <c r="AX40" s="78">
        <v>80.870783182279197</v>
      </c>
      <c r="AY40" s="78">
        <v>86.285296147114593</v>
      </c>
      <c r="AZ40" s="78">
        <v>87.113563907831505</v>
      </c>
      <c r="BA40" s="78">
        <v>95.179366099333294</v>
      </c>
      <c r="BB40" s="78">
        <v>98.530881208885702</v>
      </c>
      <c r="BC40" s="78">
        <v>100</v>
      </c>
      <c r="BD40" s="78">
        <v>101.194475724499</v>
      </c>
      <c r="BE40" s="78">
        <v>106.73820858312</v>
      </c>
      <c r="BF40" s="78">
        <v>114.197921480885</v>
      </c>
      <c r="BG40" s="78">
        <v>131.211909142167</v>
      </c>
      <c r="BH40" s="78">
        <v>133.05277308871399</v>
      </c>
      <c r="BI40" s="78">
        <v>139.63280851854901</v>
      </c>
      <c r="BJ40" s="78">
        <v>145.47046990485799</v>
      </c>
      <c r="BK40" s="78">
        <v>147.81568207912699</v>
      </c>
      <c r="BL40" s="78">
        <v>151.785085312376</v>
      </c>
      <c r="BM40" s="78">
        <v>154.38084795942299</v>
      </c>
      <c r="BN40" s="78">
        <v>160.95649049113001</v>
      </c>
      <c r="BO40" s="78">
        <v>169.94296071888601</v>
      </c>
      <c r="BP40" s="78">
        <v>175.005796934209</v>
      </c>
    </row>
    <row r="41" spans="1:68" x14ac:dyDescent="0.25">
      <c r="A41" s="78" t="s">
        <v>139</v>
      </c>
      <c r="B41" s="78" t="s">
        <v>138</v>
      </c>
      <c r="C41" s="78" t="s">
        <v>691</v>
      </c>
      <c r="D41" s="78" t="s">
        <v>692</v>
      </c>
      <c r="E41" s="78">
        <v>13.344304522037801</v>
      </c>
      <c r="F41" s="78">
        <v>13.480251860332</v>
      </c>
      <c r="G41" s="78">
        <v>13.6233543216943</v>
      </c>
      <c r="H41" s="78">
        <v>13.845163136805899</v>
      </c>
      <c r="I41" s="78">
        <v>14.109902690326299</v>
      </c>
      <c r="J41" s="78">
        <v>14.439038351459599</v>
      </c>
      <c r="K41" s="78">
        <v>14.989982827704599</v>
      </c>
      <c r="L41" s="78">
        <v>15.5266170578134</v>
      </c>
      <c r="M41" s="78">
        <v>16.156267887807701</v>
      </c>
      <c r="N41" s="78">
        <v>16.893245563823701</v>
      </c>
      <c r="O41" s="78">
        <v>17.458500286204899</v>
      </c>
      <c r="P41" s="78">
        <v>17.930738408700599</v>
      </c>
      <c r="Q41" s="78">
        <v>18.8251287922152</v>
      </c>
      <c r="R41" s="78">
        <v>20.2346880366342</v>
      </c>
      <c r="S41" s="78">
        <v>22.459931310818501</v>
      </c>
      <c r="T41" s="78">
        <v>24.8568975386377</v>
      </c>
      <c r="U41" s="78">
        <v>26.731539782484202</v>
      </c>
      <c r="V41" s="78">
        <v>28.8637664567831</v>
      </c>
      <c r="W41" s="78">
        <v>31.453921007441298</v>
      </c>
      <c r="X41" s="78">
        <v>34.3302804808242</v>
      </c>
      <c r="Y41" s="78">
        <v>37.807670291929</v>
      </c>
      <c r="Z41" s="78">
        <v>42.522896393818002</v>
      </c>
      <c r="AA41" s="78">
        <v>47.102175157412702</v>
      </c>
      <c r="AB41" s="78">
        <v>49.864052661705799</v>
      </c>
      <c r="AC41" s="78">
        <v>52.010589582140803</v>
      </c>
      <c r="AD41" s="78">
        <v>54.0712650257584</v>
      </c>
      <c r="AE41" s="78">
        <v>56.3394390383515</v>
      </c>
      <c r="AF41" s="78">
        <v>58.793646250715497</v>
      </c>
      <c r="AG41" s="78">
        <v>61.161991986262201</v>
      </c>
      <c r="AH41" s="78">
        <v>64.210074413279898</v>
      </c>
      <c r="AI41" s="78">
        <v>67.279622209501994</v>
      </c>
      <c r="AJ41" s="78">
        <v>71.064682312535794</v>
      </c>
      <c r="AK41" s="78">
        <v>72.123640526616995</v>
      </c>
      <c r="AL41" s="78">
        <v>73.468803663423003</v>
      </c>
      <c r="AM41" s="78">
        <v>73.590440755581</v>
      </c>
      <c r="AN41" s="78">
        <v>75.171722953634799</v>
      </c>
      <c r="AO41" s="78">
        <v>76.352318259873996</v>
      </c>
      <c r="AP41" s="78">
        <v>77.590154550658298</v>
      </c>
      <c r="AQ41" s="78">
        <v>78.362907842014806</v>
      </c>
      <c r="AR41" s="78">
        <v>79.722381224957005</v>
      </c>
      <c r="AS41" s="78">
        <v>81.890383514596394</v>
      </c>
      <c r="AT41" s="78">
        <v>83.958214081282193</v>
      </c>
      <c r="AU41" s="78">
        <v>85.854321694333095</v>
      </c>
      <c r="AV41" s="78">
        <v>88.222667429879806</v>
      </c>
      <c r="AW41" s="78">
        <v>89.861190612478495</v>
      </c>
      <c r="AX41" s="78">
        <v>91.850314825414998</v>
      </c>
      <c r="AY41" s="78">
        <v>93.689181453920995</v>
      </c>
      <c r="AZ41" s="78">
        <v>95.692615912993702</v>
      </c>
      <c r="BA41" s="78">
        <v>97.960789925586695</v>
      </c>
      <c r="BB41" s="78">
        <v>98.254149971379505</v>
      </c>
      <c r="BC41" s="78">
        <v>100</v>
      </c>
      <c r="BD41" s="78">
        <v>102.912135088724</v>
      </c>
      <c r="BE41" s="78">
        <v>104.47195191757299</v>
      </c>
      <c r="BF41" s="78">
        <v>105.452203777905</v>
      </c>
      <c r="BG41" s="78">
        <v>107.46279336004601</v>
      </c>
      <c r="BH41" s="78">
        <v>108.672009158557</v>
      </c>
      <c r="BI41" s="78">
        <v>110.224670864339</v>
      </c>
      <c r="BJ41" s="78">
        <v>111.984831139096</v>
      </c>
      <c r="BK41" s="78">
        <v>114.524899828277</v>
      </c>
      <c r="BL41" s="78">
        <v>116.757298225529</v>
      </c>
      <c r="BM41" s="78">
        <v>117.594447624499</v>
      </c>
      <c r="BN41" s="78">
        <v>121.58700629650799</v>
      </c>
      <c r="BO41" s="78">
        <v>129.85832856325101</v>
      </c>
      <c r="BP41" s="78">
        <v>134.89553520320499</v>
      </c>
    </row>
    <row r="42" spans="1:68" x14ac:dyDescent="0.25">
      <c r="A42" s="78" t="s">
        <v>757</v>
      </c>
      <c r="B42" s="78" t="s">
        <v>758</v>
      </c>
      <c r="C42" s="78" t="s">
        <v>691</v>
      </c>
      <c r="D42" s="78" t="s">
        <v>692</v>
      </c>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row>
    <row r="43" spans="1:68" x14ac:dyDescent="0.25">
      <c r="A43" s="78" t="s">
        <v>759</v>
      </c>
      <c r="B43" s="78" t="s">
        <v>760</v>
      </c>
      <c r="C43" s="78" t="s">
        <v>691</v>
      </c>
      <c r="D43" s="78" t="s">
        <v>692</v>
      </c>
      <c r="E43" s="78">
        <v>24.041191164265999</v>
      </c>
      <c r="F43" s="78">
        <v>24.4848467950127</v>
      </c>
      <c r="G43" s="78">
        <v>25.541611038763001</v>
      </c>
      <c r="H43" s="78">
        <v>26.420296831587699</v>
      </c>
      <c r="I43" s="78">
        <v>27.234189100976501</v>
      </c>
      <c r="J43" s="78">
        <v>28.164094662017401</v>
      </c>
      <c r="K43" s="78">
        <v>29.5092060763712</v>
      </c>
      <c r="L43" s="78">
        <v>30.6911076814071</v>
      </c>
      <c r="M43" s="78">
        <v>31.426412074016</v>
      </c>
      <c r="N43" s="78">
        <v>32.208626780776299</v>
      </c>
      <c r="O43" s="78">
        <v>33.373286469216303</v>
      </c>
      <c r="P43" s="78">
        <v>35.566986383601296</v>
      </c>
      <c r="Q43" s="78">
        <v>37.935750181234901</v>
      </c>
      <c r="R43" s="78">
        <v>41.256900046907901</v>
      </c>
      <c r="S43" s="78">
        <v>45.286632409718798</v>
      </c>
      <c r="T43" s="78">
        <v>48.319294873266799</v>
      </c>
      <c r="U43" s="78">
        <v>49.1482009361889</v>
      </c>
      <c r="V43" s="78">
        <v>49.785161208844897</v>
      </c>
      <c r="W43" s="78">
        <v>50.297347410063203</v>
      </c>
      <c r="X43" s="78">
        <v>52.132013626239498</v>
      </c>
      <c r="Y43" s="78">
        <v>54.229024316637798</v>
      </c>
      <c r="Z43" s="78">
        <v>57.7486559095695</v>
      </c>
      <c r="AA43" s="78">
        <v>61.014401203202901</v>
      </c>
      <c r="AB43" s="78">
        <v>62.814200614722502</v>
      </c>
      <c r="AC43" s="78">
        <v>64.655571701770995</v>
      </c>
      <c r="AD43" s="78">
        <v>66.876748793680903</v>
      </c>
      <c r="AE43" s="78">
        <v>67.378531620157901</v>
      </c>
      <c r="AF43" s="78">
        <v>68.348999353786894</v>
      </c>
      <c r="AG43" s="78">
        <v>69.628812903268098</v>
      </c>
      <c r="AH43" s="78">
        <v>71.825789806890498</v>
      </c>
      <c r="AI43" s="78">
        <v>75.707226105696805</v>
      </c>
      <c r="AJ43" s="78">
        <v>80.143364178800894</v>
      </c>
      <c r="AK43" s="78">
        <v>83.378776000236101</v>
      </c>
      <c r="AL43" s="78">
        <v>86.124123758007897</v>
      </c>
      <c r="AM43" s="78">
        <v>86.858002053448701</v>
      </c>
      <c r="AN43" s="78">
        <v>88.421296493719893</v>
      </c>
      <c r="AO43" s="78">
        <v>89.138953856448794</v>
      </c>
      <c r="AP43" s="78">
        <v>89.602677355971593</v>
      </c>
      <c r="AQ43" s="78">
        <v>89.618750676555507</v>
      </c>
      <c r="AR43" s="78">
        <v>90.3414760556727</v>
      </c>
      <c r="AS43" s="78">
        <v>91.749474336811502</v>
      </c>
      <c r="AT43" s="78">
        <v>92.656895290516999</v>
      </c>
      <c r="AU43" s="78">
        <v>93.252411818154997</v>
      </c>
      <c r="AV43" s="78">
        <v>93.847616720189706</v>
      </c>
      <c r="AW43" s="78">
        <v>94.601127428629496</v>
      </c>
      <c r="AX43" s="78">
        <v>95.709809317933505</v>
      </c>
      <c r="AY43" s="78">
        <v>96.723863632635997</v>
      </c>
      <c r="AZ43" s="78">
        <v>97.432221431312797</v>
      </c>
      <c r="BA43" s="78">
        <v>99.795967236668105</v>
      </c>
      <c r="BB43" s="78">
        <v>99.316465640817</v>
      </c>
      <c r="BC43" s="78">
        <v>100</v>
      </c>
      <c r="BD43" s="78">
        <v>100.23134920765099</v>
      </c>
      <c r="BE43" s="78">
        <v>99.537194975939201</v>
      </c>
      <c r="BF43" s="78">
        <v>99.320877603303799</v>
      </c>
      <c r="BG43" s="78">
        <v>99.307764725949895</v>
      </c>
      <c r="BH43" s="78">
        <v>98.171774593000507</v>
      </c>
      <c r="BI43" s="78">
        <v>97.745101737558699</v>
      </c>
      <c r="BJ43" s="78">
        <v>98.266853204659299</v>
      </c>
      <c r="BK43" s="78">
        <v>99.186960600682895</v>
      </c>
      <c r="BL43" s="78">
        <v>99.546896373005893</v>
      </c>
      <c r="BM43" s="78">
        <v>98.8243104053428</v>
      </c>
      <c r="BN43" s="78">
        <v>99.399284245193499</v>
      </c>
      <c r="BO43" s="78">
        <v>102.21728177187001</v>
      </c>
      <c r="BP43" s="78">
        <v>104.400030506506</v>
      </c>
    </row>
    <row r="44" spans="1:68" x14ac:dyDescent="0.25">
      <c r="A44" s="78" t="s">
        <v>761</v>
      </c>
      <c r="B44" s="78" t="s">
        <v>762</v>
      </c>
      <c r="C44" s="78" t="s">
        <v>691</v>
      </c>
      <c r="D44" s="78" t="s">
        <v>692</v>
      </c>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row>
    <row r="45" spans="1:68" x14ac:dyDescent="0.25">
      <c r="A45" s="78" t="s">
        <v>141</v>
      </c>
      <c r="B45" s="78" t="s">
        <v>140</v>
      </c>
      <c r="C45" s="78" t="s">
        <v>691</v>
      </c>
      <c r="D45" s="78" t="s">
        <v>692</v>
      </c>
      <c r="E45" s="78"/>
      <c r="F45" s="78"/>
      <c r="G45" s="78"/>
      <c r="H45" s="78"/>
      <c r="I45" s="78"/>
      <c r="J45" s="78"/>
      <c r="K45" s="78"/>
      <c r="L45" s="78"/>
      <c r="M45" s="78"/>
      <c r="N45" s="78"/>
      <c r="O45" s="78">
        <v>1.12474788217588E-3</v>
      </c>
      <c r="P45" s="78">
        <v>1.3502849279724801E-3</v>
      </c>
      <c r="Q45" s="78">
        <v>2.4007490862180199E-3</v>
      </c>
      <c r="R45" s="78">
        <v>1.0870855622446799E-2</v>
      </c>
      <c r="S45" s="78">
        <v>6.5740253708879801E-2</v>
      </c>
      <c r="T45" s="78">
        <v>0.31209217372608</v>
      </c>
      <c r="U45" s="78">
        <v>0.97349133519673103</v>
      </c>
      <c r="V45" s="78">
        <v>1.8686568479896799</v>
      </c>
      <c r="W45" s="78">
        <v>2.61774951623307</v>
      </c>
      <c r="X45" s="78">
        <v>3.4917956353472399</v>
      </c>
      <c r="Y45" s="78">
        <v>4.7187546764136696</v>
      </c>
      <c r="Z45" s="78">
        <v>5.6477280154805403</v>
      </c>
      <c r="AA45" s="78">
        <v>6.2091701784562403</v>
      </c>
      <c r="AB45" s="78">
        <v>7.9016157815523496</v>
      </c>
      <c r="AC45" s="78">
        <v>9.4708929262524197</v>
      </c>
      <c r="AD45" s="78">
        <v>12.378788432595099</v>
      </c>
      <c r="AE45" s="78">
        <v>14.789784992474701</v>
      </c>
      <c r="AF45" s="78">
        <v>17.7301193291765</v>
      </c>
      <c r="AG45" s="78">
        <v>20.333672328531499</v>
      </c>
      <c r="AH45" s="78">
        <v>23.796077187701599</v>
      </c>
      <c r="AI45" s="78">
        <v>29.991738335841799</v>
      </c>
      <c r="AJ45" s="78">
        <v>36.525262309180803</v>
      </c>
      <c r="AK45" s="78">
        <v>42.1595785852505</v>
      </c>
      <c r="AL45" s="78">
        <v>47.525551494302299</v>
      </c>
      <c r="AM45" s="78">
        <v>52.963957213502503</v>
      </c>
      <c r="AN45" s="78">
        <v>57.324284024940802</v>
      </c>
      <c r="AO45" s="78">
        <v>61.5428456245969</v>
      </c>
      <c r="AP45" s="78">
        <v>65.317800473016604</v>
      </c>
      <c r="AQ45" s="78">
        <v>68.655703074607601</v>
      </c>
      <c r="AR45" s="78">
        <v>70.946660933132605</v>
      </c>
      <c r="AS45" s="78">
        <v>73.673334766716806</v>
      </c>
      <c r="AT45" s="78">
        <v>76.302810148355107</v>
      </c>
      <c r="AU45" s="78">
        <v>78.202290905181698</v>
      </c>
      <c r="AV45" s="78">
        <v>80.399915072027497</v>
      </c>
      <c r="AW45" s="78">
        <v>81.247924102343603</v>
      </c>
      <c r="AX45" s="78">
        <v>83.728078907761699</v>
      </c>
      <c r="AY45" s="78">
        <v>86.5681498602451</v>
      </c>
      <c r="AZ45" s="78">
        <v>90.383900236508197</v>
      </c>
      <c r="BA45" s="78">
        <v>98.262003870135402</v>
      </c>
      <c r="BB45" s="78">
        <v>98.608913136959799</v>
      </c>
      <c r="BC45" s="78">
        <v>100</v>
      </c>
      <c r="BD45" s="78">
        <v>103.34121694259299</v>
      </c>
      <c r="BE45" s="78">
        <v>106.449150720275</v>
      </c>
      <c r="BF45" s="78">
        <v>108.354117394109</v>
      </c>
      <c r="BG45" s="78">
        <v>113.466996344872</v>
      </c>
      <c r="BH45" s="78">
        <v>118.401419049667</v>
      </c>
      <c r="BI45" s="78">
        <v>122.884325951408</v>
      </c>
      <c r="BJ45" s="78">
        <v>125.566544829069</v>
      </c>
      <c r="BK45" s="78">
        <v>128.62395183831401</v>
      </c>
      <c r="BL45" s="78">
        <v>131.913566974844</v>
      </c>
      <c r="BM45" s="78">
        <v>135.93098258439099</v>
      </c>
      <c r="BN45" s="78">
        <v>142.08127284454901</v>
      </c>
      <c r="BO45" s="78">
        <v>158.62502687594099</v>
      </c>
      <c r="BP45" s="78">
        <v>170.65147280154801</v>
      </c>
    </row>
    <row r="46" spans="1:68" x14ac:dyDescent="0.25">
      <c r="A46" s="78" t="s">
        <v>143</v>
      </c>
      <c r="B46" s="78" t="s">
        <v>142</v>
      </c>
      <c r="C46" s="78" t="s">
        <v>691</v>
      </c>
      <c r="D46" s="78" t="s">
        <v>692</v>
      </c>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v>26.048319784965901</v>
      </c>
      <c r="AF46" s="78">
        <v>27.932612396709601</v>
      </c>
      <c r="AG46" s="78">
        <v>33.187244588026303</v>
      </c>
      <c r="AH46" s="78">
        <v>39.2424692179247</v>
      </c>
      <c r="AI46" s="78">
        <v>40.440263229002703</v>
      </c>
      <c r="AJ46" s="78">
        <v>41.878596268982299</v>
      </c>
      <c r="AK46" s="78">
        <v>44.539554461471603</v>
      </c>
      <c r="AL46" s="78">
        <v>51.046818392265301</v>
      </c>
      <c r="AM46" s="78">
        <v>63.4292398842776</v>
      </c>
      <c r="AN46" s="78">
        <v>74.079786373752697</v>
      </c>
      <c r="AO46" s="78">
        <v>80.238157756706499</v>
      </c>
      <c r="AP46" s="78">
        <v>82.473965983628702</v>
      </c>
      <c r="AQ46" s="78">
        <v>81.836288815473296</v>
      </c>
      <c r="AR46" s="78">
        <v>80.689375583136098</v>
      </c>
      <c r="AS46" s="78">
        <v>80.970022290301102</v>
      </c>
      <c r="AT46" s="78">
        <v>81.552298456301003</v>
      </c>
      <c r="AU46" s="78">
        <v>80.955359361402998</v>
      </c>
      <c r="AV46" s="78">
        <v>81.868214816715493</v>
      </c>
      <c r="AW46" s="78">
        <v>84.999377204753898</v>
      </c>
      <c r="AX46" s="78">
        <v>86.509318106505802</v>
      </c>
      <c r="AY46" s="78">
        <v>87.936229612535797</v>
      </c>
      <c r="AZ46" s="78">
        <v>92.171913494060703</v>
      </c>
      <c r="BA46" s="78">
        <v>97.633331061501593</v>
      </c>
      <c r="BB46" s="78">
        <v>96.922399071383396</v>
      </c>
      <c r="BC46" s="78">
        <v>100</v>
      </c>
      <c r="BD46" s="78">
        <v>105.553898922575</v>
      </c>
      <c r="BE46" s="78">
        <v>108.318908982374</v>
      </c>
      <c r="BF46" s="78">
        <v>111.158001765192</v>
      </c>
      <c r="BG46" s="78">
        <v>113.29406019983701</v>
      </c>
      <c r="BH46" s="78">
        <v>114.922122819495</v>
      </c>
      <c r="BI46" s="78">
        <v>117.220567369674</v>
      </c>
      <c r="BJ46" s="78">
        <v>119.088050428682</v>
      </c>
      <c r="BK46" s="78">
        <v>121.55887786611299</v>
      </c>
      <c r="BL46" s="78">
        <v>125.08315438207499</v>
      </c>
      <c r="BM46" s="78">
        <v>128.109443605623</v>
      </c>
      <c r="BN46" s="78">
        <v>129.366216637457</v>
      </c>
      <c r="BO46" s="78">
        <v>131.91935666853499</v>
      </c>
      <c r="BP46" s="78">
        <v>132.229151902431</v>
      </c>
    </row>
    <row r="47" spans="1:68" x14ac:dyDescent="0.25">
      <c r="A47" s="78" t="s">
        <v>763</v>
      </c>
      <c r="B47" s="78" t="s">
        <v>764</v>
      </c>
      <c r="C47" s="78" t="s">
        <v>691</v>
      </c>
      <c r="D47" s="78" t="s">
        <v>692</v>
      </c>
      <c r="E47" s="78">
        <v>5.5588369431265097</v>
      </c>
      <c r="F47" s="78">
        <v>6.2045788000837101</v>
      </c>
      <c r="G47" s="78">
        <v>6.1213599551031699</v>
      </c>
      <c r="H47" s="78">
        <v>6.1791129240215703</v>
      </c>
      <c r="I47" s="78">
        <v>6.2173117380897596</v>
      </c>
      <c r="J47" s="78">
        <v>6.3796566978942799</v>
      </c>
      <c r="K47" s="78">
        <v>6.6470483963942</v>
      </c>
      <c r="L47" s="78">
        <v>6.7993889049166896</v>
      </c>
      <c r="M47" s="78">
        <v>7.1631871341807001</v>
      </c>
      <c r="N47" s="78">
        <v>7.4819653325595903</v>
      </c>
      <c r="O47" s="78">
        <v>8.0958748444653299</v>
      </c>
      <c r="P47" s="78">
        <v>8.0599497693164199</v>
      </c>
      <c r="Q47" s="78">
        <v>8.0849608975737706</v>
      </c>
      <c r="R47" s="78">
        <v>8.9826330282917795</v>
      </c>
      <c r="S47" s="78">
        <v>10.5419631884473</v>
      </c>
      <c r="T47" s="78">
        <v>11.7484090662531</v>
      </c>
      <c r="U47" s="78">
        <v>13.167222160400801</v>
      </c>
      <c r="V47" s="78">
        <v>16.7779195858277</v>
      </c>
      <c r="W47" s="78">
        <v>18.999817271053001</v>
      </c>
      <c r="X47" s="78">
        <v>22.104835157825701</v>
      </c>
      <c r="Y47" s="78">
        <v>25.354462840726299</v>
      </c>
      <c r="Z47" s="78">
        <v>27.5854554816787</v>
      </c>
      <c r="AA47" s="78">
        <v>29.677295299955698</v>
      </c>
      <c r="AB47" s="78">
        <v>31.351221902324799</v>
      </c>
      <c r="AC47" s="78">
        <v>32.694546863904797</v>
      </c>
      <c r="AD47" s="78">
        <v>33.303908897958401</v>
      </c>
      <c r="AE47" s="78">
        <v>36.5287113202562</v>
      </c>
      <c r="AF47" s="78">
        <v>39.065011622012896</v>
      </c>
      <c r="AG47" s="78">
        <v>41.772484980615403</v>
      </c>
      <c r="AH47" s="78">
        <v>42.2108948289126</v>
      </c>
      <c r="AI47" s="78">
        <v>41.870725797024903</v>
      </c>
      <c r="AJ47" s="78">
        <v>42.575556031096603</v>
      </c>
      <c r="AK47" s="78">
        <v>44.377091223975398</v>
      </c>
      <c r="AL47" s="78">
        <v>45.337728570026698</v>
      </c>
      <c r="AM47" s="78">
        <v>57.162520887787103</v>
      </c>
      <c r="AN47" s="78">
        <v>65.333942739535004</v>
      </c>
      <c r="AO47" s="78">
        <v>66.954751563083505</v>
      </c>
      <c r="AP47" s="78">
        <v>69.646890532182297</v>
      </c>
      <c r="AQ47" s="78">
        <v>72.858620390728106</v>
      </c>
      <c r="AR47" s="78">
        <v>73.370361712905805</v>
      </c>
      <c r="AS47" s="78">
        <v>75.227200607352898</v>
      </c>
      <c r="AT47" s="78">
        <v>78.5082568831034</v>
      </c>
      <c r="AU47" s="78">
        <v>80.9241638777508</v>
      </c>
      <c r="AV47" s="78">
        <v>83.592077757298895</v>
      </c>
      <c r="AW47" s="78">
        <v>84.810840517544904</v>
      </c>
      <c r="AX47" s="78">
        <v>88.106445939908397</v>
      </c>
      <c r="AY47" s="78">
        <v>90.280200672727901</v>
      </c>
      <c r="AZ47" s="78">
        <v>91.988307751236704</v>
      </c>
      <c r="BA47" s="78">
        <v>97.791415618689399</v>
      </c>
      <c r="BB47" s="78">
        <v>98.788403577139505</v>
      </c>
      <c r="BC47" s="78">
        <v>100</v>
      </c>
      <c r="BD47" s="78">
        <v>104.912433950525</v>
      </c>
      <c r="BE47" s="78">
        <v>106.281028400716</v>
      </c>
      <c r="BF47" s="78">
        <v>109.024322817415</v>
      </c>
      <c r="BG47" s="78">
        <v>109.513495413212</v>
      </c>
      <c r="BH47" s="78">
        <v>110.88405631310501</v>
      </c>
      <c r="BI47" s="78">
        <v>111.685945921178</v>
      </c>
      <c r="BJ47" s="78">
        <v>112.451978676858</v>
      </c>
      <c r="BK47" s="78">
        <v>112.856141244189</v>
      </c>
      <c r="BL47" s="78">
        <v>111.606977877028</v>
      </c>
      <c r="BM47" s="78">
        <v>114.31345442113501</v>
      </c>
      <c r="BN47" s="78">
        <v>118.99110598776601</v>
      </c>
      <c r="BO47" s="78">
        <v>125.269275743533</v>
      </c>
      <c r="BP47" s="78">
        <v>130.76498552318401</v>
      </c>
    </row>
    <row r="48" spans="1:68" x14ac:dyDescent="0.25">
      <c r="A48" s="78" t="s">
        <v>765</v>
      </c>
      <c r="B48" s="78" t="s">
        <v>766</v>
      </c>
      <c r="C48" s="78" t="s">
        <v>691</v>
      </c>
      <c r="D48" s="78" t="s">
        <v>692</v>
      </c>
      <c r="E48" s="78"/>
      <c r="F48" s="78"/>
      <c r="G48" s="78"/>
      <c r="H48" s="78"/>
      <c r="I48" s="78"/>
      <c r="J48" s="78"/>
      <c r="K48" s="78"/>
      <c r="L48" s="78"/>
      <c r="M48" s="78">
        <v>7.5248008384896803</v>
      </c>
      <c r="N48" s="78">
        <v>7.4419082955929499</v>
      </c>
      <c r="O48" s="78">
        <v>7.8778616693399597</v>
      </c>
      <c r="P48" s="78">
        <v>8.1940813700201005</v>
      </c>
      <c r="Q48" s="78">
        <v>8.8572217131632094</v>
      </c>
      <c r="R48" s="78">
        <v>9.7770219299110508</v>
      </c>
      <c r="S48" s="78">
        <v>11.4618896166232</v>
      </c>
      <c r="T48" s="78">
        <v>13.0153572724161</v>
      </c>
      <c r="U48" s="78">
        <v>14.307866922756499</v>
      </c>
      <c r="V48" s="78">
        <v>16.4108814370007</v>
      </c>
      <c r="W48" s="78">
        <v>18.456178180635199</v>
      </c>
      <c r="X48" s="78">
        <v>19.670707438769</v>
      </c>
      <c r="Y48" s="78">
        <v>21.549605077755398</v>
      </c>
      <c r="Z48" s="78">
        <v>23.861338962471699</v>
      </c>
      <c r="AA48" s="78">
        <v>27.024641407843902</v>
      </c>
      <c r="AB48" s="78">
        <v>31.5191707068943</v>
      </c>
      <c r="AC48" s="78">
        <v>35.103947511578902</v>
      </c>
      <c r="AD48" s="78">
        <v>38.0907227753558</v>
      </c>
      <c r="AE48" s="78">
        <v>41.050381452743302</v>
      </c>
      <c r="AF48" s="78">
        <v>46.444606763790198</v>
      </c>
      <c r="AG48" s="78">
        <v>47.225959527901097</v>
      </c>
      <c r="AH48" s="78">
        <v>46.439398942563002</v>
      </c>
      <c r="AI48" s="78">
        <v>46.949945002863501</v>
      </c>
      <c r="AJ48" s="78">
        <v>46.978139069506902</v>
      </c>
      <c r="AK48" s="78">
        <v>46.970596707729598</v>
      </c>
      <c r="AL48" s="78">
        <v>45.464458892836802</v>
      </c>
      <c r="AM48" s="78">
        <v>61.419966072449398</v>
      </c>
      <c r="AN48" s="78">
        <v>66.9905670350674</v>
      </c>
      <c r="AO48" s="78">
        <v>69.619319576935695</v>
      </c>
      <c r="AP48" s="78">
        <v>72.951466475774794</v>
      </c>
      <c r="AQ48" s="78">
        <v>75.264576451480096</v>
      </c>
      <c r="AR48" s="78">
        <v>76.673337403039696</v>
      </c>
      <c r="AS48" s="78">
        <v>77.614265031808401</v>
      </c>
      <c r="AT48" s="78">
        <v>81.044638941793195</v>
      </c>
      <c r="AU48" s="78">
        <v>83.341786505085693</v>
      </c>
      <c r="AV48" s="78">
        <v>83.861142146650096</v>
      </c>
      <c r="AW48" s="78">
        <v>84.057081508170498</v>
      </c>
      <c r="AX48" s="78">
        <v>85.749604048364006</v>
      </c>
      <c r="AY48" s="78">
        <v>90.137907057596493</v>
      </c>
      <c r="AZ48" s="78">
        <v>90.968439757407197</v>
      </c>
      <c r="BA48" s="78">
        <v>95.824158844207503</v>
      </c>
      <c r="BB48" s="78">
        <v>98.740680650519394</v>
      </c>
      <c r="BC48" s="78">
        <v>100</v>
      </c>
      <c r="BD48" s="78">
        <v>102.939699463051</v>
      </c>
      <c r="BE48" s="78">
        <v>105.755405742962</v>
      </c>
      <c r="BF48" s="78">
        <v>107.923758722329</v>
      </c>
      <c r="BG48" s="78">
        <v>109.925634907972</v>
      </c>
      <c r="BH48" s="78">
        <v>112.867503568736</v>
      </c>
      <c r="BI48" s="78">
        <v>113.854180430792</v>
      </c>
      <c r="BJ48" s="78">
        <v>114.58331301979401</v>
      </c>
      <c r="BK48" s="78">
        <v>115.80804605729899</v>
      </c>
      <c r="BL48" s="78">
        <v>118.64858829001101</v>
      </c>
      <c r="BM48" s="78">
        <v>121.540776745136</v>
      </c>
      <c r="BN48" s="78">
        <v>124.302010149149</v>
      </c>
      <c r="BO48" s="78">
        <v>132.06799841364199</v>
      </c>
      <c r="BP48" s="78">
        <v>141.81833288244599</v>
      </c>
    </row>
    <row r="49" spans="1:68" x14ac:dyDescent="0.25">
      <c r="A49" s="78" t="s">
        <v>767</v>
      </c>
      <c r="B49" s="78" t="s">
        <v>768</v>
      </c>
      <c r="C49" s="78" t="s">
        <v>691</v>
      </c>
      <c r="D49" s="78" t="s">
        <v>692</v>
      </c>
      <c r="E49" s="78"/>
      <c r="F49" s="78"/>
      <c r="G49" s="78"/>
      <c r="H49" s="80">
        <v>3.5465575285389101E-14</v>
      </c>
      <c r="I49" s="80">
        <v>4.80278597519732E-14</v>
      </c>
      <c r="J49" s="80">
        <v>4.6718149488769502E-14</v>
      </c>
      <c r="K49" s="80">
        <v>5.4090320779809798E-14</v>
      </c>
      <c r="L49" s="80">
        <v>7.4063996536360794E-14</v>
      </c>
      <c r="M49" s="80">
        <v>1.1355615836599799E-13</v>
      </c>
      <c r="N49" s="80">
        <v>1.2056960897608199E-13</v>
      </c>
      <c r="O49" s="80">
        <v>1.3024566256894301E-13</v>
      </c>
      <c r="P49" s="80">
        <v>1.3777041012869701E-13</v>
      </c>
      <c r="Q49" s="80">
        <v>1.5954394249021801E-13</v>
      </c>
      <c r="R49" s="80">
        <v>1.84501021896926E-13</v>
      </c>
      <c r="S49" s="80">
        <v>2.3887214657246298E-13</v>
      </c>
      <c r="T49" s="80">
        <v>3.0732805514189802E-13</v>
      </c>
      <c r="U49" s="80">
        <v>5.5437665977553E-13</v>
      </c>
      <c r="V49" s="80">
        <v>9.3660666148092406E-13</v>
      </c>
      <c r="W49" s="80">
        <v>1.3933807164905601E-12</v>
      </c>
      <c r="X49" s="80">
        <v>2.8014094928350201E-12</v>
      </c>
      <c r="Y49" s="80">
        <v>4.1075920729003202E-12</v>
      </c>
      <c r="Z49" s="80">
        <v>5.5620191540339301E-12</v>
      </c>
      <c r="AA49" s="80">
        <v>7.6032633625774201E-12</v>
      </c>
      <c r="AB49" s="80">
        <v>1.3421789728827E-11</v>
      </c>
      <c r="AC49" s="80">
        <v>2.04315893748572E-11</v>
      </c>
      <c r="AD49" s="80">
        <v>2.5298554254125899E-11</v>
      </c>
      <c r="AE49" s="80">
        <v>3.6531112342957797E-11</v>
      </c>
      <c r="AF49" s="80">
        <v>6.5270269975644803E-11</v>
      </c>
      <c r="AG49" s="80">
        <v>1.11672034903421E-10</v>
      </c>
      <c r="AH49" s="80">
        <v>2.27883794232873E-10</v>
      </c>
      <c r="AI49" s="80">
        <v>4.1314284725999903E-10</v>
      </c>
      <c r="AJ49" s="80">
        <v>9.3140444972143097E-9</v>
      </c>
      <c r="AK49" s="80">
        <v>3.9390676230795002E-7</v>
      </c>
      <c r="AL49" s="80">
        <v>8.2204589800694704E-6</v>
      </c>
      <c r="AM49" s="78">
        <v>1.9624810047479502E-3</v>
      </c>
      <c r="AN49" s="78">
        <v>1.25973399013556E-2</v>
      </c>
      <c r="AO49" s="78">
        <v>7.4631913592035207E-2</v>
      </c>
      <c r="AP49" s="78">
        <v>0.222788731136843</v>
      </c>
      <c r="AQ49" s="78">
        <v>0.28772898822360499</v>
      </c>
      <c r="AR49" s="78">
        <v>1.1074544199210901</v>
      </c>
      <c r="AS49" s="78">
        <v>6.7987384752801399</v>
      </c>
      <c r="AT49" s="78">
        <v>31.2698875559072</v>
      </c>
      <c r="AU49" s="78">
        <v>41.126963690442402</v>
      </c>
      <c r="AV49" s="78">
        <v>46.421634897108802</v>
      </c>
      <c r="AW49" s="78">
        <v>48.275893257765198</v>
      </c>
      <c r="AX49" s="78">
        <v>58.566776944882299</v>
      </c>
      <c r="AY49" s="78">
        <v>66.211319695899505</v>
      </c>
      <c r="AZ49" s="78">
        <v>77.430894462840499</v>
      </c>
      <c r="BA49" s="78">
        <v>90.827511289859501</v>
      </c>
      <c r="BB49" s="78">
        <v>93.370681605975406</v>
      </c>
      <c r="BC49" s="78">
        <v>100</v>
      </c>
      <c r="BD49" s="78">
        <v>115.316515913949</v>
      </c>
      <c r="BE49" s="78">
        <v>126.52738931903799</v>
      </c>
      <c r="BF49" s="78">
        <v>127.550012909223</v>
      </c>
      <c r="BG49" s="78">
        <v>129.13550918358899</v>
      </c>
      <c r="BH49" s="78">
        <v>130.096534344839</v>
      </c>
      <c r="BI49" s="78">
        <v>133.85092657703501</v>
      </c>
      <c r="BJ49" s="78"/>
      <c r="BK49" s="78"/>
      <c r="BL49" s="78"/>
      <c r="BM49" s="78"/>
      <c r="BN49" s="78"/>
      <c r="BO49" s="78"/>
      <c r="BP49" s="78"/>
    </row>
    <row r="50" spans="1:68" x14ac:dyDescent="0.25">
      <c r="A50" s="78" t="s">
        <v>769</v>
      </c>
      <c r="B50" s="78" t="s">
        <v>770</v>
      </c>
      <c r="C50" s="78" t="s">
        <v>691</v>
      </c>
      <c r="D50" s="78" t="s">
        <v>692</v>
      </c>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v>35.448414250556901</v>
      </c>
      <c r="AE50" s="78">
        <v>36.922398621344897</v>
      </c>
      <c r="AF50" s="78">
        <v>37.086174662543598</v>
      </c>
      <c r="AG50" s="78">
        <v>37.468318758673803</v>
      </c>
      <c r="AH50" s="78">
        <v>36.795017255968197</v>
      </c>
      <c r="AI50" s="78">
        <v>37.8580450789336</v>
      </c>
      <c r="AJ50" s="78">
        <v>37.2226546968758</v>
      </c>
      <c r="AK50" s="78">
        <v>35.7577689950433</v>
      </c>
      <c r="AL50" s="78">
        <v>37.518361437929002</v>
      </c>
      <c r="AM50" s="78">
        <v>53.441032110022</v>
      </c>
      <c r="AN50" s="78">
        <v>58.474112487229299</v>
      </c>
      <c r="AO50" s="78">
        <v>64.339721073863302</v>
      </c>
      <c r="AP50" s="78"/>
      <c r="AQ50" s="78">
        <v>73.467202481037404</v>
      </c>
      <c r="AR50" s="78">
        <v>76.510707246646106</v>
      </c>
      <c r="AS50" s="78">
        <v>75.835889299114498</v>
      </c>
      <c r="AT50" s="78">
        <v>75.878349754240105</v>
      </c>
      <c r="AU50" s="78">
        <v>79.200880367816694</v>
      </c>
      <c r="AV50" s="78">
        <v>78.7004535752652</v>
      </c>
      <c r="AW50" s="78">
        <v>80.612690500742502</v>
      </c>
      <c r="AX50" s="78">
        <v>83.107242239370294</v>
      </c>
      <c r="AY50" s="78">
        <v>88.540664050618702</v>
      </c>
      <c r="AZ50" s="78">
        <v>90.891105646182396</v>
      </c>
      <c r="BA50" s="78">
        <v>95.398169183820997</v>
      </c>
      <c r="BB50" s="78">
        <v>99.610001928764504</v>
      </c>
      <c r="BC50" s="78">
        <v>100</v>
      </c>
      <c r="BD50" s="78">
        <v>101.759587042738</v>
      </c>
      <c r="BE50" s="78">
        <v>106.85793338822</v>
      </c>
      <c r="BF50" s="78">
        <v>111.80718273912299</v>
      </c>
      <c r="BG50" s="78">
        <v>112.827020267541</v>
      </c>
      <c r="BH50" s="78">
        <v>116.402619073639</v>
      </c>
      <c r="BI50" s="78">
        <v>120.11651656878701</v>
      </c>
      <c r="BJ50" s="78">
        <v>120.657117555654</v>
      </c>
      <c r="BK50" s="78">
        <v>122.048027425109</v>
      </c>
      <c r="BL50" s="78">
        <v>124.740496075729</v>
      </c>
      <c r="BM50" s="78">
        <v>126.980051354846</v>
      </c>
      <c r="BN50" s="78">
        <v>129.15857540559199</v>
      </c>
      <c r="BO50" s="78">
        <v>133.089443475834</v>
      </c>
      <c r="BP50" s="78">
        <v>138.814612802413</v>
      </c>
    </row>
    <row r="51" spans="1:68" x14ac:dyDescent="0.25">
      <c r="A51" s="78" t="s">
        <v>771</v>
      </c>
      <c r="B51" s="78" t="s">
        <v>772</v>
      </c>
      <c r="C51" s="78" t="s">
        <v>691</v>
      </c>
      <c r="D51" s="78" t="s">
        <v>692</v>
      </c>
      <c r="E51" s="78">
        <v>5.7306652637517698E-2</v>
      </c>
      <c r="F51" s="78">
        <v>6.2053471819720797E-2</v>
      </c>
      <c r="G51" s="78">
        <v>6.4968181690717497E-2</v>
      </c>
      <c r="H51" s="78">
        <v>8.2090828928009701E-2</v>
      </c>
      <c r="I51" s="78">
        <v>9.6105732515395406E-2</v>
      </c>
      <c r="J51" s="78">
        <v>0.103400814658718</v>
      </c>
      <c r="K51" s="78">
        <v>0.120697876932404</v>
      </c>
      <c r="L51" s="78">
        <v>0.130749827095933</v>
      </c>
      <c r="M51" s="78">
        <v>0.14048747117784</v>
      </c>
      <c r="N51" s="78">
        <v>0.15029583308446201</v>
      </c>
      <c r="O51" s="78">
        <v>0.16067920521398599</v>
      </c>
      <c r="P51" s="78">
        <v>0.179864722810677</v>
      </c>
      <c r="Q51" s="78">
        <v>0.20224791447971899</v>
      </c>
      <c r="R51" s="78">
        <v>0.24781365907095401</v>
      </c>
      <c r="S51" s="78">
        <v>0.30696915197408697</v>
      </c>
      <c r="T51" s="78">
        <v>0.37891505484194299</v>
      </c>
      <c r="U51" s="78">
        <v>0.45405855161123898</v>
      </c>
      <c r="V51" s="78">
        <v>0.60754313905127</v>
      </c>
      <c r="W51" s="78">
        <v>0.71546199335305305</v>
      </c>
      <c r="X51" s="78">
        <v>0.88813213274873704</v>
      </c>
      <c r="Y51" s="78">
        <v>1.1239547774670799</v>
      </c>
      <c r="Z51" s="78">
        <v>1.4325226519474701</v>
      </c>
      <c r="AA51" s="78">
        <v>1.7866564084549399</v>
      </c>
      <c r="AB51" s="78">
        <v>2.13679312963691</v>
      </c>
      <c r="AC51" s="78">
        <v>2.48213345424023</v>
      </c>
      <c r="AD51" s="78">
        <v>3.0800837314162699</v>
      </c>
      <c r="AE51" s="78">
        <v>3.66044737384374</v>
      </c>
      <c r="AF51" s="78">
        <v>4.5134058591467703</v>
      </c>
      <c r="AG51" s="78">
        <v>5.7820518952266102</v>
      </c>
      <c r="AH51" s="78">
        <v>7.2777269494198604</v>
      </c>
      <c r="AI51" s="78">
        <v>9.3993316998624596</v>
      </c>
      <c r="AJ51" s="78">
        <v>12.255583743648099</v>
      </c>
      <c r="AK51" s="78">
        <v>15.5658937091306</v>
      </c>
      <c r="AL51" s="78">
        <v>19.059266735769398</v>
      </c>
      <c r="AM51" s="78">
        <v>23.4135928910116</v>
      </c>
      <c r="AN51" s="78">
        <v>28.3051122562266</v>
      </c>
      <c r="AO51" s="78">
        <v>34.191889351681198</v>
      </c>
      <c r="AP51" s="78">
        <v>40.507138738648599</v>
      </c>
      <c r="AQ51" s="78">
        <v>48.072648910138298</v>
      </c>
      <c r="AR51" s="78">
        <v>53.299918326456499</v>
      </c>
      <c r="AS51" s="78">
        <v>58.217021374847803</v>
      </c>
      <c r="AT51" s="78">
        <v>62.8543336684019</v>
      </c>
      <c r="AU51" s="78">
        <v>66.846531252041501</v>
      </c>
      <c r="AV51" s="78">
        <v>71.612547636410397</v>
      </c>
      <c r="AW51" s="78">
        <v>75.840566811093495</v>
      </c>
      <c r="AX51" s="78">
        <v>79.671288725871705</v>
      </c>
      <c r="AY51" s="78">
        <v>83.091914667364506</v>
      </c>
      <c r="AZ51" s="78">
        <v>87.698850202530096</v>
      </c>
      <c r="BA51" s="78">
        <v>93.835037858537007</v>
      </c>
      <c r="BB51" s="78">
        <v>97.778470912573098</v>
      </c>
      <c r="BC51" s="78">
        <v>100</v>
      </c>
      <c r="BD51" s="78">
        <v>103.415033447762</v>
      </c>
      <c r="BE51" s="78">
        <v>106.692568055712</v>
      </c>
      <c r="BF51" s="78">
        <v>108.844548877365</v>
      </c>
      <c r="BG51" s="78">
        <v>111.999775887943</v>
      </c>
      <c r="BH51" s="78">
        <v>117.588375602645</v>
      </c>
      <c r="BI51" s="78">
        <v>126.423331457792</v>
      </c>
      <c r="BJ51" s="78">
        <v>131.877630006754</v>
      </c>
      <c r="BK51" s="78">
        <v>136.15121603696801</v>
      </c>
      <c r="BL51" s="78">
        <v>140.94784969246001</v>
      </c>
      <c r="BM51" s="78">
        <v>144.509087395731</v>
      </c>
      <c r="BN51" s="78">
        <v>149.55976319986601</v>
      </c>
      <c r="BO51" s="78">
        <v>164.780806314133</v>
      </c>
      <c r="BP51" s="78">
        <v>184.11932436903399</v>
      </c>
    </row>
    <row r="52" spans="1:68" x14ac:dyDescent="0.25">
      <c r="A52" s="78" t="s">
        <v>773</v>
      </c>
      <c r="B52" s="78" t="s">
        <v>774</v>
      </c>
      <c r="C52" s="78" t="s">
        <v>691</v>
      </c>
      <c r="D52" s="78" t="s">
        <v>692</v>
      </c>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v>69.144478825699593</v>
      </c>
      <c r="AT52" s="78">
        <v>72.985173862044306</v>
      </c>
      <c r="AU52" s="78">
        <v>75.563770812791105</v>
      </c>
      <c r="AV52" s="78">
        <v>78.434499949730096</v>
      </c>
      <c r="AW52" s="78">
        <v>81.944438246400196</v>
      </c>
      <c r="AX52" s="78">
        <v>84.4136896302482</v>
      </c>
      <c r="AY52" s="78">
        <v>87.262114447571406</v>
      </c>
      <c r="AZ52" s="78">
        <v>91.159386294649494</v>
      </c>
      <c r="BA52" s="78">
        <v>92.709808511870605</v>
      </c>
      <c r="BB52" s="78">
        <v>96.754133261170196</v>
      </c>
      <c r="BC52" s="78">
        <v>100</v>
      </c>
      <c r="BD52" s="78">
        <v>101.842663007562</v>
      </c>
      <c r="BE52" s="78">
        <v>108.27376697169601</v>
      </c>
      <c r="BF52" s="78">
        <v>103.623545846485</v>
      </c>
      <c r="BG52" s="78"/>
      <c r="BH52" s="78"/>
      <c r="BI52" s="78"/>
      <c r="BJ52" s="78"/>
      <c r="BK52" s="78"/>
      <c r="BL52" s="78"/>
      <c r="BM52" s="78"/>
      <c r="BN52" s="78"/>
      <c r="BO52" s="78"/>
      <c r="BP52" s="78"/>
    </row>
    <row r="53" spans="1:68" x14ac:dyDescent="0.25">
      <c r="A53" s="78" t="s">
        <v>775</v>
      </c>
      <c r="B53" s="78" t="s">
        <v>776</v>
      </c>
      <c r="C53" s="78" t="s">
        <v>691</v>
      </c>
      <c r="D53" s="78" t="s">
        <v>692</v>
      </c>
      <c r="E53" s="78"/>
      <c r="F53" s="78"/>
      <c r="G53" s="78"/>
      <c r="H53" s="78"/>
      <c r="I53" s="78"/>
      <c r="J53" s="78"/>
      <c r="K53" s="78"/>
      <c r="L53" s="78"/>
      <c r="M53" s="78"/>
      <c r="N53" s="78"/>
      <c r="O53" s="78"/>
      <c r="P53" s="78"/>
      <c r="Q53" s="78"/>
      <c r="R53" s="78"/>
      <c r="S53" s="78"/>
      <c r="T53" s="78"/>
      <c r="U53" s="78"/>
      <c r="V53" s="78"/>
      <c r="W53" s="78"/>
      <c r="X53" s="78"/>
      <c r="Y53" s="78"/>
      <c r="Z53" s="78"/>
      <c r="AA53" s="78"/>
      <c r="AB53" s="78">
        <v>29.561479177596201</v>
      </c>
      <c r="AC53" s="78">
        <v>32.8871455850757</v>
      </c>
      <c r="AD53" s="78">
        <v>34.660834335731501</v>
      </c>
      <c r="AE53" s="78">
        <v>38.429922930875001</v>
      </c>
      <c r="AF53" s="78">
        <v>39.907996889754898</v>
      </c>
      <c r="AG53" s="78">
        <v>41.533878244522597</v>
      </c>
      <c r="AH53" s="78">
        <v>43.425812911888798</v>
      </c>
      <c r="AI53" s="78">
        <v>48.052184403182601</v>
      </c>
      <c r="AJ53" s="78">
        <v>52.641604045504401</v>
      </c>
      <c r="AK53" s="78">
        <v>54.282266139861001</v>
      </c>
      <c r="AL53" s="78">
        <v>57.4243386099362</v>
      </c>
      <c r="AM53" s="78">
        <v>59.406660274429399</v>
      </c>
      <c r="AN53" s="78">
        <v>64.3680223468713</v>
      </c>
      <c r="AO53" s="78">
        <v>68.206686355123594</v>
      </c>
      <c r="AP53" s="78">
        <v>74.042493124426102</v>
      </c>
      <c r="AQ53" s="78">
        <v>77.296094346092403</v>
      </c>
      <c r="AR53" s="78">
        <v>80.663447483833394</v>
      </c>
      <c r="AS53" s="78">
        <v>78.665045511633707</v>
      </c>
      <c r="AT53" s="78">
        <v>81.300296785746099</v>
      </c>
      <c r="AU53" s="78">
        <v>82.832428602698798</v>
      </c>
      <c r="AV53" s="78">
        <v>83.816618989530696</v>
      </c>
      <c r="AW53" s="78">
        <v>82.231796150140696</v>
      </c>
      <c r="AX53" s="78">
        <v>82.576258247313802</v>
      </c>
      <c r="AY53" s="78">
        <v>87.009841029523002</v>
      </c>
      <c r="AZ53" s="78">
        <v>90.847842543527605</v>
      </c>
      <c r="BA53" s="78">
        <v>97.002271006813004</v>
      </c>
      <c r="BB53" s="78">
        <v>97.963663890991597</v>
      </c>
      <c r="BC53" s="78">
        <v>100</v>
      </c>
      <c r="BD53" s="78">
        <v>104.47388342165</v>
      </c>
      <c r="BE53" s="78">
        <v>107.127934238569</v>
      </c>
      <c r="BF53" s="78">
        <v>108.741862479707</v>
      </c>
      <c r="BG53" s="78">
        <v>108.48221067765</v>
      </c>
      <c r="BH53" s="78">
        <v>108.624526319136</v>
      </c>
      <c r="BI53" s="78">
        <v>107.095292454784</v>
      </c>
      <c r="BJ53" s="78">
        <v>107.93536426201101</v>
      </c>
      <c r="BK53" s="78">
        <v>109.29210711384199</v>
      </c>
      <c r="BL53" s="78">
        <v>110.50160651595201</v>
      </c>
      <c r="BM53" s="78">
        <v>111.171020616435</v>
      </c>
      <c r="BN53" s="78">
        <v>113.24119508412301</v>
      </c>
      <c r="BO53" s="78">
        <v>122.22227415296901</v>
      </c>
      <c r="BP53" s="78"/>
    </row>
    <row r="54" spans="1:68" x14ac:dyDescent="0.25">
      <c r="A54" s="78" t="s">
        <v>777</v>
      </c>
      <c r="B54" s="78" t="s">
        <v>778</v>
      </c>
      <c r="C54" s="78" t="s">
        <v>691</v>
      </c>
      <c r="D54" s="78" t="s">
        <v>692</v>
      </c>
      <c r="E54" s="78">
        <v>0.24917886376449999</v>
      </c>
      <c r="F54" s="78">
        <v>0.25523588841012301</v>
      </c>
      <c r="G54" s="78">
        <v>0.262070747373706</v>
      </c>
      <c r="H54" s="78">
        <v>0.26975366180952598</v>
      </c>
      <c r="I54" s="78">
        <v>0.27872036297887798</v>
      </c>
      <c r="J54" s="78">
        <v>0.276866872563443</v>
      </c>
      <c r="K54" s="78">
        <v>0.277373214556421</v>
      </c>
      <c r="L54" s="78">
        <v>0.28072482692077699</v>
      </c>
      <c r="M54" s="78">
        <v>0.29221739655496898</v>
      </c>
      <c r="N54" s="78">
        <v>0.299900787894189</v>
      </c>
      <c r="O54" s="78">
        <v>0.31385306473097202</v>
      </c>
      <c r="P54" s="78">
        <v>0.32352930666572399</v>
      </c>
      <c r="Q54" s="78">
        <v>0.33841529671848603</v>
      </c>
      <c r="R54" s="78">
        <v>0.38990191576836702</v>
      </c>
      <c r="S54" s="78">
        <v>0.50715957247358101</v>
      </c>
      <c r="T54" s="78">
        <v>0.595249143193751</v>
      </c>
      <c r="U54" s="78">
        <v>0.61599853624110201</v>
      </c>
      <c r="V54" s="78">
        <v>0.641810356094204</v>
      </c>
      <c r="W54" s="78">
        <v>0.68036471992541803</v>
      </c>
      <c r="X54" s="78">
        <v>0.74287942286077702</v>
      </c>
      <c r="Y54" s="78">
        <v>0.87760187500544595</v>
      </c>
      <c r="Z54" s="78">
        <v>1.2028090230280599</v>
      </c>
      <c r="AA54" s="78">
        <v>2.28679654622603</v>
      </c>
      <c r="AB54" s="78">
        <v>3.03283437742326</v>
      </c>
      <c r="AC54" s="78">
        <v>3.3951800510573</v>
      </c>
      <c r="AD54" s="78">
        <v>3.9064065590339201</v>
      </c>
      <c r="AE54" s="78">
        <v>4.3687321931116196</v>
      </c>
      <c r="AF54" s="78">
        <v>5.10453242487345</v>
      </c>
      <c r="AG54" s="78">
        <v>6.1679358385683098</v>
      </c>
      <c r="AH54" s="78">
        <v>7.1862502504944503</v>
      </c>
      <c r="AI54" s="78">
        <v>8.5544945239734105</v>
      </c>
      <c r="AJ54" s="78">
        <v>11.0104292821482</v>
      </c>
      <c r="AK54" s="78">
        <v>13.4097305115315</v>
      </c>
      <c r="AL54" s="78">
        <v>14.7210145243219</v>
      </c>
      <c r="AM54" s="78">
        <v>16.713425631463799</v>
      </c>
      <c r="AN54" s="78">
        <v>20.588683749662401</v>
      </c>
      <c r="AO54" s="78">
        <v>24.194061321042401</v>
      </c>
      <c r="AP54" s="78">
        <v>27.399301229383202</v>
      </c>
      <c r="AQ54" s="78">
        <v>30.593867895759502</v>
      </c>
      <c r="AR54" s="78">
        <v>33.667108117762901</v>
      </c>
      <c r="AS54" s="78">
        <v>37.357544892962601</v>
      </c>
      <c r="AT54" s="78">
        <v>41.562366584475399</v>
      </c>
      <c r="AU54" s="78">
        <v>45.372605055195898</v>
      </c>
      <c r="AV54" s="78">
        <v>49.659218631559703</v>
      </c>
      <c r="AW54" s="78">
        <v>55.774659545363498</v>
      </c>
      <c r="AX54" s="78">
        <v>63.470611554982398</v>
      </c>
      <c r="AY54" s="78">
        <v>70.751069502409095</v>
      </c>
      <c r="AZ54" s="78">
        <v>77.371420107516599</v>
      </c>
      <c r="BA54" s="78">
        <v>87.758118198530994</v>
      </c>
      <c r="BB54" s="78">
        <v>94.640725606196597</v>
      </c>
      <c r="BC54" s="78">
        <v>100</v>
      </c>
      <c r="BD54" s="78">
        <v>104.877998309707</v>
      </c>
      <c r="BE54" s="78">
        <v>109.592739581609</v>
      </c>
      <c r="BF54" s="78">
        <v>115.325904176069</v>
      </c>
      <c r="BG54" s="78">
        <v>120.53771357375</v>
      </c>
      <c r="BH54" s="78">
        <v>121.50440434597</v>
      </c>
      <c r="BI54" s="78">
        <v>121.483166772673</v>
      </c>
      <c r="BJ54" s="78">
        <v>123.458369999913</v>
      </c>
      <c r="BK54" s="78">
        <v>126.20052189975</v>
      </c>
      <c r="BL54" s="78">
        <v>128.84574333684799</v>
      </c>
      <c r="BM54" s="78">
        <v>129.77976091938001</v>
      </c>
      <c r="BN54" s="78">
        <v>132.020379357515</v>
      </c>
      <c r="BO54" s="78">
        <v>142.944768574546</v>
      </c>
      <c r="BP54" s="78">
        <v>143.69550522011701</v>
      </c>
    </row>
    <row r="55" spans="1:68" x14ac:dyDescent="0.25">
      <c r="A55" s="78" t="s">
        <v>779</v>
      </c>
      <c r="B55" s="78" t="s">
        <v>780</v>
      </c>
      <c r="C55" s="78" t="s">
        <v>691</v>
      </c>
      <c r="D55" s="78" t="s">
        <v>692</v>
      </c>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row>
    <row r="56" spans="1:68" x14ac:dyDescent="0.25">
      <c r="A56" s="78" t="s">
        <v>781</v>
      </c>
      <c r="B56" s="78" t="s">
        <v>782</v>
      </c>
      <c r="C56" s="78" t="s">
        <v>691</v>
      </c>
      <c r="D56" s="78" t="s">
        <v>692</v>
      </c>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row>
    <row r="57" spans="1:68" x14ac:dyDescent="0.25">
      <c r="A57" s="78" t="s">
        <v>783</v>
      </c>
      <c r="B57" s="78" t="s">
        <v>784</v>
      </c>
      <c r="C57" s="78" t="s">
        <v>691</v>
      </c>
      <c r="D57" s="78" t="s">
        <v>692</v>
      </c>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v>76.842335447189996</v>
      </c>
      <c r="AT57" s="78">
        <v>78.219986879510202</v>
      </c>
      <c r="AU57" s="78">
        <v>78.526131642248004</v>
      </c>
      <c r="AV57" s="78">
        <v>79.809023981339806</v>
      </c>
      <c r="AW57" s="78">
        <v>80.909687294992395</v>
      </c>
      <c r="AX57" s="78">
        <v>84.240833880020404</v>
      </c>
      <c r="AY57" s="78">
        <v>86.864931846344504</v>
      </c>
      <c r="AZ57" s="78">
        <v>89.467162329615604</v>
      </c>
      <c r="BA57" s="78">
        <v>95.619214228442601</v>
      </c>
      <c r="BB57" s="78">
        <v>97.295721262482402</v>
      </c>
      <c r="BC57" s="78">
        <v>100</v>
      </c>
      <c r="BD57" s="78">
        <v>102.332531525622</v>
      </c>
      <c r="BE57" s="78">
        <v>105.590786500474</v>
      </c>
      <c r="BF57" s="78">
        <v>106.997594576864</v>
      </c>
      <c r="BG57" s="78">
        <v>108.601210000729</v>
      </c>
      <c r="BH57" s="78">
        <v>108.083679568482</v>
      </c>
      <c r="BI57" s="78">
        <v>108.032655441358</v>
      </c>
      <c r="BJ57" s="78">
        <v>109.74560828048701</v>
      </c>
      <c r="BK57" s="78">
        <v>112.58109191632001</v>
      </c>
      <c r="BL57" s="78">
        <v>115.53320212843499</v>
      </c>
      <c r="BM57" s="78"/>
      <c r="BN57" s="78"/>
      <c r="BO57" s="78"/>
      <c r="BP57" s="78"/>
    </row>
    <row r="58" spans="1:68" x14ac:dyDescent="0.25">
      <c r="A58" s="78" t="s">
        <v>785</v>
      </c>
      <c r="B58" s="78" t="s">
        <v>786</v>
      </c>
      <c r="C58" s="78" t="s">
        <v>691</v>
      </c>
      <c r="D58" s="78" t="s">
        <v>692</v>
      </c>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v>99.724619576125406</v>
      </c>
      <c r="BC58" s="78">
        <v>100</v>
      </c>
      <c r="BD58" s="78">
        <v>101.325435757797</v>
      </c>
      <c r="BE58" s="78">
        <v>102.53014295818301</v>
      </c>
      <c r="BF58" s="78">
        <v>104.745420985232</v>
      </c>
      <c r="BG58" s="78">
        <v>106.079855772852</v>
      </c>
      <c r="BH58" s="78">
        <v>103.58960177270799</v>
      </c>
      <c r="BI58" s="78">
        <v>102.94189912896501</v>
      </c>
      <c r="BJ58" s="78"/>
      <c r="BK58" s="78"/>
      <c r="BL58" s="78"/>
      <c r="BM58" s="78"/>
      <c r="BN58" s="78"/>
      <c r="BO58" s="78"/>
      <c r="BP58" s="78"/>
    </row>
    <row r="59" spans="1:68" x14ac:dyDescent="0.25">
      <c r="A59" s="78" t="s">
        <v>787</v>
      </c>
      <c r="B59" s="78" t="s">
        <v>788</v>
      </c>
      <c r="C59" s="78" t="s">
        <v>691</v>
      </c>
      <c r="D59" s="78" t="s">
        <v>692</v>
      </c>
      <c r="E59" s="78">
        <v>13.9416118305171</v>
      </c>
      <c r="F59" s="78">
        <v>13.8558172961755</v>
      </c>
      <c r="G59" s="78">
        <v>13.8701163852324</v>
      </c>
      <c r="H59" s="78">
        <v>14.1417990773143</v>
      </c>
      <c r="I59" s="78">
        <v>14.0989018100005</v>
      </c>
      <c r="J59" s="78">
        <v>14.1274999881143</v>
      </c>
      <c r="K59" s="78">
        <v>14.198995433399</v>
      </c>
      <c r="L59" s="78">
        <v>14.2990890569406</v>
      </c>
      <c r="M59" s="78">
        <v>14.837688078013899</v>
      </c>
      <c r="N59" s="78">
        <v>15.191590532101699</v>
      </c>
      <c r="O59" s="78">
        <v>15.556217303089401</v>
      </c>
      <c r="P59" s="78">
        <v>16.200867901454</v>
      </c>
      <c r="Q59" s="78">
        <v>16.983743027309799</v>
      </c>
      <c r="R59" s="78">
        <v>18.309983537329099</v>
      </c>
      <c r="S59" s="78">
        <v>21.271928540853899</v>
      </c>
      <c r="T59" s="78">
        <v>22.258836653500701</v>
      </c>
      <c r="U59" s="78">
        <v>23.116778965626999</v>
      </c>
      <c r="V59" s="78">
        <v>24.810420641026901</v>
      </c>
      <c r="W59" s="78">
        <v>26.655393807553999</v>
      </c>
      <c r="X59" s="78">
        <v>29.177982522435101</v>
      </c>
      <c r="Y59" s="78">
        <v>33.1221339851271</v>
      </c>
      <c r="Z59" s="78">
        <v>36.681005798392</v>
      </c>
      <c r="AA59" s="78">
        <v>39.040620536875899</v>
      </c>
      <c r="AB59" s="78">
        <v>41.012060311904698</v>
      </c>
      <c r="AC59" s="78">
        <v>43.469482915196402</v>
      </c>
      <c r="AD59" s="78">
        <v>45.657933890389302</v>
      </c>
      <c r="AE59" s="78">
        <v>46.214216121513303</v>
      </c>
      <c r="AF59" s="78">
        <v>47.504362988239102</v>
      </c>
      <c r="AG59" s="78">
        <v>49.133414106522402</v>
      </c>
      <c r="AH59" s="78">
        <v>50.983523225253499</v>
      </c>
      <c r="AI59" s="78">
        <v>53.278829292622099</v>
      </c>
      <c r="AJ59" s="78">
        <v>55.961564538475997</v>
      </c>
      <c r="AK59" s="78">
        <v>59.604785242721803</v>
      </c>
      <c r="AL59" s="78">
        <v>62.498100859712402</v>
      </c>
      <c r="AM59" s="78">
        <v>65.434629946003497</v>
      </c>
      <c r="AN59" s="78">
        <v>67.146280695557195</v>
      </c>
      <c r="AO59" s="78">
        <v>69.146517946993995</v>
      </c>
      <c r="AP59" s="78">
        <v>71.639488089770893</v>
      </c>
      <c r="AQ59" s="78">
        <v>73.235406214644698</v>
      </c>
      <c r="AR59" s="78">
        <v>74.429143335943394</v>
      </c>
      <c r="AS59" s="78">
        <v>77.511743642528401</v>
      </c>
      <c r="AT59" s="78">
        <v>79.041082835425001</v>
      </c>
      <c r="AU59" s="78">
        <v>81.255146120272798</v>
      </c>
      <c r="AV59" s="78">
        <v>84.618349748386507</v>
      </c>
      <c r="AW59" s="78">
        <v>86.552908903008202</v>
      </c>
      <c r="AX59" s="78">
        <v>88.768803000936103</v>
      </c>
      <c r="AY59" s="78">
        <v>90.814646356501001</v>
      </c>
      <c r="AZ59" s="78">
        <v>92.969361731268606</v>
      </c>
      <c r="BA59" s="78">
        <v>97.310109057615193</v>
      </c>
      <c r="BB59" s="78">
        <v>97.627609223749005</v>
      </c>
      <c r="BC59" s="78">
        <v>100</v>
      </c>
      <c r="BD59" s="78">
        <v>103.289449395642</v>
      </c>
      <c r="BE59" s="78">
        <v>105.75709022173299</v>
      </c>
      <c r="BF59" s="78">
        <v>105.334741163527</v>
      </c>
      <c r="BG59" s="78">
        <v>103.907467160884</v>
      </c>
      <c r="BH59" s="78">
        <v>101.72852997423099</v>
      </c>
      <c r="BI59" s="78">
        <v>100.274659733349</v>
      </c>
      <c r="BJ59" s="78">
        <v>100.807886777964</v>
      </c>
      <c r="BK59" s="78">
        <v>102.25497511684701</v>
      </c>
      <c r="BL59" s="78">
        <v>102.51099191728299</v>
      </c>
      <c r="BM59" s="78">
        <v>101.85653837444799</v>
      </c>
      <c r="BN59" s="78">
        <v>104.348039621067</v>
      </c>
      <c r="BO59" s="78">
        <v>113.108561527348</v>
      </c>
      <c r="BP59" s="78">
        <v>117.114122395083</v>
      </c>
    </row>
    <row r="60" spans="1:68" x14ac:dyDescent="0.25">
      <c r="A60" s="78" t="s">
        <v>789</v>
      </c>
      <c r="B60" s="78" t="s">
        <v>790</v>
      </c>
      <c r="C60" s="78" t="s">
        <v>691</v>
      </c>
      <c r="D60" s="78" t="s">
        <v>692</v>
      </c>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v>34.887900913814697</v>
      </c>
      <c r="AK60" s="78">
        <v>38.755748073821898</v>
      </c>
      <c r="AL60" s="78">
        <v>46.8219933703637</v>
      </c>
      <c r="AM60" s="78">
        <v>51.522654542196697</v>
      </c>
      <c r="AN60" s="78">
        <v>56.154810965776697</v>
      </c>
      <c r="AO60" s="78">
        <v>61.073284357642002</v>
      </c>
      <c r="AP60" s="78">
        <v>66.323239562802399</v>
      </c>
      <c r="AQ60" s="78">
        <v>73.418742160903093</v>
      </c>
      <c r="AR60" s="78">
        <v>74.986561548109705</v>
      </c>
      <c r="AS60" s="78">
        <v>77.817595413008505</v>
      </c>
      <c r="AT60" s="78">
        <v>81.445977423400805</v>
      </c>
      <c r="AU60" s="78">
        <v>82.9958788747537</v>
      </c>
      <c r="AV60" s="78">
        <v>83.094427521949498</v>
      </c>
      <c r="AW60" s="78">
        <v>85.387923311234601</v>
      </c>
      <c r="AX60" s="78">
        <v>86.973660634294902</v>
      </c>
      <c r="AY60" s="78">
        <v>89.177566744311093</v>
      </c>
      <c r="AZ60" s="78">
        <v>91.7219136355492</v>
      </c>
      <c r="BA60" s="78">
        <v>97.554201755957806</v>
      </c>
      <c r="BB60" s="78">
        <v>98.548647195843103</v>
      </c>
      <c r="BC60" s="78">
        <v>100</v>
      </c>
      <c r="BD60" s="78">
        <v>101.917219136355</v>
      </c>
      <c r="BE60" s="78">
        <v>105.26787314101399</v>
      </c>
      <c r="BF60" s="78">
        <v>106.781938720659</v>
      </c>
      <c r="BG60" s="78">
        <v>107.149256405662</v>
      </c>
      <c r="BH60" s="78">
        <v>107.480738218957</v>
      </c>
      <c r="BI60" s="78">
        <v>108.215373588963</v>
      </c>
      <c r="BJ60" s="78">
        <v>110.867228095323</v>
      </c>
      <c r="BK60" s="78">
        <v>113.250313563877</v>
      </c>
      <c r="BL60" s="78">
        <v>116.47554201756</v>
      </c>
      <c r="BM60" s="78">
        <v>120.157677835513</v>
      </c>
      <c r="BN60" s="78">
        <v>124.77154631786399</v>
      </c>
      <c r="BO60" s="78">
        <v>143.61225586812401</v>
      </c>
      <c r="BP60" s="78">
        <v>158.92313205518701</v>
      </c>
    </row>
    <row r="61" spans="1:68" x14ac:dyDescent="0.25">
      <c r="A61" s="78" t="s">
        <v>791</v>
      </c>
      <c r="B61" s="78" t="s">
        <v>792</v>
      </c>
      <c r="C61" s="78" t="s">
        <v>691</v>
      </c>
      <c r="D61" s="78" t="s">
        <v>692</v>
      </c>
      <c r="E61" s="78">
        <v>24.6460704672795</v>
      </c>
      <c r="F61" s="78">
        <v>25.211376155011301</v>
      </c>
      <c r="G61" s="78">
        <v>25.928203699730101</v>
      </c>
      <c r="H61" s="78">
        <v>26.6974830741086</v>
      </c>
      <c r="I61" s="78">
        <v>27.321065747114002</v>
      </c>
      <c r="J61" s="78">
        <v>28.206901917499</v>
      </c>
      <c r="K61" s="78">
        <v>29.203468786457002</v>
      </c>
      <c r="L61" s="78">
        <v>29.727977664855899</v>
      </c>
      <c r="M61" s="78">
        <v>30.165064943515599</v>
      </c>
      <c r="N61" s="78">
        <v>30.742025651574199</v>
      </c>
      <c r="O61" s="78">
        <v>31.802702195978199</v>
      </c>
      <c r="P61" s="78">
        <v>33.469473702888301</v>
      </c>
      <c r="Q61" s="78">
        <v>35.305251951824999</v>
      </c>
      <c r="R61" s="78">
        <v>37.787925739880201</v>
      </c>
      <c r="S61" s="78">
        <v>40.427953133274897</v>
      </c>
      <c r="T61" s="78">
        <v>42.817381107796898</v>
      </c>
      <c r="U61" s="78">
        <v>44.6356772971534</v>
      </c>
      <c r="V61" s="78">
        <v>46.302445978603998</v>
      </c>
      <c r="W61" s="78">
        <v>47.561269170401097</v>
      </c>
      <c r="X61" s="78">
        <v>49.4844661936176</v>
      </c>
      <c r="Y61" s="78">
        <v>52.1769444748521</v>
      </c>
      <c r="Z61" s="78">
        <v>55.487176506198999</v>
      </c>
      <c r="AA61" s="78">
        <v>58.395284436226802</v>
      </c>
      <c r="AB61" s="78">
        <v>60.318483343082903</v>
      </c>
      <c r="AC61" s="78">
        <v>61.769621433920499</v>
      </c>
      <c r="AD61" s="78">
        <v>63.045925743478001</v>
      </c>
      <c r="AE61" s="78">
        <v>62.964335892091398</v>
      </c>
      <c r="AF61" s="78">
        <v>63.121687613791302</v>
      </c>
      <c r="AG61" s="78">
        <v>63.925932990969898</v>
      </c>
      <c r="AH61" s="78">
        <v>65.703438021912405</v>
      </c>
      <c r="AI61" s="78">
        <v>67.4751103626825</v>
      </c>
      <c r="AJ61" s="78">
        <v>70.205850074282694</v>
      </c>
      <c r="AK61" s="78">
        <v>73.756144444306997</v>
      </c>
      <c r="AL61" s="78">
        <v>77.056419556470502</v>
      </c>
      <c r="AM61" s="78">
        <v>79.131592393829195</v>
      </c>
      <c r="AN61" s="78">
        <v>80.481704297564306</v>
      </c>
      <c r="AO61" s="78">
        <v>81.648469310626794</v>
      </c>
      <c r="AP61" s="78">
        <v>83.2319368540699</v>
      </c>
      <c r="AQ61" s="78">
        <v>83.990332558557796</v>
      </c>
      <c r="AR61" s="78">
        <v>84.482039736112995</v>
      </c>
      <c r="AS61" s="78">
        <v>85.698807847291803</v>
      </c>
      <c r="AT61" s="78">
        <v>87.3989499142195</v>
      </c>
      <c r="AU61" s="78">
        <v>88.640719574456398</v>
      </c>
      <c r="AV61" s="78">
        <v>89.557461562378705</v>
      </c>
      <c r="AW61" s="78">
        <v>91.049253305935906</v>
      </c>
      <c r="AX61" s="78">
        <v>92.457704355052996</v>
      </c>
      <c r="AY61" s="78">
        <v>93.916156618646795</v>
      </c>
      <c r="AZ61" s="78">
        <v>96.074672975905102</v>
      </c>
      <c r="BA61" s="78">
        <v>98.599880289049395</v>
      </c>
      <c r="BB61" s="78">
        <v>98.908240575931799</v>
      </c>
      <c r="BC61" s="78">
        <v>100</v>
      </c>
      <c r="BD61" s="78">
        <v>102.07517283735901</v>
      </c>
      <c r="BE61" s="78">
        <v>104.12534130020001</v>
      </c>
      <c r="BF61" s="78">
        <v>105.692139574571</v>
      </c>
      <c r="BG61" s="78">
        <v>106.65054955516401</v>
      </c>
      <c r="BH61" s="78">
        <v>107.199187857464</v>
      </c>
      <c r="BI61" s="78">
        <v>107.72633665683</v>
      </c>
      <c r="BJ61" s="78">
        <v>109.35246016194</v>
      </c>
      <c r="BK61" s="78">
        <v>111.246629356349</v>
      </c>
      <c r="BL61" s="78">
        <v>112.854877121191</v>
      </c>
      <c r="BM61" s="78">
        <v>113.018378926344</v>
      </c>
      <c r="BN61" s="78">
        <v>116.484275880086</v>
      </c>
      <c r="BO61" s="78">
        <v>124.48974438736801</v>
      </c>
      <c r="BP61" s="78">
        <v>131.892448207044</v>
      </c>
    </row>
    <row r="62" spans="1:68" x14ac:dyDescent="0.25">
      <c r="A62" s="78" t="s">
        <v>793</v>
      </c>
      <c r="B62" s="78" t="s">
        <v>794</v>
      </c>
      <c r="C62" s="78" t="s">
        <v>691</v>
      </c>
      <c r="D62" s="78" t="s">
        <v>692</v>
      </c>
      <c r="E62" s="78"/>
      <c r="F62" s="78"/>
      <c r="G62" s="78"/>
      <c r="H62" s="78"/>
      <c r="I62" s="78"/>
      <c r="J62" s="78"/>
      <c r="K62" s="78"/>
      <c r="L62" s="78"/>
      <c r="M62" s="78"/>
      <c r="N62" s="78"/>
      <c r="O62" s="78"/>
      <c r="P62" s="78"/>
      <c r="Q62" s="78"/>
      <c r="R62" s="78"/>
      <c r="S62" s="78"/>
      <c r="T62" s="78"/>
      <c r="U62" s="78"/>
      <c r="V62" s="78"/>
      <c r="W62" s="78"/>
      <c r="X62" s="78">
        <v>82.385685649911295</v>
      </c>
      <c r="Y62" s="78">
        <v>92.319771045684305</v>
      </c>
      <c r="Z62" s="78">
        <v>97.598031958097707</v>
      </c>
      <c r="AA62" s="78">
        <v>95.245222259098895</v>
      </c>
      <c r="AB62" s="78">
        <v>96.104184530161902</v>
      </c>
      <c r="AC62" s="78">
        <v>97.915474536409306</v>
      </c>
      <c r="AD62" s="78">
        <v>100</v>
      </c>
      <c r="AE62" s="78">
        <v>118.14763345098601</v>
      </c>
      <c r="AF62" s="78">
        <v>122.97882776147701</v>
      </c>
      <c r="AG62" s="78"/>
      <c r="AH62" s="78"/>
      <c r="AI62" s="78"/>
      <c r="AJ62" s="78"/>
      <c r="AK62" s="78"/>
      <c r="AL62" s="78"/>
      <c r="AM62" s="78"/>
      <c r="AN62" s="78"/>
      <c r="AO62" s="78"/>
      <c r="AP62" s="78"/>
      <c r="AQ62" s="78"/>
      <c r="AR62" s="78"/>
      <c r="AS62" s="78">
        <v>70.072269495279599</v>
      </c>
      <c r="AT62" s="78">
        <v>71.2961883669429</v>
      </c>
      <c r="AU62" s="78">
        <v>71.750786804989303</v>
      </c>
      <c r="AV62" s="78">
        <v>73.172863970159895</v>
      </c>
      <c r="AW62" s="78">
        <v>75.457512530598393</v>
      </c>
      <c r="AX62" s="78">
        <v>77.800442942068301</v>
      </c>
      <c r="AY62" s="78">
        <v>80.5105490150371</v>
      </c>
      <c r="AZ62" s="78">
        <v>84.508683995803693</v>
      </c>
      <c r="BA62" s="78">
        <v>94.614756964681206</v>
      </c>
      <c r="BB62" s="78">
        <v>96.200023312740598</v>
      </c>
      <c r="BC62" s="78">
        <v>100</v>
      </c>
      <c r="BD62" s="78">
        <v>105.06871394778</v>
      </c>
      <c r="BE62" s="78">
        <v>108.98904779208</v>
      </c>
      <c r="BF62" s="78">
        <v>111.938326769089</v>
      </c>
      <c r="BG62" s="78">
        <v>113.440387934233</v>
      </c>
      <c r="BH62" s="78">
        <v>112.479105732701</v>
      </c>
      <c r="BI62" s="78">
        <v>115.55924715987</v>
      </c>
      <c r="BJ62" s="78">
        <v>116.215753245397</v>
      </c>
      <c r="BK62" s="78">
        <v>116.387718683166</v>
      </c>
      <c r="BL62" s="78">
        <v>120.25092237337201</v>
      </c>
      <c r="BM62" s="78">
        <v>122.388271692977</v>
      </c>
      <c r="BN62" s="78">
        <v>123.834800404194</v>
      </c>
      <c r="BO62" s="78">
        <v>130.24920589631299</v>
      </c>
      <c r="BP62" s="78">
        <v>132.196520309031</v>
      </c>
    </row>
    <row r="63" spans="1:68" x14ac:dyDescent="0.25">
      <c r="A63" s="78" t="s">
        <v>795</v>
      </c>
      <c r="B63" s="78" t="s">
        <v>796</v>
      </c>
      <c r="C63" s="78" t="s">
        <v>691</v>
      </c>
      <c r="D63" s="78" t="s">
        <v>692</v>
      </c>
      <c r="E63" s="78"/>
      <c r="F63" s="78"/>
      <c r="G63" s="78"/>
      <c r="H63" s="78"/>
      <c r="I63" s="78">
        <v>7.9775123777121602</v>
      </c>
      <c r="J63" s="78"/>
      <c r="K63" s="78">
        <v>8.3757232038530596</v>
      </c>
      <c r="L63" s="78">
        <v>8.4554983276368798</v>
      </c>
      <c r="M63" s="78">
        <v>8.9095517404483395</v>
      </c>
      <c r="N63" s="78">
        <v>9.2851596149189497</v>
      </c>
      <c r="O63" s="78">
        <v>10.435915775403901</v>
      </c>
      <c r="P63" s="78">
        <v>10.815512406030001</v>
      </c>
      <c r="Q63" s="78">
        <v>11.214388024929001</v>
      </c>
      <c r="R63" s="78">
        <v>12.5712299218449</v>
      </c>
      <c r="S63" s="78">
        <v>16.892725254208202</v>
      </c>
      <c r="T63" s="78">
        <v>20.254848622786799</v>
      </c>
      <c r="U63" s="78">
        <v>22.463132737624498</v>
      </c>
      <c r="V63" s="78">
        <v>24.5979514318119</v>
      </c>
      <c r="W63" s="78">
        <v>26.4950878827194</v>
      </c>
      <c r="X63" s="78"/>
      <c r="Y63" s="78">
        <v>41.499319676684799</v>
      </c>
      <c r="Z63" s="78">
        <v>47.004904730115598</v>
      </c>
      <c r="AA63" s="78">
        <v>49.070579498985303</v>
      </c>
      <c r="AB63" s="78">
        <v>51.106003800528399</v>
      </c>
      <c r="AC63" s="78">
        <v>52.239532026207101</v>
      </c>
      <c r="AD63" s="78">
        <v>54.193280065968601</v>
      </c>
      <c r="AE63" s="78">
        <v>55.696728292097902</v>
      </c>
      <c r="AF63" s="78">
        <v>57.938287920994803</v>
      </c>
      <c r="AG63" s="78">
        <v>59.632746240814399</v>
      </c>
      <c r="AH63" s="78">
        <v>63.341021385515198</v>
      </c>
      <c r="AI63" s="78">
        <v>65.362184752461602</v>
      </c>
      <c r="AJ63" s="78">
        <v>68.994401579313106</v>
      </c>
      <c r="AK63" s="78">
        <v>72.769654902971894</v>
      </c>
      <c r="AL63" s="78">
        <v>73.911429739251304</v>
      </c>
      <c r="AM63" s="78">
        <v>73.922617516634602</v>
      </c>
      <c r="AN63" s="78">
        <v>74.8965756921653</v>
      </c>
      <c r="AO63" s="78">
        <v>76.152714475029299</v>
      </c>
      <c r="AP63" s="78">
        <v>78.008020891084897</v>
      </c>
      <c r="AQ63" s="78">
        <v>78.787436048784599</v>
      </c>
      <c r="AR63" s="78">
        <v>79.716716424426096</v>
      </c>
      <c r="AS63" s="78">
        <v>80.399846279161807</v>
      </c>
      <c r="AT63" s="78">
        <v>81.448175078671298</v>
      </c>
      <c r="AU63" s="78">
        <v>81.586682041741398</v>
      </c>
      <c r="AV63" s="78">
        <v>82.772436774365104</v>
      </c>
      <c r="AW63" s="78">
        <v>84.754099811849898</v>
      </c>
      <c r="AX63" s="78">
        <v>86.179579693580393</v>
      </c>
      <c r="AY63" s="78">
        <v>88.077591281807997</v>
      </c>
      <c r="AZ63" s="78">
        <v>91.276764306864294</v>
      </c>
      <c r="BA63" s="78">
        <v>97.081895168803797</v>
      </c>
      <c r="BB63" s="78">
        <v>97.087975962304398</v>
      </c>
      <c r="BC63" s="78">
        <v>100</v>
      </c>
      <c r="BD63" s="78">
        <v>101.13123136526499</v>
      </c>
      <c r="BE63" s="78">
        <v>102.503351067868</v>
      </c>
      <c r="BF63" s="78">
        <v>102.45577757453</v>
      </c>
      <c r="BG63" s="78">
        <v>103.274655758634</v>
      </c>
      <c r="BH63" s="78">
        <v>102.403196345051</v>
      </c>
      <c r="BI63" s="78">
        <v>102.548420693137</v>
      </c>
      <c r="BJ63" s="78">
        <v>102.85222335234999</v>
      </c>
      <c r="BK63" s="78">
        <v>103.869628411641</v>
      </c>
      <c r="BL63" s="78">
        <v>105.43247529016</v>
      </c>
      <c r="BM63" s="78">
        <v>104.665858458043</v>
      </c>
      <c r="BN63" s="78">
        <v>106.218256661718</v>
      </c>
      <c r="BO63" s="78">
        <v>114.482690539567</v>
      </c>
      <c r="BP63" s="78">
        <v>118.46801388502401</v>
      </c>
    </row>
    <row r="64" spans="1:68" x14ac:dyDescent="0.25">
      <c r="A64" s="78" t="s">
        <v>797</v>
      </c>
      <c r="B64" s="78" t="s">
        <v>798</v>
      </c>
      <c r="C64" s="78" t="s">
        <v>691</v>
      </c>
      <c r="D64" s="78" t="s">
        <v>692</v>
      </c>
      <c r="E64" s="78">
        <v>8.2457021038668792</v>
      </c>
      <c r="F64" s="78">
        <v>8.5303131147655797</v>
      </c>
      <c r="G64" s="78">
        <v>9.1596642232681091</v>
      </c>
      <c r="H64" s="78">
        <v>9.7188647305779003</v>
      </c>
      <c r="I64" s="78">
        <v>10.019448175853499</v>
      </c>
      <c r="J64" s="78">
        <v>10.565508101362401</v>
      </c>
      <c r="K64" s="78">
        <v>11.311956990463401</v>
      </c>
      <c r="L64" s="78">
        <v>12.240425854834401</v>
      </c>
      <c r="M64" s="78">
        <v>13.2202972948844</v>
      </c>
      <c r="N64" s="78">
        <v>13.681410588340301</v>
      </c>
      <c r="O64" s="78">
        <v>14.572732791715</v>
      </c>
      <c r="P64" s="78">
        <v>15.428133202392599</v>
      </c>
      <c r="Q64" s="78">
        <v>16.4405829836622</v>
      </c>
      <c r="R64" s="78">
        <v>17.9701133827337</v>
      </c>
      <c r="S64" s="78">
        <v>20.715085260244599</v>
      </c>
      <c r="T64" s="78">
        <v>22.7048959914293</v>
      </c>
      <c r="U64" s="78">
        <v>24.750673154182699</v>
      </c>
      <c r="V64" s="78">
        <v>27.454000535666498</v>
      </c>
      <c r="W64" s="78">
        <v>30.258057316311</v>
      </c>
      <c r="X64" s="78">
        <v>33.166174448710002</v>
      </c>
      <c r="Y64" s="78">
        <v>37.247379698241197</v>
      </c>
      <c r="Z64" s="78">
        <v>41.630423176502099</v>
      </c>
      <c r="AA64" s="78">
        <v>45.843765735202197</v>
      </c>
      <c r="AB64" s="78">
        <v>49.010757968038597</v>
      </c>
      <c r="AC64" s="78">
        <v>52.093916614587997</v>
      </c>
      <c r="AD64" s="78">
        <v>54.531261494509501</v>
      </c>
      <c r="AE64" s="78">
        <v>56.5370216944916</v>
      </c>
      <c r="AF64" s="78">
        <v>58.809806267297603</v>
      </c>
      <c r="AG64" s="78">
        <v>61.476909204535303</v>
      </c>
      <c r="AH64" s="78">
        <v>64.411032050709807</v>
      </c>
      <c r="AI64" s="78">
        <v>66.112515846799397</v>
      </c>
      <c r="AJ64" s="78">
        <v>67.6960119632176</v>
      </c>
      <c r="AK64" s="78">
        <v>69.114950450852604</v>
      </c>
      <c r="AL64" s="78">
        <v>69.984317471654293</v>
      </c>
      <c r="AM64" s="78">
        <v>71.378415320060697</v>
      </c>
      <c r="AN64" s="78">
        <v>72.865661994464801</v>
      </c>
      <c r="AO64" s="78">
        <v>74.415003124720997</v>
      </c>
      <c r="AP64" s="78">
        <v>76.038862601553504</v>
      </c>
      <c r="AQ64" s="78">
        <v>77.442274796893102</v>
      </c>
      <c r="AR64" s="78">
        <v>79.376624408534994</v>
      </c>
      <c r="AS64" s="78">
        <v>81.681151682885499</v>
      </c>
      <c r="AT64" s="78">
        <v>83.5907508258191</v>
      </c>
      <c r="AU64" s="78">
        <v>85.617355593250593</v>
      </c>
      <c r="AV64" s="78">
        <v>87.393982680117901</v>
      </c>
      <c r="AW64" s="78">
        <v>88.402821176680703</v>
      </c>
      <c r="AX64" s="78">
        <v>90.009820551736496</v>
      </c>
      <c r="AY64" s="78">
        <v>91.741808767074403</v>
      </c>
      <c r="AZ64" s="78">
        <v>93.295241496295006</v>
      </c>
      <c r="BA64" s="78">
        <v>96.482456923488996</v>
      </c>
      <c r="BB64" s="78">
        <v>97.741273100615999</v>
      </c>
      <c r="BC64" s="78">
        <v>100</v>
      </c>
      <c r="BD64" s="78">
        <v>102.758682260513</v>
      </c>
      <c r="BE64" s="78">
        <v>105.222747968931</v>
      </c>
      <c r="BF64" s="78">
        <v>106.053030979377</v>
      </c>
      <c r="BG64" s="78">
        <v>106.65119185787</v>
      </c>
      <c r="BH64" s="78">
        <v>107.133291670387</v>
      </c>
      <c r="BI64" s="78">
        <v>107.401124899563</v>
      </c>
      <c r="BJ64" s="78">
        <v>108.633157753772</v>
      </c>
      <c r="BK64" s="78">
        <v>109.517007410053</v>
      </c>
      <c r="BL64" s="78">
        <v>110.347290420498</v>
      </c>
      <c r="BM64" s="78">
        <v>110.811534684403</v>
      </c>
      <c r="BN64" s="78">
        <v>112.864922774752</v>
      </c>
      <c r="BO64" s="78">
        <v>121.55164717436</v>
      </c>
      <c r="BP64" s="78">
        <v>125.56914561199901</v>
      </c>
    </row>
    <row r="65" spans="1:68" x14ac:dyDescent="0.25">
      <c r="A65" s="78" t="s">
        <v>799</v>
      </c>
      <c r="B65" s="78" t="s">
        <v>800</v>
      </c>
      <c r="C65" s="78" t="s">
        <v>691</v>
      </c>
      <c r="D65" s="78" t="s">
        <v>692</v>
      </c>
      <c r="E65" s="78">
        <v>0.45458067096612398</v>
      </c>
      <c r="F65" s="78">
        <v>0.43685202479390001</v>
      </c>
      <c r="G65" s="78">
        <v>0.47685512383891898</v>
      </c>
      <c r="H65" s="78">
        <v>0.51776738422586999</v>
      </c>
      <c r="I65" s="78">
        <v>0.52867732032905701</v>
      </c>
      <c r="J65" s="78">
        <v>0.51867654556780196</v>
      </c>
      <c r="K65" s="78">
        <v>0.52004028758069998</v>
      </c>
      <c r="L65" s="78">
        <v>0.52648018042127998</v>
      </c>
      <c r="M65" s="78">
        <v>0.52666958903342498</v>
      </c>
      <c r="N65" s="78">
        <v>0.53170785813814903</v>
      </c>
      <c r="O65" s="78">
        <v>0.55200137472242805</v>
      </c>
      <c r="P65" s="78">
        <v>0.57176318344812105</v>
      </c>
      <c r="Q65" s="78">
        <v>0.62116770526634602</v>
      </c>
      <c r="R65" s="78">
        <v>0.71483690627457697</v>
      </c>
      <c r="S65" s="78">
        <v>0.80877196121364203</v>
      </c>
      <c r="T65" s="78">
        <v>0.92605785292128595</v>
      </c>
      <c r="U65" s="78">
        <v>0.99797134073447102</v>
      </c>
      <c r="V65" s="78">
        <v>1.1262458615120701</v>
      </c>
      <c r="W65" s="78">
        <v>1.1654150070597999</v>
      </c>
      <c r="X65" s="78">
        <v>1.2723279088042001</v>
      </c>
      <c r="Y65" s="78">
        <v>1.4854827297842199</v>
      </c>
      <c r="Z65" s="78">
        <v>1.59711139295278</v>
      </c>
      <c r="AA65" s="78">
        <v>1.7192304120937101</v>
      </c>
      <c r="AB65" s="78">
        <v>1.8159994155547701</v>
      </c>
      <c r="AC65" s="78">
        <v>2.18195377217247</v>
      </c>
      <c r="AD65" s="78">
        <v>3.1711681648146399</v>
      </c>
      <c r="AE65" s="78">
        <v>3.4134128341113601</v>
      </c>
      <c r="AF65" s="78">
        <v>3.87595497882783</v>
      </c>
      <c r="AG65" s="78">
        <v>5.5760973727607004</v>
      </c>
      <c r="AH65" s="78">
        <v>7.8432223652078896</v>
      </c>
      <c r="AI65" s="78">
        <v>11.8011068228295</v>
      </c>
      <c r="AJ65" s="78">
        <v>17.356968480134899</v>
      </c>
      <c r="AK65" s="78">
        <v>18.0962063480228</v>
      </c>
      <c r="AL65" s="78">
        <v>19.046318492491501</v>
      </c>
      <c r="AM65" s="78">
        <v>20.619690672984799</v>
      </c>
      <c r="AN65" s="78">
        <v>23.2045667356814</v>
      </c>
      <c r="AO65" s="78">
        <v>24.457449480450499</v>
      </c>
      <c r="AP65" s="78">
        <v>26.486578297094599</v>
      </c>
      <c r="AQ65" s="78">
        <v>27.766321185562798</v>
      </c>
      <c r="AR65" s="78">
        <v>29.5629526232083</v>
      </c>
      <c r="AS65" s="78">
        <v>31.846435189463399</v>
      </c>
      <c r="AT65" s="78">
        <v>34.675375838371203</v>
      </c>
      <c r="AU65" s="78">
        <v>36.486598218932201</v>
      </c>
      <c r="AV65" s="78">
        <v>46.502064618422501</v>
      </c>
      <c r="AW65" s="78">
        <v>70.432426911535103</v>
      </c>
      <c r="AX65" s="78">
        <v>73.383688298550098</v>
      </c>
      <c r="AY65" s="78">
        <v>78.940892090249804</v>
      </c>
      <c r="AZ65" s="78">
        <v>83.790678332936096</v>
      </c>
      <c r="BA65" s="78">
        <v>92.709878554718401</v>
      </c>
      <c r="BB65" s="78">
        <v>94.046895290530003</v>
      </c>
      <c r="BC65" s="78">
        <v>100</v>
      </c>
      <c r="BD65" s="78">
        <v>105.79676809206499</v>
      </c>
      <c r="BE65" s="78">
        <v>109.70542659874199</v>
      </c>
      <c r="BF65" s="78">
        <v>115.00524196631299</v>
      </c>
      <c r="BG65" s="78">
        <v>118.45383775457</v>
      </c>
      <c r="BH65" s="78">
        <v>119.444995914537</v>
      </c>
      <c r="BI65" s="78">
        <v>121.373036513831</v>
      </c>
      <c r="BJ65" s="78">
        <v>125.35353436434499</v>
      </c>
      <c r="BK65" s="78">
        <v>129.821678689518</v>
      </c>
      <c r="BL65" s="78">
        <v>132.172234898705</v>
      </c>
      <c r="BM65" s="78">
        <v>137.16970912987901</v>
      </c>
      <c r="BN65" s="78">
        <v>148.47661302671199</v>
      </c>
      <c r="BO65" s="78">
        <v>161.55902413675901</v>
      </c>
      <c r="BP65" s="78">
        <v>169.29061349189999</v>
      </c>
    </row>
    <row r="66" spans="1:68" x14ac:dyDescent="0.25">
      <c r="A66" s="78" t="s">
        <v>801</v>
      </c>
      <c r="B66" s="78" t="s">
        <v>802</v>
      </c>
      <c r="C66" s="78" t="s">
        <v>691</v>
      </c>
      <c r="D66" s="78" t="s">
        <v>692</v>
      </c>
      <c r="E66" s="78"/>
      <c r="F66" s="78"/>
      <c r="G66" s="78"/>
      <c r="H66" s="78"/>
      <c r="I66" s="78"/>
      <c r="J66" s="78"/>
      <c r="K66" s="78"/>
      <c r="L66" s="78"/>
      <c r="M66" s="78"/>
      <c r="N66" s="78">
        <v>2.5690245335196802</v>
      </c>
      <c r="O66" s="78">
        <v>2.7385801527062901</v>
      </c>
      <c r="P66" s="78">
        <v>2.81051283964484</v>
      </c>
      <c r="Q66" s="78">
        <v>2.9132738209856299</v>
      </c>
      <c r="R66" s="78">
        <v>3.0931055383319999</v>
      </c>
      <c r="S66" s="78">
        <v>3.23846950986223</v>
      </c>
      <c r="T66" s="78">
        <v>3.5050058052234601</v>
      </c>
      <c r="U66" s="78">
        <v>3.8355536285299001</v>
      </c>
      <c r="V66" s="78">
        <v>4.2954090200256303</v>
      </c>
      <c r="W66" s="78">
        <v>5.0481332083661696</v>
      </c>
      <c r="X66" s="78">
        <v>5.6210256793260802</v>
      </c>
      <c r="Y66" s="78">
        <v>6.15602503844653</v>
      </c>
      <c r="Z66" s="78">
        <v>7.0581808204675296</v>
      </c>
      <c r="AA66" s="78">
        <v>7.5199629803548502</v>
      </c>
      <c r="AB66" s="78">
        <v>7.9686914988925404</v>
      </c>
      <c r="AC66" s="78">
        <v>8.6154622127625409</v>
      </c>
      <c r="AD66" s="78">
        <v>9.5185596921101503</v>
      </c>
      <c r="AE66" s="78">
        <v>10.6961586953676</v>
      </c>
      <c r="AF66" s="78">
        <v>11.492087771544799</v>
      </c>
      <c r="AG66" s="78">
        <v>12.1714477074316</v>
      </c>
      <c r="AH66" s="78">
        <v>13.3039231725121</v>
      </c>
      <c r="AI66" s="78">
        <v>15.51936355384</v>
      </c>
      <c r="AJ66" s="78">
        <v>19.536766053213402</v>
      </c>
      <c r="AK66" s="78">
        <v>25.723993810748699</v>
      </c>
      <c r="AL66" s="78">
        <v>31.007786031486699</v>
      </c>
      <c r="AM66" s="78">
        <v>40.0148210875034</v>
      </c>
      <c r="AN66" s="78">
        <v>51.931085346603098</v>
      </c>
      <c r="AO66" s="78">
        <v>61.631332173507303</v>
      </c>
      <c r="AP66" s="78">
        <v>65.1649786270048</v>
      </c>
      <c r="AQ66" s="78">
        <v>68.390750400364794</v>
      </c>
      <c r="AR66" s="78">
        <v>70.200035316783399</v>
      </c>
      <c r="AS66" s="78">
        <v>70.4381279952933</v>
      </c>
      <c r="AT66" s="78">
        <v>73.414835077308794</v>
      </c>
      <c r="AU66" s="78">
        <v>74.456079095308297</v>
      </c>
      <c r="AV66" s="78">
        <v>77.634574831113198</v>
      </c>
      <c r="AW66" s="78">
        <v>80.710301651672594</v>
      </c>
      <c r="AX66" s="78">
        <v>81.826078445765802</v>
      </c>
      <c r="AY66" s="78">
        <v>83.717487582275098</v>
      </c>
      <c r="AZ66" s="78">
        <v>86.797450390271393</v>
      </c>
      <c r="BA66" s="78">
        <v>91.014583180405694</v>
      </c>
      <c r="BB66" s="78">
        <v>96.236144755193394</v>
      </c>
      <c r="BC66" s="78">
        <v>100</v>
      </c>
      <c r="BD66" s="78">
        <v>104.524211505053</v>
      </c>
      <c r="BE66" s="78">
        <v>113.81793046074</v>
      </c>
      <c r="BF66" s="78">
        <v>117.52183806797299</v>
      </c>
      <c r="BG66" s="78">
        <v>120.94986420025</v>
      </c>
      <c r="BH66" s="78">
        <v>126.736646357875</v>
      </c>
      <c r="BI66" s="78">
        <v>134.84487019501299</v>
      </c>
      <c r="BJ66" s="78">
        <v>142.384203185789</v>
      </c>
      <c r="BK66" s="78">
        <v>148.46399471482101</v>
      </c>
      <c r="BL66" s="78">
        <v>151.36166776774601</v>
      </c>
      <c r="BM66" s="78">
        <v>155.01725023856699</v>
      </c>
      <c r="BN66" s="78">
        <v>166.21889451662599</v>
      </c>
      <c r="BO66" s="78">
        <v>181.61993197778301</v>
      </c>
      <c r="BP66" s="78">
        <v>198.55085761824401</v>
      </c>
    </row>
    <row r="67" spans="1:68" x14ac:dyDescent="0.25">
      <c r="A67" s="78" t="s">
        <v>803</v>
      </c>
      <c r="B67" s="78" t="s">
        <v>804</v>
      </c>
      <c r="C67" s="78" t="s">
        <v>691</v>
      </c>
      <c r="D67" s="78" t="s">
        <v>692</v>
      </c>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row>
    <row r="68" spans="1:68" x14ac:dyDescent="0.25">
      <c r="A68" s="78" t="s">
        <v>805</v>
      </c>
      <c r="B68" s="78" t="s">
        <v>806</v>
      </c>
      <c r="C68" s="78" t="s">
        <v>691</v>
      </c>
      <c r="D68" s="78" t="s">
        <v>692</v>
      </c>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c r="AZ68" s="78"/>
      <c r="BA68" s="78"/>
      <c r="BB68" s="78"/>
      <c r="BC68" s="78"/>
      <c r="BD68" s="78"/>
      <c r="BE68" s="78"/>
      <c r="BF68" s="78"/>
      <c r="BG68" s="78"/>
      <c r="BH68" s="78"/>
      <c r="BI68" s="78"/>
      <c r="BJ68" s="78"/>
      <c r="BK68" s="78"/>
      <c r="BL68" s="78"/>
      <c r="BM68" s="78"/>
      <c r="BN68" s="78"/>
      <c r="BO68" s="78"/>
      <c r="BP68" s="78"/>
    </row>
    <row r="69" spans="1:68" x14ac:dyDescent="0.25">
      <c r="A69" s="78" t="s">
        <v>807</v>
      </c>
      <c r="B69" s="78" t="s">
        <v>808</v>
      </c>
      <c r="C69" s="78" t="s">
        <v>691</v>
      </c>
      <c r="D69" s="78" t="s">
        <v>692</v>
      </c>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c r="BD69" s="78"/>
      <c r="BE69" s="78"/>
      <c r="BF69" s="78"/>
      <c r="BG69" s="78"/>
      <c r="BH69" s="78"/>
      <c r="BI69" s="78"/>
      <c r="BJ69" s="78"/>
      <c r="BK69" s="78"/>
      <c r="BL69" s="78"/>
      <c r="BM69" s="78"/>
      <c r="BN69" s="78"/>
      <c r="BO69" s="78"/>
      <c r="BP69" s="78"/>
    </row>
    <row r="70" spans="1:68" x14ac:dyDescent="0.25">
      <c r="A70" s="78" t="s">
        <v>809</v>
      </c>
      <c r="B70" s="78" t="s">
        <v>810</v>
      </c>
      <c r="C70" s="78" t="s">
        <v>691</v>
      </c>
      <c r="D70" s="78" t="s">
        <v>692</v>
      </c>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78"/>
      <c r="AZ70" s="78"/>
      <c r="BA70" s="78"/>
      <c r="BB70" s="78"/>
      <c r="BC70" s="78"/>
      <c r="BD70" s="78"/>
      <c r="BE70" s="78"/>
      <c r="BF70" s="78"/>
      <c r="BG70" s="78"/>
      <c r="BH70" s="78"/>
      <c r="BI70" s="78"/>
      <c r="BJ70" s="78"/>
      <c r="BK70" s="78"/>
      <c r="BL70" s="78"/>
      <c r="BM70" s="78"/>
      <c r="BN70" s="78"/>
      <c r="BO70" s="78"/>
      <c r="BP70" s="78"/>
    </row>
    <row r="71" spans="1:68" x14ac:dyDescent="0.25">
      <c r="A71" s="78" t="s">
        <v>811</v>
      </c>
      <c r="B71" s="78" t="s">
        <v>812</v>
      </c>
      <c r="C71" s="78" t="s">
        <v>691</v>
      </c>
      <c r="D71" s="78" t="s">
        <v>692</v>
      </c>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c r="AY71" s="78"/>
      <c r="AZ71" s="78"/>
      <c r="BA71" s="78"/>
      <c r="BB71" s="78"/>
      <c r="BC71" s="78"/>
      <c r="BD71" s="78"/>
      <c r="BE71" s="78"/>
      <c r="BF71" s="78"/>
      <c r="BG71" s="78"/>
      <c r="BH71" s="78"/>
      <c r="BI71" s="78"/>
      <c r="BJ71" s="78"/>
      <c r="BK71" s="78"/>
      <c r="BL71" s="78"/>
      <c r="BM71" s="78"/>
      <c r="BN71" s="78"/>
      <c r="BO71" s="78"/>
      <c r="BP71" s="78"/>
    </row>
    <row r="72" spans="1:68" x14ac:dyDescent="0.25">
      <c r="A72" s="78" t="s">
        <v>813</v>
      </c>
      <c r="B72" s="78" t="s">
        <v>814</v>
      </c>
      <c r="C72" s="78" t="s">
        <v>691</v>
      </c>
      <c r="D72" s="78" t="s">
        <v>692</v>
      </c>
      <c r="E72" s="78">
        <v>1.22426192949926E-2</v>
      </c>
      <c r="F72" s="78">
        <v>1.27305636401281E-2</v>
      </c>
      <c r="G72" s="78">
        <v>1.3096043522139601E-2</v>
      </c>
      <c r="H72" s="78">
        <v>1.3873884213537E-2</v>
      </c>
      <c r="I72" s="78">
        <v>1.44335850800268E-2</v>
      </c>
      <c r="J72" s="78">
        <v>1.48765620051577E-2</v>
      </c>
      <c r="K72" s="78">
        <v>1.5687889073154E-2</v>
      </c>
      <c r="L72" s="78">
        <v>1.62868743519325E-2</v>
      </c>
      <c r="M72" s="78">
        <v>1.6990085580727E-2</v>
      </c>
      <c r="N72" s="78">
        <v>1.8064994173249301E-2</v>
      </c>
      <c r="O72" s="78">
        <v>1.8999184903038299E-2</v>
      </c>
      <c r="P72" s="78">
        <v>2.0808224740398298E-2</v>
      </c>
      <c r="Q72" s="78">
        <v>2.2374068185082498E-2</v>
      </c>
      <c r="R72" s="78">
        <v>2.5087627943413501E-2</v>
      </c>
      <c r="S72" s="78">
        <v>3.0783543468864201E-2</v>
      </c>
      <c r="T72" s="78">
        <v>3.5182411566929098E-2</v>
      </c>
      <c r="U72" s="78">
        <v>3.8762091809951799E-2</v>
      </c>
      <c r="V72" s="78">
        <v>4.3779617399420101E-2</v>
      </c>
      <c r="W72" s="78">
        <v>4.95139323578771E-2</v>
      </c>
      <c r="X72" s="78">
        <v>5.4523351401271902E-2</v>
      </c>
      <c r="Y72" s="78">
        <v>6.1016695101293802E-2</v>
      </c>
      <c r="Z72" s="78">
        <v>6.95883013137443E-2</v>
      </c>
      <c r="AA72" s="78">
        <v>8.0920399922684794E-2</v>
      </c>
      <c r="AB72" s="78">
        <v>0.120100618865638</v>
      </c>
      <c r="AC72" s="78">
        <v>0.15759552946885699</v>
      </c>
      <c r="AD72" s="78">
        <v>0.20171220853661601</v>
      </c>
      <c r="AE72" s="78">
        <v>0.24816698626267</v>
      </c>
      <c r="AF72" s="78">
        <v>0.32138616706213702</v>
      </c>
      <c r="AG72" s="78">
        <v>0.508485258983433</v>
      </c>
      <c r="AH72" s="78">
        <v>0.89314515434311303</v>
      </c>
      <c r="AI72" s="78">
        <v>1.32649126100048</v>
      </c>
      <c r="AJ72" s="78">
        <v>1.97273234368442</v>
      </c>
      <c r="AK72" s="78">
        <v>3.0499985007810202</v>
      </c>
      <c r="AL72" s="78">
        <v>4.4211269664624204</v>
      </c>
      <c r="AM72" s="78">
        <v>5.62857572623781</v>
      </c>
      <c r="AN72" s="78">
        <v>6.9194408489196304</v>
      </c>
      <c r="AO72" s="78">
        <v>8.6085773296643602</v>
      </c>
      <c r="AP72" s="78">
        <v>11.2477577415128</v>
      </c>
      <c r="AQ72" s="78">
        <v>15.308022052100201</v>
      </c>
      <c r="AR72" s="78">
        <v>23.305239726405201</v>
      </c>
      <c r="AS72" s="78">
        <v>45.700730449954797</v>
      </c>
      <c r="AT72" s="78">
        <v>62.919278331201902</v>
      </c>
      <c r="AU72" s="78">
        <v>70.773868107735595</v>
      </c>
      <c r="AV72" s="78">
        <v>76.385786345877094</v>
      </c>
      <c r="AW72" s="78">
        <v>78.481225672170396</v>
      </c>
      <c r="AX72" s="78">
        <v>80.182916047028201</v>
      </c>
      <c r="AY72" s="78">
        <v>82.827948757382998</v>
      </c>
      <c r="AZ72" s="78">
        <v>84.713265920602396</v>
      </c>
      <c r="BA72" s="78">
        <v>91.829261531734105</v>
      </c>
      <c r="BB72" s="78">
        <v>96.567622309375295</v>
      </c>
      <c r="BC72" s="78">
        <v>100</v>
      </c>
      <c r="BD72" s="78">
        <v>104.47453265795799</v>
      </c>
      <c r="BE72" s="78">
        <v>109.80453267603301</v>
      </c>
      <c r="BF72" s="78">
        <v>112.79316584857099</v>
      </c>
      <c r="BG72" s="78">
        <v>116.841560903266</v>
      </c>
      <c r="BH72" s="78">
        <v>121.476252276892</v>
      </c>
      <c r="BI72" s="78">
        <v>123.575683382786</v>
      </c>
      <c r="BJ72" s="78">
        <v>124.09140868848</v>
      </c>
      <c r="BK72" s="78">
        <v>123.813315813595</v>
      </c>
      <c r="BL72" s="78">
        <v>124.142674729473</v>
      </c>
      <c r="BM72" s="78">
        <v>123.721989477427</v>
      </c>
      <c r="BN72" s="78">
        <v>123.886850743311</v>
      </c>
      <c r="BO72" s="78">
        <v>128.18097925347701</v>
      </c>
      <c r="BP72" s="78">
        <v>131.021069370666</v>
      </c>
    </row>
    <row r="73" spans="1:68" x14ac:dyDescent="0.25">
      <c r="A73" s="78" t="s">
        <v>815</v>
      </c>
      <c r="B73" s="78" t="s">
        <v>816</v>
      </c>
      <c r="C73" s="78" t="s">
        <v>691</v>
      </c>
      <c r="D73" s="78" t="s">
        <v>692</v>
      </c>
      <c r="E73" s="78">
        <v>1.20872070863002</v>
      </c>
      <c r="F73" s="78">
        <v>1.2171044771133801</v>
      </c>
      <c r="G73" s="78">
        <v>1.1805538975108101</v>
      </c>
      <c r="H73" s="78">
        <v>1.1893684525188</v>
      </c>
      <c r="I73" s="78">
        <v>1.2329110287645699</v>
      </c>
      <c r="J73" s="78">
        <v>1.4158627513308</v>
      </c>
      <c r="K73" s="78">
        <v>1.5438063486560301</v>
      </c>
      <c r="L73" s="78">
        <v>1.55464228658054</v>
      </c>
      <c r="M73" s="78">
        <v>1.52859022194483</v>
      </c>
      <c r="N73" s="78">
        <v>1.58071240136806</v>
      </c>
      <c r="O73" s="78">
        <v>1.64019300612286</v>
      </c>
      <c r="P73" s="78">
        <v>1.6917019834377001</v>
      </c>
      <c r="Q73" s="78">
        <v>1.7272677058627599</v>
      </c>
      <c r="R73" s="78">
        <v>1.81556880983419</v>
      </c>
      <c r="S73" s="78">
        <v>1.99756719633179</v>
      </c>
      <c r="T73" s="78">
        <v>2.1907258612556602</v>
      </c>
      <c r="U73" s="78">
        <v>2.4167521593217098</v>
      </c>
      <c r="V73" s="78">
        <v>2.7244569785496302</v>
      </c>
      <c r="W73" s="78">
        <v>3.0262750575144901</v>
      </c>
      <c r="X73" s="78">
        <v>3.3260082493048801</v>
      </c>
      <c r="Y73" s="78">
        <v>4.0184573879985699</v>
      </c>
      <c r="Z73" s="78">
        <v>4.4330530581603904</v>
      </c>
      <c r="AA73" s="78">
        <v>5.0901649052770903</v>
      </c>
      <c r="AB73" s="78">
        <v>5.9086570024997798</v>
      </c>
      <c r="AC73" s="78">
        <v>6.9152774575808502</v>
      </c>
      <c r="AD73" s="78">
        <v>7.7524932302302103</v>
      </c>
      <c r="AE73" s="78">
        <v>9.6025706831028597</v>
      </c>
      <c r="AF73" s="78">
        <v>11.4936619011958</v>
      </c>
      <c r="AG73" s="78">
        <v>13.523843279601101</v>
      </c>
      <c r="AH73" s="78">
        <v>16.3992648629815</v>
      </c>
      <c r="AI73" s="78">
        <v>19.1471871327422</v>
      </c>
      <c r="AJ73" s="78">
        <v>22.928477965336398</v>
      </c>
      <c r="AK73" s="78">
        <v>26.055331761589098</v>
      </c>
      <c r="AL73" s="78">
        <v>29.205367251227301</v>
      </c>
      <c r="AM73" s="78">
        <v>31.5868404447804</v>
      </c>
      <c r="AN73" s="78">
        <v>36.559313675947102</v>
      </c>
      <c r="AO73" s="78">
        <v>39.186869460822003</v>
      </c>
      <c r="AP73" s="78">
        <v>40.9994995628414</v>
      </c>
      <c r="AQ73" s="78">
        <v>42.587236123387498</v>
      </c>
      <c r="AR73" s="78">
        <v>43.898709687758</v>
      </c>
      <c r="AS73" s="78">
        <v>45.076865608469099</v>
      </c>
      <c r="AT73" s="78">
        <v>46.100001013297103</v>
      </c>
      <c r="AU73" s="78">
        <v>47.361868012584999</v>
      </c>
      <c r="AV73" s="78">
        <v>49.496835104022999</v>
      </c>
      <c r="AW73" s="78">
        <v>55.075434970010903</v>
      </c>
      <c r="AX73" s="78">
        <v>57.757276530949902</v>
      </c>
      <c r="AY73" s="78">
        <v>62.172546809422798</v>
      </c>
      <c r="AZ73" s="78">
        <v>67.966387209158697</v>
      </c>
      <c r="BA73" s="78">
        <v>80.415675955390796</v>
      </c>
      <c r="BB73" s="78">
        <v>89.875370328358201</v>
      </c>
      <c r="BC73" s="78">
        <v>100</v>
      </c>
      <c r="BD73" s="78">
        <v>110.064925987482</v>
      </c>
      <c r="BE73" s="78">
        <v>117.89244572481699</v>
      </c>
      <c r="BF73" s="78">
        <v>129.05653001287899</v>
      </c>
      <c r="BG73" s="78">
        <v>142.052800661666</v>
      </c>
      <c r="BH73" s="78">
        <v>156.78437263697899</v>
      </c>
      <c r="BI73" s="78">
        <v>178.441948479442</v>
      </c>
      <c r="BJ73" s="78">
        <v>231.09411542790099</v>
      </c>
      <c r="BK73" s="78">
        <v>264.37505538255903</v>
      </c>
      <c r="BL73" s="78">
        <v>288.572774376263</v>
      </c>
      <c r="BM73" s="78">
        <v>303.13107718170801</v>
      </c>
      <c r="BN73" s="78">
        <v>318.93648130826602</v>
      </c>
      <c r="BO73" s="78">
        <v>363.25481348448699</v>
      </c>
      <c r="BP73" s="78">
        <v>486.34289447466102</v>
      </c>
    </row>
    <row r="74" spans="1:68" x14ac:dyDescent="0.25">
      <c r="A74" s="78" t="s">
        <v>817</v>
      </c>
      <c r="B74" s="78" t="s">
        <v>818</v>
      </c>
      <c r="C74" s="78" t="s">
        <v>691</v>
      </c>
      <c r="D74" s="78" t="s">
        <v>692</v>
      </c>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c r="BC74" s="78"/>
      <c r="BD74" s="78"/>
      <c r="BE74" s="78"/>
      <c r="BF74" s="78"/>
      <c r="BG74" s="78"/>
      <c r="BH74" s="78"/>
      <c r="BI74" s="78"/>
      <c r="BJ74" s="78"/>
      <c r="BK74" s="78"/>
      <c r="BL74" s="78"/>
      <c r="BM74" s="78"/>
      <c r="BN74" s="78"/>
      <c r="BO74" s="78"/>
      <c r="BP74" s="78"/>
    </row>
    <row r="75" spans="1:68" x14ac:dyDescent="0.25">
      <c r="A75" s="78" t="s">
        <v>819</v>
      </c>
      <c r="B75" s="78" t="s">
        <v>820</v>
      </c>
      <c r="C75" s="78" t="s">
        <v>691</v>
      </c>
      <c r="D75" s="78" t="s">
        <v>692</v>
      </c>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row>
    <row r="76" spans="1:68" x14ac:dyDescent="0.25">
      <c r="A76" s="78" t="s">
        <v>821</v>
      </c>
      <c r="B76" s="78" t="s">
        <v>822</v>
      </c>
      <c r="C76" s="78" t="s">
        <v>691</v>
      </c>
      <c r="D76" s="78" t="s">
        <v>692</v>
      </c>
      <c r="E76" s="78">
        <v>2.8588172636631999</v>
      </c>
      <c r="F76" s="78">
        <v>2.8819523245284402</v>
      </c>
      <c r="G76" s="78">
        <v>3.0464102766325198</v>
      </c>
      <c r="H76" s="78">
        <v>3.3127791814383598</v>
      </c>
      <c r="I76" s="78">
        <v>3.5439862144588501</v>
      </c>
      <c r="J76" s="78">
        <v>4.01229343780496</v>
      </c>
      <c r="K76" s="78">
        <v>4.2626752767702998</v>
      </c>
      <c r="L76" s="78">
        <v>4.5351297549332203</v>
      </c>
      <c r="M76" s="78">
        <v>4.7598166868901499</v>
      </c>
      <c r="N76" s="78">
        <v>4.8626452503641699</v>
      </c>
      <c r="O76" s="78">
        <v>5.14133049286065</v>
      </c>
      <c r="P76" s="78">
        <v>5.5648160835114204</v>
      </c>
      <c r="Q76" s="78">
        <v>6.0251536715358203</v>
      </c>
      <c r="R76" s="78">
        <v>6.7130278494916897</v>
      </c>
      <c r="S76" s="78">
        <v>7.7656556826398901</v>
      </c>
      <c r="T76" s="78">
        <v>9.0821894951287891</v>
      </c>
      <c r="U76" s="78">
        <v>10.682914499808501</v>
      </c>
      <c r="V76" s="78">
        <v>13.3042948213001</v>
      </c>
      <c r="W76" s="78">
        <v>15.935042241262201</v>
      </c>
      <c r="X76" s="78">
        <v>18.430507398753502</v>
      </c>
      <c r="Y76" s="78">
        <v>21.298644915892801</v>
      </c>
      <c r="Z76" s="78">
        <v>24.397458397749201</v>
      </c>
      <c r="AA76" s="78">
        <v>27.914352527111699</v>
      </c>
      <c r="AB76" s="78">
        <v>31.312666107314001</v>
      </c>
      <c r="AC76" s="78">
        <v>34.844821442654798</v>
      </c>
      <c r="AD76" s="78">
        <v>37.916202571818701</v>
      </c>
      <c r="AE76" s="78">
        <v>41.250909581559199</v>
      </c>
      <c r="AF76" s="78">
        <v>43.415765003463498</v>
      </c>
      <c r="AG76" s="78">
        <v>45.515903067919503</v>
      </c>
      <c r="AH76" s="78">
        <v>48.607086421888098</v>
      </c>
      <c r="AI76" s="78">
        <v>51.874367046209301</v>
      </c>
      <c r="AJ76" s="78">
        <v>54.952702709123002</v>
      </c>
      <c r="AK76" s="78">
        <v>58.208392760595501</v>
      </c>
      <c r="AL76" s="78">
        <v>60.867975982675901</v>
      </c>
      <c r="AM76" s="78">
        <v>63.739978924503497</v>
      </c>
      <c r="AN76" s="78">
        <v>66.7190602114961</v>
      </c>
      <c r="AO76" s="78">
        <v>69.093488545781199</v>
      </c>
      <c r="AP76" s="78">
        <v>70.455372303681003</v>
      </c>
      <c r="AQ76" s="78">
        <v>71.747756333813797</v>
      </c>
      <c r="AR76" s="78">
        <v>73.405379287670996</v>
      </c>
      <c r="AS76" s="78">
        <v>75.925764461848004</v>
      </c>
      <c r="AT76" s="78">
        <v>78.651373470529904</v>
      </c>
      <c r="AU76" s="78">
        <v>81.062554696044401</v>
      </c>
      <c r="AV76" s="78">
        <v>83.5259552625553</v>
      </c>
      <c r="AW76" s="78">
        <v>86.064516864673095</v>
      </c>
      <c r="AX76" s="78">
        <v>88.963870441758701</v>
      </c>
      <c r="AY76" s="78">
        <v>92.091462713569996</v>
      </c>
      <c r="AZ76" s="78">
        <v>94.657865255552295</v>
      </c>
      <c r="BA76" s="78">
        <v>98.515498281558394</v>
      </c>
      <c r="BB76" s="78">
        <v>98.231957788194094</v>
      </c>
      <c r="BC76" s="78">
        <v>100</v>
      </c>
      <c r="BD76" s="78">
        <v>103.19610188833801</v>
      </c>
      <c r="BE76" s="78">
        <v>105.720410449569</v>
      </c>
      <c r="BF76" s="78">
        <v>107.209568161367</v>
      </c>
      <c r="BG76" s="78">
        <v>107.047558596627</v>
      </c>
      <c r="BH76" s="78">
        <v>106.511929320121</v>
      </c>
      <c r="BI76" s="78">
        <v>106.296138281102</v>
      </c>
      <c r="BJ76" s="78">
        <v>108.375371885592</v>
      </c>
      <c r="BK76" s="78">
        <v>110.190639172868</v>
      </c>
      <c r="BL76" s="78">
        <v>110.961443623997</v>
      </c>
      <c r="BM76" s="78">
        <v>110.603312216661</v>
      </c>
      <c r="BN76" s="78">
        <v>114.024422110457</v>
      </c>
      <c r="BO76" s="78">
        <v>123.591728295232</v>
      </c>
      <c r="BP76" s="78">
        <v>127.957434718697</v>
      </c>
    </row>
    <row r="77" spans="1:68" x14ac:dyDescent="0.25">
      <c r="A77" s="78" t="s">
        <v>823</v>
      </c>
      <c r="B77" s="78" t="s">
        <v>824</v>
      </c>
      <c r="C77" s="78" t="s">
        <v>691</v>
      </c>
      <c r="D77" s="78" t="s">
        <v>692</v>
      </c>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v>11.6377785728356</v>
      </c>
      <c r="AL77" s="78">
        <v>22.089894332630401</v>
      </c>
      <c r="AM77" s="78">
        <v>32.616765134857097</v>
      </c>
      <c r="AN77" s="78">
        <v>42.002765645952202</v>
      </c>
      <c r="AO77" s="78">
        <v>51.684547343637199</v>
      </c>
      <c r="AP77" s="78">
        <v>57.153743570204</v>
      </c>
      <c r="AQ77" s="78">
        <v>61.845113354924699</v>
      </c>
      <c r="AR77" s="78">
        <v>63.883596875595302</v>
      </c>
      <c r="AS77" s="78">
        <v>66.450752524290394</v>
      </c>
      <c r="AT77" s="78">
        <v>70.270527719565607</v>
      </c>
      <c r="AU77" s="78">
        <v>72.780529624690402</v>
      </c>
      <c r="AV77" s="78">
        <v>73.752143265383793</v>
      </c>
      <c r="AW77" s="78">
        <v>76.000190512478596</v>
      </c>
      <c r="AX77" s="78">
        <v>79.100781101162099</v>
      </c>
      <c r="AY77" s="78">
        <v>82.610973518765505</v>
      </c>
      <c r="AZ77" s="78">
        <v>88.064393217755807</v>
      </c>
      <c r="BA77" s="78">
        <v>97.189940941131596</v>
      </c>
      <c r="BB77" s="78">
        <v>97.113735949704704</v>
      </c>
      <c r="BC77" s="78">
        <v>100</v>
      </c>
      <c r="BD77" s="78">
        <v>104.981901314536</v>
      </c>
      <c r="BE77" s="78">
        <v>109.11125928748299</v>
      </c>
      <c r="BF77" s="78">
        <v>112.145170508668</v>
      </c>
      <c r="BG77" s="78">
        <v>112.02610020956401</v>
      </c>
      <c r="BH77" s="78">
        <v>111.474566584111</v>
      </c>
      <c r="BI77" s="78">
        <v>111.640312440465</v>
      </c>
      <c r="BJ77" s="78">
        <v>115.455324823776</v>
      </c>
      <c r="BK77" s="78">
        <v>119.42274718994101</v>
      </c>
      <c r="BL77" s="78">
        <v>122.14231282148999</v>
      </c>
      <c r="BM77" s="78">
        <v>121.599352257573</v>
      </c>
      <c r="BN77" s="78">
        <v>127.257572871023</v>
      </c>
      <c r="BO77" s="78">
        <v>151.94333206325001</v>
      </c>
      <c r="BP77" s="78">
        <v>165.86016384073201</v>
      </c>
    </row>
    <row r="78" spans="1:68" x14ac:dyDescent="0.25">
      <c r="A78" s="78" t="s">
        <v>825</v>
      </c>
      <c r="B78" s="78" t="s">
        <v>826</v>
      </c>
      <c r="C78" s="78" t="s">
        <v>691</v>
      </c>
      <c r="D78" s="78" t="s">
        <v>692</v>
      </c>
      <c r="E78" s="78"/>
      <c r="F78" s="78"/>
      <c r="G78" s="78"/>
      <c r="H78" s="78"/>
      <c r="I78" s="78"/>
      <c r="J78" s="78">
        <v>4.6979020340163498</v>
      </c>
      <c r="K78" s="78">
        <v>4.6339228234180903</v>
      </c>
      <c r="L78" s="78">
        <v>4.6713963610465399</v>
      </c>
      <c r="M78" s="78">
        <v>4.67992692246027</v>
      </c>
      <c r="N78" s="78">
        <v>4.7466480991958004</v>
      </c>
      <c r="O78" s="78">
        <v>5.2271015043607401</v>
      </c>
      <c r="P78" s="78">
        <v>5.2551304918559696</v>
      </c>
      <c r="Q78" s="78">
        <v>4.9355391018604999</v>
      </c>
      <c r="R78" s="78">
        <v>5.3754723403248299</v>
      </c>
      <c r="S78" s="78">
        <v>5.8373413081399796</v>
      </c>
      <c r="T78" s="78">
        <v>6.2196932570701096</v>
      </c>
      <c r="U78" s="78">
        <v>7.9946593563035204</v>
      </c>
      <c r="V78" s="78">
        <v>9.3263409250959697</v>
      </c>
      <c r="W78" s="78">
        <v>10.660764460047</v>
      </c>
      <c r="X78" s="78">
        <v>12.3699233712523</v>
      </c>
      <c r="Y78" s="78">
        <v>12.924409862942399</v>
      </c>
      <c r="Z78" s="78">
        <v>13.7174474112207</v>
      </c>
      <c r="AA78" s="78">
        <v>14.525413441979801</v>
      </c>
      <c r="AB78" s="78">
        <v>14.4273119857632</v>
      </c>
      <c r="AC78" s="78">
        <v>15.641698335149799</v>
      </c>
      <c r="AD78" s="78">
        <v>18.623738873989399</v>
      </c>
      <c r="AE78" s="78">
        <v>16.7969800804951</v>
      </c>
      <c r="AF78" s="78">
        <v>16.389036447333101</v>
      </c>
      <c r="AG78" s="78">
        <v>17.549497462091001</v>
      </c>
      <c r="AH78" s="78">
        <v>18.921394534670601</v>
      </c>
      <c r="AI78" s="78">
        <v>19.896315838746499</v>
      </c>
      <c r="AJ78" s="78">
        <v>27.0037968083683</v>
      </c>
      <c r="AK78" s="78">
        <v>29.846606398472499</v>
      </c>
      <c r="AL78" s="78">
        <v>30.904091350487501</v>
      </c>
      <c r="AM78" s="78">
        <v>33.250909727142997</v>
      </c>
      <c r="AN78" s="78">
        <v>36.583373542219498</v>
      </c>
      <c r="AO78" s="78">
        <v>33.479549151893202</v>
      </c>
      <c r="AP78" s="78">
        <v>34.2814545208008</v>
      </c>
      <c r="AQ78" s="78">
        <v>34.588205556568397</v>
      </c>
      <c r="AR78" s="78">
        <v>37.335010136815903</v>
      </c>
      <c r="AS78" s="78">
        <v>37.582338939062701</v>
      </c>
      <c r="AT78" s="78">
        <v>34.486364285055103</v>
      </c>
      <c r="AU78" s="78">
        <v>34.719177972078398</v>
      </c>
      <c r="AV78" s="78">
        <v>39.466694062030399</v>
      </c>
      <c r="AW78" s="78">
        <v>40.779897189267402</v>
      </c>
      <c r="AX78" s="78">
        <v>44.845641208752397</v>
      </c>
      <c r="AY78" s="78">
        <v>50.361420225955399</v>
      </c>
      <c r="AZ78" s="78">
        <v>59.043930938650398</v>
      </c>
      <c r="BA78" s="78">
        <v>85.233861914360403</v>
      </c>
      <c r="BB78" s="78">
        <v>92.464799365239699</v>
      </c>
      <c r="BC78" s="78">
        <v>100</v>
      </c>
      <c r="BD78" s="78">
        <v>133.249959882334</v>
      </c>
      <c r="BE78" s="78">
        <v>164.69750696942299</v>
      </c>
      <c r="BF78" s="78">
        <v>176.99056500687001</v>
      </c>
      <c r="BG78" s="78">
        <v>189.18524947727201</v>
      </c>
      <c r="BH78" s="78">
        <v>207.288195981494</v>
      </c>
      <c r="BI78" s="78">
        <v>221.02753407620099</v>
      </c>
      <c r="BJ78" s="78">
        <v>244.64900088741399</v>
      </c>
      <c r="BK78" s="78">
        <v>278.49138441873998</v>
      </c>
      <c r="BL78" s="78">
        <v>322.51984792587098</v>
      </c>
      <c r="BM78" s="78">
        <v>388.17310684880198</v>
      </c>
      <c r="BN78" s="78">
        <v>492.35691386423599</v>
      </c>
      <c r="BO78" s="78">
        <v>659.21607971713604</v>
      </c>
      <c r="BP78" s="78">
        <v>858.42345176594597</v>
      </c>
    </row>
    <row r="79" spans="1:68" x14ac:dyDescent="0.25">
      <c r="A79" s="78" t="s">
        <v>827</v>
      </c>
      <c r="B79" s="78" t="s">
        <v>828</v>
      </c>
      <c r="C79" s="78" t="s">
        <v>691</v>
      </c>
      <c r="D79" s="78" t="s">
        <v>692</v>
      </c>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c r="BK79" s="78"/>
      <c r="BL79" s="78"/>
      <c r="BM79" s="78"/>
      <c r="BN79" s="78"/>
      <c r="BO79" s="78"/>
      <c r="BP79" s="78"/>
    </row>
    <row r="80" spans="1:68" x14ac:dyDescent="0.25">
      <c r="A80" s="78" t="s">
        <v>829</v>
      </c>
      <c r="B80" s="78" t="s">
        <v>830</v>
      </c>
      <c r="C80" s="78" t="s">
        <v>691</v>
      </c>
      <c r="D80" s="78" t="s">
        <v>692</v>
      </c>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78"/>
      <c r="AY80" s="78"/>
      <c r="AZ80" s="78"/>
      <c r="BA80" s="78"/>
      <c r="BB80" s="78"/>
      <c r="BC80" s="78"/>
      <c r="BD80" s="78"/>
      <c r="BE80" s="78"/>
      <c r="BF80" s="78"/>
      <c r="BG80" s="78"/>
      <c r="BH80" s="78"/>
      <c r="BI80" s="78"/>
      <c r="BJ80" s="78"/>
      <c r="BK80" s="78"/>
      <c r="BL80" s="78"/>
      <c r="BM80" s="78"/>
      <c r="BN80" s="78"/>
      <c r="BO80" s="78"/>
      <c r="BP80" s="78"/>
    </row>
    <row r="81" spans="1:68" x14ac:dyDescent="0.25">
      <c r="A81" s="78" t="s">
        <v>831</v>
      </c>
      <c r="B81" s="78" t="s">
        <v>832</v>
      </c>
      <c r="C81" s="78" t="s">
        <v>691</v>
      </c>
      <c r="D81" s="78" t="s">
        <v>692</v>
      </c>
      <c r="E81" s="78">
        <v>8.1368754581741491</v>
      </c>
      <c r="F81" s="78">
        <v>8.2744701780206604</v>
      </c>
      <c r="G81" s="78">
        <v>8.6372215259042004</v>
      </c>
      <c r="H81" s="78">
        <v>9.0687700977172803</v>
      </c>
      <c r="I81" s="78">
        <v>10.000664283948</v>
      </c>
      <c r="J81" s="78">
        <v>10.494755910236799</v>
      </c>
      <c r="K81" s="78">
        <v>10.9012864442974</v>
      </c>
      <c r="L81" s="78">
        <v>11.487533846341501</v>
      </c>
      <c r="M81" s="78">
        <v>12.5434298183329</v>
      </c>
      <c r="N81" s="78">
        <v>12.8200890780567</v>
      </c>
      <c r="O81" s="78">
        <v>13.1714134183617</v>
      </c>
      <c r="P81" s="78">
        <v>14.024363255231799</v>
      </c>
      <c r="Q81" s="78">
        <v>14.958736153505599</v>
      </c>
      <c r="R81" s="78">
        <v>16.567469227206999</v>
      </c>
      <c r="S81" s="78">
        <v>19.373402085226001</v>
      </c>
      <c r="T81" s="78">
        <v>22.824075688369799</v>
      </c>
      <c r="U81" s="78">
        <v>26.097662813892299</v>
      </c>
      <c r="V81" s="78">
        <v>29.175450727130301</v>
      </c>
      <c r="W81" s="78">
        <v>31.450946460926001</v>
      </c>
      <c r="X81" s="78">
        <v>33.799376528671303</v>
      </c>
      <c r="Y81" s="78">
        <v>37.718285545777903</v>
      </c>
      <c r="Z81" s="78">
        <v>41.982623122495802</v>
      </c>
      <c r="AA81" s="78">
        <v>46.006627173005</v>
      </c>
      <c r="AB81" s="78">
        <v>49.855676220660101</v>
      </c>
      <c r="AC81" s="78">
        <v>53.379304103497802</v>
      </c>
      <c r="AD81" s="78">
        <v>56.152690946548702</v>
      </c>
      <c r="AE81" s="78">
        <v>57.799974610880703</v>
      </c>
      <c r="AF81" s="78">
        <v>60.177304248884099</v>
      </c>
      <c r="AG81" s="78">
        <v>63.237878984781197</v>
      </c>
      <c r="AH81" s="78">
        <v>67.407095306876997</v>
      </c>
      <c r="AI81" s="78">
        <v>71.552338657559602</v>
      </c>
      <c r="AJ81" s="78">
        <v>74.636396787509398</v>
      </c>
      <c r="AK81" s="78">
        <v>76.815274429234805</v>
      </c>
      <c r="AL81" s="78">
        <v>78.498030693200405</v>
      </c>
      <c r="AM81" s="78">
        <v>79.352526325254601</v>
      </c>
      <c r="AN81" s="78">
        <v>79.980394783941307</v>
      </c>
      <c r="AO81" s="78">
        <v>80.483626819548206</v>
      </c>
      <c r="AP81" s="78">
        <v>81.443441421316294</v>
      </c>
      <c r="AQ81" s="78">
        <v>82.583221034259694</v>
      </c>
      <c r="AR81" s="78">
        <v>83.543029289654598</v>
      </c>
      <c r="AS81" s="78">
        <v>86.084492457598401</v>
      </c>
      <c r="AT81" s="78">
        <v>88.304130134449395</v>
      </c>
      <c r="AU81" s="78">
        <v>89.691582400883405</v>
      </c>
      <c r="AV81" s="78">
        <v>90.478572567939693</v>
      </c>
      <c r="AW81" s="78">
        <v>90.647876578780398</v>
      </c>
      <c r="AX81" s="78">
        <v>91.2134055202458</v>
      </c>
      <c r="AY81" s="78">
        <v>92.642412931703603</v>
      </c>
      <c r="AZ81" s="78">
        <v>94.968354172737705</v>
      </c>
      <c r="BA81" s="78">
        <v>98.829723344004094</v>
      </c>
      <c r="BB81" s="78">
        <v>98.829722437379402</v>
      </c>
      <c r="BC81" s="78">
        <v>100</v>
      </c>
      <c r="BD81" s="78">
        <v>103.41680754255199</v>
      </c>
      <c r="BE81" s="78">
        <v>106.321099212145</v>
      </c>
      <c r="BF81" s="78">
        <v>107.89282930364899</v>
      </c>
      <c r="BG81" s="78">
        <v>109.016205355146</v>
      </c>
      <c r="BH81" s="78">
        <v>108.789529224042</v>
      </c>
      <c r="BI81" s="78">
        <v>109.177564613377</v>
      </c>
      <c r="BJ81" s="78">
        <v>110.000779878603</v>
      </c>
      <c r="BK81" s="78">
        <v>111.19299141359301</v>
      </c>
      <c r="BL81" s="78">
        <v>112.331712088838</v>
      </c>
      <c r="BM81" s="78">
        <v>112.658096995756</v>
      </c>
      <c r="BN81" s="78">
        <v>115.130462665656</v>
      </c>
      <c r="BO81" s="78">
        <v>123.331790076698</v>
      </c>
      <c r="BP81" s="78">
        <v>131.04082025314099</v>
      </c>
    </row>
    <row r="82" spans="1:68" x14ac:dyDescent="0.25">
      <c r="A82" s="78" t="s">
        <v>833</v>
      </c>
      <c r="B82" s="78" t="s">
        <v>834</v>
      </c>
      <c r="C82" s="78" t="s">
        <v>691</v>
      </c>
      <c r="D82" s="78" t="s">
        <v>692</v>
      </c>
      <c r="E82" s="78"/>
      <c r="F82" s="78"/>
      <c r="G82" s="78"/>
      <c r="H82" s="78"/>
      <c r="I82" s="78"/>
      <c r="J82" s="78"/>
      <c r="K82" s="78"/>
      <c r="L82" s="78"/>
      <c r="M82" s="78"/>
      <c r="N82" s="78">
        <v>8.3177069877519205</v>
      </c>
      <c r="O82" s="78">
        <v>8.6607440763018602</v>
      </c>
      <c r="P82" s="78">
        <v>9.4521796448849003</v>
      </c>
      <c r="Q82" s="78">
        <v>11.5296273316966</v>
      </c>
      <c r="R82" s="78">
        <v>12.807723209420301</v>
      </c>
      <c r="S82" s="78">
        <v>14.6646470535928</v>
      </c>
      <c r="T82" s="78">
        <v>16.580565737719201</v>
      </c>
      <c r="U82" s="78">
        <v>18.4761283748328</v>
      </c>
      <c r="V82" s="78">
        <v>19.7706221793167</v>
      </c>
      <c r="W82" s="78">
        <v>20.978225820162599</v>
      </c>
      <c r="X82" s="78">
        <v>22.6159451949814</v>
      </c>
      <c r="Y82" s="78">
        <v>25.893645727922099</v>
      </c>
      <c r="Z82" s="78">
        <v>28.788727969750099</v>
      </c>
      <c r="AA82" s="78">
        <v>30.813023755971699</v>
      </c>
      <c r="AB82" s="78">
        <v>32.878785563923898</v>
      </c>
      <c r="AC82" s="78">
        <v>34.618473655874503</v>
      </c>
      <c r="AD82" s="78">
        <v>36.148946820193103</v>
      </c>
      <c r="AE82" s="78">
        <v>36.799209433235497</v>
      </c>
      <c r="AF82" s="78">
        <v>38.883433768461899</v>
      </c>
      <c r="AG82" s="78">
        <v>43.455475012499498</v>
      </c>
      <c r="AH82" s="78">
        <v>46.145088208102798</v>
      </c>
      <c r="AI82" s="78">
        <v>49.925003729359098</v>
      </c>
      <c r="AJ82" s="78">
        <v>53.168803742421296</v>
      </c>
      <c r="AK82" s="78">
        <v>55.765048506822303</v>
      </c>
      <c r="AL82" s="78">
        <v>58.668505528727501</v>
      </c>
      <c r="AM82" s="78">
        <v>59.147631657212301</v>
      </c>
      <c r="AN82" s="78">
        <v>60.4285606945894</v>
      </c>
      <c r="AO82" s="78">
        <v>62.271729576616998</v>
      </c>
      <c r="AP82" s="78">
        <v>64.369128649269101</v>
      </c>
      <c r="AQ82" s="78">
        <v>68.045688329068895</v>
      </c>
      <c r="AR82" s="78">
        <v>69.385285871975299</v>
      </c>
      <c r="AS82" s="78">
        <v>70.143087401720905</v>
      </c>
      <c r="AT82" s="78">
        <v>73.140070225813801</v>
      </c>
      <c r="AU82" s="78">
        <v>73.697421028336507</v>
      </c>
      <c r="AV82" s="78">
        <v>76.772628526467301</v>
      </c>
      <c r="AW82" s="78">
        <v>78.943363231030204</v>
      </c>
      <c r="AX82" s="78">
        <v>80.810977323694701</v>
      </c>
      <c r="AY82" s="78">
        <v>82.823846552267298</v>
      </c>
      <c r="AZ82" s="78">
        <v>86.802460980649698</v>
      </c>
      <c r="BA82" s="78">
        <v>93.514269077261204</v>
      </c>
      <c r="BB82" s="78">
        <v>96.442234123947898</v>
      </c>
      <c r="BC82" s="78">
        <v>100</v>
      </c>
      <c r="BD82" s="78">
        <v>107.278117827085</v>
      </c>
      <c r="BE82" s="78">
        <v>110.9506503443</v>
      </c>
      <c r="BF82" s="78">
        <v>114.18324407039</v>
      </c>
      <c r="BG82" s="78">
        <v>114.776205049732</v>
      </c>
      <c r="BH82" s="78">
        <v>116.354246365723</v>
      </c>
      <c r="BI82" s="78">
        <v>120.849273144606</v>
      </c>
      <c r="BJ82" s="78">
        <v>124.894797245601</v>
      </c>
      <c r="BK82" s="78">
        <v>129.992348890589</v>
      </c>
      <c r="BL82" s="78">
        <v>132.297245600612</v>
      </c>
      <c r="BM82" s="78">
        <v>128.86381025248701</v>
      </c>
      <c r="BN82" s="78">
        <v>129.06465187452201</v>
      </c>
      <c r="BO82" s="78">
        <v>134.89862280030599</v>
      </c>
      <c r="BP82" s="78"/>
    </row>
    <row r="83" spans="1:68" x14ac:dyDescent="0.25">
      <c r="A83" s="78" t="s">
        <v>835</v>
      </c>
      <c r="B83" s="78" t="s">
        <v>836</v>
      </c>
      <c r="C83" s="78" t="s">
        <v>691</v>
      </c>
      <c r="D83" s="78" t="s">
        <v>692</v>
      </c>
      <c r="E83" s="78">
        <v>10.4335934118144</v>
      </c>
      <c r="F83" s="78">
        <v>10.684047757307001</v>
      </c>
      <c r="G83" s="78">
        <v>11.253644266131699</v>
      </c>
      <c r="H83" s="78">
        <v>11.8162311495891</v>
      </c>
      <c r="I83" s="78">
        <v>12.195672983863901</v>
      </c>
      <c r="J83" s="78">
        <v>12.5253347762586</v>
      </c>
      <c r="K83" s="78">
        <v>12.8512440831266</v>
      </c>
      <c r="L83" s="78">
        <v>13.210022171778499</v>
      </c>
      <c r="M83" s="78">
        <v>13.8101805416249</v>
      </c>
      <c r="N83" s="78">
        <v>14.645138925548601</v>
      </c>
      <c r="O83" s="78">
        <v>15.4212787485263</v>
      </c>
      <c r="P83" s="78">
        <v>16.2536451459642</v>
      </c>
      <c r="Q83" s="78">
        <v>17.239104154568999</v>
      </c>
      <c r="R83" s="78">
        <v>18.511453659223299</v>
      </c>
      <c r="S83" s="78">
        <v>21.038140738003499</v>
      </c>
      <c r="T83" s="78">
        <v>23.496642559256699</v>
      </c>
      <c r="U83" s="78">
        <v>25.758310897605099</v>
      </c>
      <c r="V83" s="78">
        <v>28.203947808337301</v>
      </c>
      <c r="W83" s="78">
        <v>30.8129704904186</v>
      </c>
      <c r="X83" s="78">
        <v>34.093545548927501</v>
      </c>
      <c r="Y83" s="78">
        <v>38.717509546182399</v>
      </c>
      <c r="Z83" s="78">
        <v>43.872515792992999</v>
      </c>
      <c r="AA83" s="78">
        <v>49.127772792060398</v>
      </c>
      <c r="AB83" s="78">
        <v>53.775038272712898</v>
      </c>
      <c r="AC83" s="78">
        <v>57.901628569920298</v>
      </c>
      <c r="AD83" s="78">
        <v>61.277930282074301</v>
      </c>
      <c r="AE83" s="78">
        <v>62.833486424184798</v>
      </c>
      <c r="AF83" s="78">
        <v>64.900015836984593</v>
      </c>
      <c r="AG83" s="78">
        <v>66.652845378240002</v>
      </c>
      <c r="AH83" s="78">
        <v>68.984563339140195</v>
      </c>
      <c r="AI83" s="78">
        <v>71.188125780851294</v>
      </c>
      <c r="AJ83" s="78">
        <v>73.475690228580405</v>
      </c>
      <c r="AK83" s="78">
        <v>75.212479543894801</v>
      </c>
      <c r="AL83" s="78">
        <v>76.795298175227401</v>
      </c>
      <c r="AM83" s="78">
        <v>78.066656108676895</v>
      </c>
      <c r="AN83" s="78">
        <v>79.469109081630805</v>
      </c>
      <c r="AO83" s="78">
        <v>81.044889053124294</v>
      </c>
      <c r="AP83" s="78">
        <v>82.020623273328695</v>
      </c>
      <c r="AQ83" s="78">
        <v>82.554681588625499</v>
      </c>
      <c r="AR83" s="78">
        <v>82.998117158493002</v>
      </c>
      <c r="AS83" s="78">
        <v>84.389132309208307</v>
      </c>
      <c r="AT83" s="78">
        <v>85.768709637685006</v>
      </c>
      <c r="AU83" s="78">
        <v>87.418395537489602</v>
      </c>
      <c r="AV83" s="78">
        <v>89.252846258072495</v>
      </c>
      <c r="AW83" s="78">
        <v>91.164722236886107</v>
      </c>
      <c r="AX83" s="78">
        <v>92.756339193017595</v>
      </c>
      <c r="AY83" s="78">
        <v>94.3101233525136</v>
      </c>
      <c r="AZ83" s="78">
        <v>95.713456157947505</v>
      </c>
      <c r="BA83" s="78">
        <v>98.405743546428695</v>
      </c>
      <c r="BB83" s="78">
        <v>98.491967129458502</v>
      </c>
      <c r="BC83" s="78">
        <v>100</v>
      </c>
      <c r="BD83" s="78">
        <v>102.11159795175</v>
      </c>
      <c r="BE83" s="78">
        <v>104.107058016154</v>
      </c>
      <c r="BF83" s="78">
        <v>105.006246810607</v>
      </c>
      <c r="BG83" s="78">
        <v>105.539425293424</v>
      </c>
      <c r="BH83" s="78">
        <v>105.579017755019</v>
      </c>
      <c r="BI83" s="78">
        <v>105.772580900596</v>
      </c>
      <c r="BJ83" s="78">
        <v>106.864453008147</v>
      </c>
      <c r="BK83" s="78">
        <v>108.842316422953</v>
      </c>
      <c r="BL83" s="78">
        <v>110.04856675289</v>
      </c>
      <c r="BM83" s="78">
        <v>110.572946910908</v>
      </c>
      <c r="BN83" s="78">
        <v>112.38892114941299</v>
      </c>
      <c r="BO83" s="78">
        <v>118.258283622798</v>
      </c>
      <c r="BP83" s="78">
        <v>124.027345193475</v>
      </c>
    </row>
    <row r="84" spans="1:68" x14ac:dyDescent="0.25">
      <c r="A84" s="78" t="s">
        <v>837</v>
      </c>
      <c r="B84" s="78" t="s">
        <v>838</v>
      </c>
      <c r="C84" s="78" t="s">
        <v>691</v>
      </c>
      <c r="D84" s="78" t="s">
        <v>692</v>
      </c>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c r="AY84" s="78"/>
      <c r="AZ84" s="78"/>
      <c r="BA84" s="78"/>
      <c r="BB84" s="78"/>
      <c r="BC84" s="78"/>
      <c r="BD84" s="78"/>
      <c r="BE84" s="78"/>
      <c r="BF84" s="78"/>
      <c r="BG84" s="78"/>
      <c r="BH84" s="78"/>
      <c r="BI84" s="78"/>
      <c r="BJ84" s="78"/>
      <c r="BK84" s="78"/>
      <c r="BL84" s="78"/>
      <c r="BM84" s="78"/>
      <c r="BN84" s="78"/>
      <c r="BO84" s="78"/>
      <c r="BP84" s="78"/>
    </row>
    <row r="85" spans="1:68" x14ac:dyDescent="0.25">
      <c r="A85" s="78" t="s">
        <v>839</v>
      </c>
      <c r="B85" s="78" t="s">
        <v>840</v>
      </c>
      <c r="C85" s="78" t="s">
        <v>691</v>
      </c>
      <c r="D85" s="78" t="s">
        <v>692</v>
      </c>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v>70.8902862967376</v>
      </c>
      <c r="AS85" s="78">
        <v>72.420465961985499</v>
      </c>
      <c r="AT85" s="78">
        <v>72.784376885239297</v>
      </c>
      <c r="AU85" s="78">
        <v>72.7032642095743</v>
      </c>
      <c r="AV85" s="78">
        <v>72.795338057626495</v>
      </c>
      <c r="AW85" s="78">
        <v>74.452667322565503</v>
      </c>
      <c r="AX85" s="78">
        <v>77.622638376932997</v>
      </c>
      <c r="AY85" s="78">
        <v>81.222287388877405</v>
      </c>
      <c r="AZ85" s="78">
        <v>83.907774623732294</v>
      </c>
      <c r="BA85" s="78">
        <v>90.975935367512307</v>
      </c>
      <c r="BB85" s="78">
        <v>96.792575115939599</v>
      </c>
      <c r="BC85" s="78">
        <v>100</v>
      </c>
      <c r="BD85" s="78">
        <v>105.08259403890401</v>
      </c>
      <c r="BE85" s="78">
        <v>110.356167730641</v>
      </c>
      <c r="BF85" s="78">
        <v>112.28996906613899</v>
      </c>
      <c r="BG85" s="78">
        <v>113.02017376994699</v>
      </c>
      <c r="BH85" s="78">
        <v>112.683242732504</v>
      </c>
      <c r="BI85" s="78">
        <v>111.514190075614</v>
      </c>
      <c r="BJ85" s="78">
        <v>112.163485612668</v>
      </c>
      <c r="BK85" s="78">
        <v>113.84414354572399</v>
      </c>
      <c r="BL85" s="78">
        <v>116.034336045649</v>
      </c>
      <c r="BM85" s="78">
        <v>116.677856243305</v>
      </c>
      <c r="BN85" s="78">
        <v>120.401378078118</v>
      </c>
      <c r="BO85" s="78">
        <v>126.9135800956</v>
      </c>
      <c r="BP85" s="78"/>
    </row>
    <row r="86" spans="1:68" x14ac:dyDescent="0.25">
      <c r="A86" s="78" t="s">
        <v>841</v>
      </c>
      <c r="B86" s="78" t="s">
        <v>842</v>
      </c>
      <c r="C86" s="78" t="s">
        <v>691</v>
      </c>
      <c r="D86" s="78" t="s">
        <v>692</v>
      </c>
      <c r="E86" s="78"/>
      <c r="F86" s="78"/>
      <c r="G86" s="78">
        <v>9.3176401180043005</v>
      </c>
      <c r="H86" s="78">
        <v>9.9846278563737894</v>
      </c>
      <c r="I86" s="78">
        <v>10.3169570205981</v>
      </c>
      <c r="J86" s="78">
        <v>10.568533303768801</v>
      </c>
      <c r="K86" s="78">
        <v>10.9536624286928</v>
      </c>
      <c r="L86" s="78">
        <v>11.170297561444199</v>
      </c>
      <c r="M86" s="78">
        <v>11.431191484725</v>
      </c>
      <c r="N86" s="78">
        <v>11.7712853490321</v>
      </c>
      <c r="O86" s="78">
        <v>12.2200850147161</v>
      </c>
      <c r="P86" s="78">
        <v>12.6921787806717</v>
      </c>
      <c r="Q86" s="78">
        <v>13.1347666863079</v>
      </c>
      <c r="R86" s="78">
        <v>13.9500601966333</v>
      </c>
      <c r="S86" s="78">
        <v>15.6342236479548</v>
      </c>
      <c r="T86" s="78">
        <v>20.082620334284201</v>
      </c>
      <c r="U86" s="78">
        <v>24.1335990410691</v>
      </c>
      <c r="V86" s="78">
        <v>27.476722521239999</v>
      </c>
      <c r="W86" s="78">
        <v>30.434363395926798</v>
      </c>
      <c r="X86" s="78">
        <v>32.854716568616503</v>
      </c>
      <c r="Y86" s="78">
        <v>36.9091066259084</v>
      </c>
      <c r="Z86" s="78">
        <v>40.122598787443998</v>
      </c>
      <c r="AA86" s="78">
        <v>46.817374123993602</v>
      </c>
      <c r="AB86" s="78">
        <v>51.813694682680698</v>
      </c>
      <c r="AC86" s="78">
        <v>54.848496799809197</v>
      </c>
      <c r="AD86" s="78">
        <v>58.882563028675001</v>
      </c>
      <c r="AE86" s="78">
        <v>62.583541220295103</v>
      </c>
      <c r="AF86" s="78">
        <v>61.991384709635902</v>
      </c>
      <c r="AG86" s="78">
        <v>56.5509467679544</v>
      </c>
      <c r="AH86" s="78">
        <v>60.362954305323001</v>
      </c>
      <c r="AI86" s="78">
        <v>65.026186826764302</v>
      </c>
      <c r="AJ86" s="78">
        <v>57.427153354820398</v>
      </c>
      <c r="AK86" s="78">
        <v>51.946929897578997</v>
      </c>
      <c r="AL86" s="78">
        <v>52.224194847101401</v>
      </c>
      <c r="AM86" s="78">
        <v>71.085613370994196</v>
      </c>
      <c r="AN86" s="78">
        <v>77.942909130367497</v>
      </c>
      <c r="AO86" s="78">
        <v>78.480476212700296</v>
      </c>
      <c r="AP86" s="78">
        <v>81.598858753989703</v>
      </c>
      <c r="AQ86" s="78">
        <v>82.781012871362805</v>
      </c>
      <c r="AR86" s="78">
        <v>81.177872484692898</v>
      </c>
      <c r="AS86" s="78">
        <v>81.587755819414795</v>
      </c>
      <c r="AT86" s="78">
        <v>83.3317924353412</v>
      </c>
      <c r="AU86" s="78">
        <v>83.362360944592893</v>
      </c>
      <c r="AV86" s="78">
        <v>85.225804093807497</v>
      </c>
      <c r="AW86" s="78">
        <v>85.573700349426204</v>
      </c>
      <c r="AX86" s="78">
        <v>88.747058404050506</v>
      </c>
      <c r="AY86" s="78">
        <v>87.496256150610293</v>
      </c>
      <c r="AZ86" s="78">
        <v>91.897596805248796</v>
      </c>
      <c r="BA86" s="78">
        <v>96.735363331669404</v>
      </c>
      <c r="BB86" s="78">
        <v>98.559509377451604</v>
      </c>
      <c r="BC86" s="78">
        <v>100</v>
      </c>
      <c r="BD86" s="78">
        <v>101.263317078374</v>
      </c>
      <c r="BE86" s="78">
        <v>103.94924381854</v>
      </c>
      <c r="BF86" s="78">
        <v>104.47464597723101</v>
      </c>
      <c r="BG86" s="78">
        <v>109.374984864148</v>
      </c>
      <c r="BH86" s="78">
        <v>109.004427677729</v>
      </c>
      <c r="BI86" s="78">
        <v>111.30083172527701</v>
      </c>
      <c r="BJ86" s="78">
        <v>114.252447232406</v>
      </c>
      <c r="BK86" s="78">
        <v>119.67837195315199</v>
      </c>
      <c r="BL86" s="78">
        <v>122.62792628645499</v>
      </c>
      <c r="BM86" s="78">
        <v>124.286789179276</v>
      </c>
      <c r="BN86" s="78">
        <v>125.63767156911599</v>
      </c>
      <c r="BO86" s="78">
        <v>130.95371301295299</v>
      </c>
      <c r="BP86" s="78">
        <v>135.70604334891999</v>
      </c>
    </row>
    <row r="87" spans="1:68" x14ac:dyDescent="0.25">
      <c r="A87" s="78" t="s">
        <v>843</v>
      </c>
      <c r="B87" s="78" t="s">
        <v>844</v>
      </c>
      <c r="C87" s="78" t="s">
        <v>691</v>
      </c>
      <c r="D87" s="78" t="s">
        <v>692</v>
      </c>
      <c r="E87" s="78">
        <v>6.2732837987793602</v>
      </c>
      <c r="F87" s="78">
        <v>6.4895550212687301</v>
      </c>
      <c r="G87" s="78">
        <v>6.76188912520806</v>
      </c>
      <c r="H87" s="78">
        <v>6.8983808026632198</v>
      </c>
      <c r="I87" s="78">
        <v>7.12475716663584</v>
      </c>
      <c r="J87" s="78">
        <v>7.4648770112816702</v>
      </c>
      <c r="K87" s="78">
        <v>7.75672517107453</v>
      </c>
      <c r="L87" s="78">
        <v>7.9492560569631898</v>
      </c>
      <c r="M87" s="78">
        <v>8.3226666358424293</v>
      </c>
      <c r="N87" s="78">
        <v>8.7759742925836903</v>
      </c>
      <c r="O87" s="78">
        <v>9.3347027002034402</v>
      </c>
      <c r="P87" s="78">
        <v>10.2163501941927</v>
      </c>
      <c r="Q87" s="78">
        <v>10.938758368781199</v>
      </c>
      <c r="R87" s="78">
        <v>11.944690216386199</v>
      </c>
      <c r="S87" s="78">
        <v>13.8610976511929</v>
      </c>
      <c r="T87" s="78">
        <v>17.216493434436799</v>
      </c>
      <c r="U87" s="78">
        <v>20.0674625485482</v>
      </c>
      <c r="V87" s="78">
        <v>23.2462021453671</v>
      </c>
      <c r="W87" s="78">
        <v>25.167068614758701</v>
      </c>
      <c r="X87" s="78">
        <v>28.544811355650101</v>
      </c>
      <c r="Y87" s="78">
        <v>33.673150545589003</v>
      </c>
      <c r="Z87" s="78">
        <v>37.672384871462903</v>
      </c>
      <c r="AA87" s="78">
        <v>40.911781949324997</v>
      </c>
      <c r="AB87" s="78">
        <v>42.797530053634198</v>
      </c>
      <c r="AC87" s="78">
        <v>44.920591825411499</v>
      </c>
      <c r="AD87" s="78">
        <v>47.647898095061898</v>
      </c>
      <c r="AE87" s="78">
        <v>49.281081930830403</v>
      </c>
      <c r="AF87" s="78">
        <v>51.325715738856999</v>
      </c>
      <c r="AG87" s="78">
        <v>53.458479748474197</v>
      </c>
      <c r="AH87" s="78">
        <v>56.5378213427039</v>
      </c>
      <c r="AI87" s="78">
        <v>61.096726465692598</v>
      </c>
      <c r="AJ87" s="78">
        <v>65.655631588681302</v>
      </c>
      <c r="AK87" s="78">
        <v>68.670242278527795</v>
      </c>
      <c r="AL87" s="78">
        <v>70.427223968929098</v>
      </c>
      <c r="AM87" s="78">
        <v>71.990012946180897</v>
      </c>
      <c r="AN87" s="78">
        <v>73.931940077677098</v>
      </c>
      <c r="AO87" s="78">
        <v>76.040318106158693</v>
      </c>
      <c r="AP87" s="78">
        <v>77.7140743480673</v>
      </c>
      <c r="AQ87" s="78">
        <v>79.128906972443104</v>
      </c>
      <c r="AR87" s="78">
        <v>80.5159977806547</v>
      </c>
      <c r="AS87" s="78">
        <v>81.468466802293307</v>
      </c>
      <c r="AT87" s="78">
        <v>82.716848529683702</v>
      </c>
      <c r="AU87" s="78">
        <v>83.974477529128905</v>
      </c>
      <c r="AV87" s="78">
        <v>85.130386535971894</v>
      </c>
      <c r="AW87" s="78">
        <v>86.314037358979107</v>
      </c>
      <c r="AX87" s="78">
        <v>88.117255409654106</v>
      </c>
      <c r="AY87" s="78">
        <v>90.281117070464205</v>
      </c>
      <c r="AZ87" s="78">
        <v>92.435731459219497</v>
      </c>
      <c r="BA87" s="78">
        <v>95.690771222489303</v>
      </c>
      <c r="BB87" s="78">
        <v>97.567967449602406</v>
      </c>
      <c r="BC87" s="78">
        <v>100</v>
      </c>
      <c r="BD87" s="78">
        <v>103.85611244682801</v>
      </c>
      <c r="BE87" s="78">
        <v>106.528574070649</v>
      </c>
      <c r="BF87" s="78">
        <v>108.969853893102</v>
      </c>
      <c r="BG87" s="78">
        <v>110.551137414463</v>
      </c>
      <c r="BH87" s="78">
        <v>110.958017384871</v>
      </c>
      <c r="BI87" s="78">
        <v>112.076937303495</v>
      </c>
      <c r="BJ87" s="78">
        <v>114.943591640466</v>
      </c>
      <c r="BK87" s="78">
        <v>117.579064176068</v>
      </c>
      <c r="BL87" s="78">
        <v>119.622711300166</v>
      </c>
      <c r="BM87" s="78">
        <v>120.806362123174</v>
      </c>
      <c r="BN87" s="78">
        <v>123.848714629184</v>
      </c>
      <c r="BO87" s="78">
        <v>133.66007027926801</v>
      </c>
      <c r="BP87" s="78">
        <v>142.74089143702599</v>
      </c>
    </row>
    <row r="88" spans="1:68" x14ac:dyDescent="0.25">
      <c r="A88" s="78" t="s">
        <v>845</v>
      </c>
      <c r="B88" s="78" t="s">
        <v>846</v>
      </c>
      <c r="C88" s="78" t="s">
        <v>691</v>
      </c>
      <c r="D88" s="78" t="s">
        <v>692</v>
      </c>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v>10.901130863488801</v>
      </c>
      <c r="AN88" s="78">
        <v>28.639140556743602</v>
      </c>
      <c r="AO88" s="78">
        <v>39.910790300995799</v>
      </c>
      <c r="AP88" s="78">
        <v>42.739514510436898</v>
      </c>
      <c r="AQ88" s="78">
        <v>44.263950853142703</v>
      </c>
      <c r="AR88" s="78">
        <v>52.759387446346899</v>
      </c>
      <c r="AS88" s="78">
        <v>54.903508910893699</v>
      </c>
      <c r="AT88" s="78">
        <v>57.454350323354397</v>
      </c>
      <c r="AU88" s="78">
        <v>60.664805941200001</v>
      </c>
      <c r="AV88" s="78">
        <v>61.173015969059101</v>
      </c>
      <c r="AW88" s="78">
        <v>64.6331613976932</v>
      </c>
      <c r="AX88" s="78">
        <v>69.963516666666607</v>
      </c>
      <c r="AY88" s="78">
        <v>76.37285</v>
      </c>
      <c r="AZ88" s="78">
        <v>83.433441666666695</v>
      </c>
      <c r="BA88" s="78">
        <v>91.776358333333306</v>
      </c>
      <c r="BB88" s="78">
        <v>93.3618083333333</v>
      </c>
      <c r="BC88" s="78">
        <v>100</v>
      </c>
      <c r="BD88" s="78">
        <v>108.542933333333</v>
      </c>
      <c r="BE88" s="78">
        <v>107.51865833333299</v>
      </c>
      <c r="BF88" s="78">
        <v>106.96810000000001</v>
      </c>
      <c r="BG88" s="78">
        <v>110.25075</v>
      </c>
      <c r="BH88" s="78">
        <v>114.664725</v>
      </c>
      <c r="BI88" s="78">
        <v>117.112733333333</v>
      </c>
      <c r="BJ88" s="78">
        <v>124.18085833333301</v>
      </c>
      <c r="BK88" s="78">
        <v>127.428491666667</v>
      </c>
      <c r="BL88" s="78">
        <v>133.61246666666699</v>
      </c>
      <c r="BM88" s="78">
        <v>140.56360833333301</v>
      </c>
      <c r="BN88" s="78">
        <v>154.011208333333</v>
      </c>
      <c r="BO88" s="78">
        <v>172.335716666667</v>
      </c>
      <c r="BP88" s="78">
        <v>176.62301666666701</v>
      </c>
    </row>
    <row r="89" spans="1:68" x14ac:dyDescent="0.25">
      <c r="A89" s="78" t="s">
        <v>847</v>
      </c>
      <c r="B89" s="78" t="s">
        <v>848</v>
      </c>
      <c r="C89" s="78" t="s">
        <v>691</v>
      </c>
      <c r="D89" s="78" t="s">
        <v>692</v>
      </c>
      <c r="E89" s="78"/>
      <c r="F89" s="78"/>
      <c r="G89" s="78"/>
      <c r="H89" s="78"/>
      <c r="I89" s="78">
        <v>1.1402464117858701E-3</v>
      </c>
      <c r="J89" s="78">
        <v>1.4417821221312901E-3</v>
      </c>
      <c r="K89" s="78">
        <v>1.63264358808005E-3</v>
      </c>
      <c r="L89" s="78">
        <v>1.49513441211262E-3</v>
      </c>
      <c r="M89" s="78">
        <v>1.6131713393846699E-3</v>
      </c>
      <c r="N89" s="78">
        <v>1.73120826652556E-3</v>
      </c>
      <c r="O89" s="78">
        <v>1.7836691230909199E-3</v>
      </c>
      <c r="P89" s="78">
        <v>1.9541669070594798E-3</v>
      </c>
      <c r="Q89" s="78">
        <v>2.1508951191795602E-3</v>
      </c>
      <c r="R89" s="78">
        <v>2.5312363291472399E-3</v>
      </c>
      <c r="S89" s="78">
        <v>2.9902688240940902E-3</v>
      </c>
      <c r="T89" s="78">
        <v>3.8821033857051302E-3</v>
      </c>
      <c r="U89" s="78">
        <v>6.0592289331673601E-3</v>
      </c>
      <c r="V89" s="78">
        <v>1.3115214141262301E-2</v>
      </c>
      <c r="W89" s="78">
        <v>2.2701342744101901E-2</v>
      </c>
      <c r="X89" s="78">
        <v>3.5060246203235501E-2</v>
      </c>
      <c r="Y89" s="78">
        <v>5.26149603314175E-2</v>
      </c>
      <c r="Z89" s="78">
        <v>0.11391328535886899</v>
      </c>
      <c r="AA89" s="78">
        <v>0.139310897543692</v>
      </c>
      <c r="AB89" s="78">
        <v>0.310488486647225</v>
      </c>
      <c r="AC89" s="78">
        <v>0.43364471917234498</v>
      </c>
      <c r="AD89" s="78">
        <v>0.47833371842450101</v>
      </c>
      <c r="AE89" s="78">
        <v>0.59583838658967303</v>
      </c>
      <c r="AF89" s="78">
        <v>0.833071844650769</v>
      </c>
      <c r="AG89" s="78">
        <v>1.09431707393563</v>
      </c>
      <c r="AH89" s="78">
        <v>1.37034424249229</v>
      </c>
      <c r="AI89" s="78">
        <v>1.8809217148836399</v>
      </c>
      <c r="AJ89" s="78">
        <v>2.2200789667096301</v>
      </c>
      <c r="AK89" s="78">
        <v>2.4433326994305702</v>
      </c>
      <c r="AL89" s="78">
        <v>3.0531846923302699</v>
      </c>
      <c r="AM89" s="78">
        <v>3.8125195242748999</v>
      </c>
      <c r="AN89" s="78">
        <v>6.0795028684919998</v>
      </c>
      <c r="AO89" s="78">
        <v>8.9101813953074096</v>
      </c>
      <c r="AP89" s="78">
        <v>11.3948040676584</v>
      </c>
      <c r="AQ89" s="78">
        <v>13.061199205853001</v>
      </c>
      <c r="AR89" s="78">
        <v>13.6966785113</v>
      </c>
      <c r="AS89" s="78">
        <v>19.2083497512298</v>
      </c>
      <c r="AT89" s="78">
        <v>27.181638978164699</v>
      </c>
      <c r="AU89" s="78">
        <v>29.726093826927599</v>
      </c>
      <c r="AV89" s="78">
        <v>38.5764377123893</v>
      </c>
      <c r="AW89" s="78">
        <v>45.536683616151997</v>
      </c>
      <c r="AX89" s="78">
        <v>52.567088563814501</v>
      </c>
      <c r="AY89" s="78">
        <v>58.706495528690503</v>
      </c>
      <c r="AZ89" s="78">
        <v>65.008207238338002</v>
      </c>
      <c r="BA89" s="78">
        <v>75.731076741441896</v>
      </c>
      <c r="BB89" s="78">
        <v>90.306997869895199</v>
      </c>
      <c r="BC89" s="78">
        <v>100</v>
      </c>
      <c r="BD89" s="78">
        <v>108.72845937093</v>
      </c>
      <c r="BE89" s="78">
        <v>120.89119553943701</v>
      </c>
      <c r="BF89" s="78">
        <v>134.99459489350801</v>
      </c>
      <c r="BG89" s="78">
        <v>155.904739308264</v>
      </c>
      <c r="BH89" s="78">
        <v>182.64235454991399</v>
      </c>
      <c r="BI89" s="78">
        <v>214.52191035702401</v>
      </c>
      <c r="BJ89" s="78">
        <v>241.062392815469</v>
      </c>
      <c r="BK89" s="78">
        <v>259.88638897422697</v>
      </c>
      <c r="BL89" s="78">
        <v>278.45173709811002</v>
      </c>
      <c r="BM89" s="78">
        <v>305.98306663736702</v>
      </c>
      <c r="BN89" s="78">
        <v>336.49290954239802</v>
      </c>
      <c r="BO89" s="78">
        <v>441.66678038440199</v>
      </c>
      <c r="BP89" s="78">
        <v>609.97258858306895</v>
      </c>
    </row>
    <row r="90" spans="1:68" x14ac:dyDescent="0.25">
      <c r="A90" s="78" t="s">
        <v>849</v>
      </c>
      <c r="B90" s="78" t="s">
        <v>850</v>
      </c>
      <c r="C90" s="78" t="s">
        <v>691</v>
      </c>
      <c r="D90" s="78" t="s">
        <v>692</v>
      </c>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row>
    <row r="91" spans="1:68" x14ac:dyDescent="0.25">
      <c r="A91" s="78" t="s">
        <v>851</v>
      </c>
      <c r="B91" s="78" t="s">
        <v>852</v>
      </c>
      <c r="C91" s="78" t="s">
        <v>691</v>
      </c>
      <c r="D91" s="78" t="s">
        <v>692</v>
      </c>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v>32.2631351401334</v>
      </c>
      <c r="AX91" s="78">
        <v>42.385146151943303</v>
      </c>
      <c r="AY91" s="78">
        <v>57.090787303441402</v>
      </c>
      <c r="AZ91" s="78">
        <v>67.467360807534803</v>
      </c>
      <c r="BA91" s="78">
        <v>83.029121111423095</v>
      </c>
      <c r="BB91" s="78">
        <v>86.918527869977893</v>
      </c>
      <c r="BC91" s="78">
        <v>100</v>
      </c>
      <c r="BD91" s="78">
        <v>121.316926854258</v>
      </c>
      <c r="BE91" s="78">
        <v>139.78899893485601</v>
      </c>
      <c r="BF91" s="78">
        <v>156.40653982406701</v>
      </c>
      <c r="BG91" s="78">
        <v>166.02633276319801</v>
      </c>
      <c r="BH91" s="78">
        <v>185.584371739381</v>
      </c>
      <c r="BI91" s="78">
        <v>200.75159065530201</v>
      </c>
      <c r="BJ91" s="78">
        <v>218.647309106389</v>
      </c>
      <c r="BK91" s="78">
        <v>240.13512925370301</v>
      </c>
      <c r="BL91" s="78">
        <v>262.87595095014399</v>
      </c>
      <c r="BM91" s="78">
        <v>290.74506123166901</v>
      </c>
      <c r="BN91" s="78">
        <v>327.37105468712298</v>
      </c>
      <c r="BO91" s="78">
        <v>361.72223367247602</v>
      </c>
      <c r="BP91" s="78">
        <v>389.95456690529301</v>
      </c>
    </row>
    <row r="92" spans="1:68" x14ac:dyDescent="0.25">
      <c r="A92" s="78" t="s">
        <v>853</v>
      </c>
      <c r="B92" s="78" t="s">
        <v>854</v>
      </c>
      <c r="C92" s="78" t="s">
        <v>691</v>
      </c>
      <c r="D92" s="78" t="s">
        <v>692</v>
      </c>
      <c r="E92" s="78"/>
      <c r="F92" s="78">
        <v>2.2768877996671701</v>
      </c>
      <c r="G92" s="78">
        <v>2.3175898529928798</v>
      </c>
      <c r="H92" s="78">
        <v>2.42457277298525</v>
      </c>
      <c r="I92" s="78">
        <v>2.3146025463285</v>
      </c>
      <c r="J92" s="78">
        <v>2.3427952529893199</v>
      </c>
      <c r="K92" s="78">
        <v>2.3483964529866701</v>
      </c>
      <c r="L92" s="78">
        <v>2.3814435329838499</v>
      </c>
      <c r="M92" s="78">
        <v>2.4809581863050001</v>
      </c>
      <c r="N92" s="78">
        <v>2.6053048262781102</v>
      </c>
      <c r="O92" s="78">
        <v>2.5535870796262201</v>
      </c>
      <c r="P92" s="78">
        <v>2.6316304662799999</v>
      </c>
      <c r="Q92" s="78">
        <v>2.86053283958287</v>
      </c>
      <c r="R92" s="78">
        <v>3.0584419062197101</v>
      </c>
      <c r="S92" s="78">
        <v>3.34092909284833</v>
      </c>
      <c r="T92" s="78">
        <v>4.2070649601525503</v>
      </c>
      <c r="U92" s="78">
        <v>4.9234158398052097</v>
      </c>
      <c r="V92" s="78">
        <v>5.5334138100049799</v>
      </c>
      <c r="W92" s="78">
        <v>6.0234167436310999</v>
      </c>
      <c r="X92" s="78">
        <v>6.3925894083852599</v>
      </c>
      <c r="Y92" s="78">
        <v>6.8288590657485697</v>
      </c>
      <c r="Z92" s="78">
        <v>7.2347819505463402</v>
      </c>
      <c r="AA92" s="78">
        <v>8.0201786981262302</v>
      </c>
      <c r="AB92" s="78">
        <v>8.8732292598279106</v>
      </c>
      <c r="AC92" s="78">
        <v>10.834076226569399</v>
      </c>
      <c r="AD92" s="78">
        <v>12.8188665184679</v>
      </c>
      <c r="AE92" s="78">
        <v>20.0692394714948</v>
      </c>
      <c r="AF92" s="78">
        <v>24.7913643334809</v>
      </c>
      <c r="AG92" s="78">
        <v>27.689620321526899</v>
      </c>
      <c r="AH92" s="78">
        <v>29.980940857705399</v>
      </c>
      <c r="AI92" s="78">
        <v>33.628957016337999</v>
      </c>
      <c r="AJ92" s="78">
        <v>36.535286916358501</v>
      </c>
      <c r="AK92" s="78">
        <v>40.001222439430599</v>
      </c>
      <c r="AL92" s="78">
        <v>42.586823146537597</v>
      </c>
      <c r="AM92" s="78">
        <v>43.3151456887785</v>
      </c>
      <c r="AN92" s="78">
        <v>46.338964928563897</v>
      </c>
      <c r="AO92" s="78">
        <v>46.848456615223199</v>
      </c>
      <c r="AP92" s="78">
        <v>48.151418961433997</v>
      </c>
      <c r="AQ92" s="78">
        <v>48.687916491594201</v>
      </c>
      <c r="AR92" s="78">
        <v>50.5440810134291</v>
      </c>
      <c r="AS92" s="78">
        <v>50.971163115797999</v>
      </c>
      <c r="AT92" s="78">
        <v>53.261091598188003</v>
      </c>
      <c r="AU92" s="78">
        <v>57.846405413819198</v>
      </c>
      <c r="AV92" s="78">
        <v>67.699306447992797</v>
      </c>
      <c r="AW92" s="78">
        <v>77.317173120484597</v>
      </c>
      <c r="AX92" s="78">
        <v>81.058258695240497</v>
      </c>
      <c r="AY92" s="78">
        <v>82.725224560467197</v>
      </c>
      <c r="AZ92" s="78">
        <v>87.166853329447903</v>
      </c>
      <c r="BA92" s="78">
        <v>91.040247486835099</v>
      </c>
      <c r="BB92" s="78">
        <v>95.193054636520799</v>
      </c>
      <c r="BC92" s="78">
        <v>100</v>
      </c>
      <c r="BD92" s="78">
        <v>104.795882661831</v>
      </c>
      <c r="BE92" s="78">
        <v>109.254236951057</v>
      </c>
      <c r="BF92" s="78">
        <v>115.48077783219</v>
      </c>
      <c r="BG92" s="78">
        <v>122.34957375506799</v>
      </c>
      <c r="BH92" s="78">
        <v>130.67968936055601</v>
      </c>
      <c r="BI92" s="78">
        <v>140.126253232327</v>
      </c>
      <c r="BJ92" s="78">
        <v>151.384262300215</v>
      </c>
      <c r="BK92" s="78">
        <v>161.25598196436101</v>
      </c>
      <c r="BL92" s="78">
        <v>172.730435584882</v>
      </c>
      <c r="BM92" s="78">
        <v>182.975555086968</v>
      </c>
      <c r="BN92" s="78">
        <v>196.46148949935201</v>
      </c>
      <c r="BO92" s="78">
        <v>219.08033622103201</v>
      </c>
      <c r="BP92" s="78">
        <v>256.26749905175598</v>
      </c>
    </row>
    <row r="93" spans="1:68" x14ac:dyDescent="0.25">
      <c r="A93" s="78" t="s">
        <v>855</v>
      </c>
      <c r="B93" s="78" t="s">
        <v>856</v>
      </c>
      <c r="C93" s="78" t="s">
        <v>691</v>
      </c>
      <c r="D93" s="78" t="s">
        <v>692</v>
      </c>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v>1.18856332006423</v>
      </c>
      <c r="AG93" s="78">
        <v>1.90505047712512</v>
      </c>
      <c r="AH93" s="78">
        <v>3.44410533591698</v>
      </c>
      <c r="AI93" s="78">
        <v>4.5807282153802298</v>
      </c>
      <c r="AJ93" s="78">
        <v>7.2190116746780104</v>
      </c>
      <c r="AK93" s="78">
        <v>12.242262510014699</v>
      </c>
      <c r="AL93" s="78">
        <v>18.1317904888996</v>
      </c>
      <c r="AM93" s="78">
        <v>20.883534009018401</v>
      </c>
      <c r="AN93" s="78">
        <v>30.357413609131498</v>
      </c>
      <c r="AO93" s="78">
        <v>45.758960514390701</v>
      </c>
      <c r="AP93" s="78">
        <v>68.227032746169797</v>
      </c>
      <c r="AQ93" s="78">
        <v>73.694580123614301</v>
      </c>
      <c r="AR93" s="78">
        <v>72.157086316316096</v>
      </c>
      <c r="AS93" s="78">
        <v>78.388803878258599</v>
      </c>
      <c r="AT93" s="78">
        <v>81.013357180102602</v>
      </c>
      <c r="AU93" s="78">
        <v>83.686896603107101</v>
      </c>
      <c r="AV93" s="78">
        <v>80.755691488052506</v>
      </c>
      <c r="AW93" s="78">
        <v>81.469008688891705</v>
      </c>
      <c r="AX93" s="78">
        <v>84.181274297244798</v>
      </c>
      <c r="AY93" s="78">
        <v>85.826796961406998</v>
      </c>
      <c r="AZ93" s="78">
        <v>89.789795860247807</v>
      </c>
      <c r="BA93" s="78">
        <v>99.181874175419495</v>
      </c>
      <c r="BB93" s="78">
        <v>97.543987347285693</v>
      </c>
      <c r="BC93" s="78">
        <v>100</v>
      </c>
      <c r="BD93" s="78">
        <v>105.046102263202</v>
      </c>
      <c r="BE93" s="78">
        <v>107.284157585918</v>
      </c>
      <c r="BF93" s="78">
        <v>108.579212070411</v>
      </c>
      <c r="BG93" s="78">
        <v>106.94048616932101</v>
      </c>
      <c r="BH93" s="78">
        <v>108.51969823973199</v>
      </c>
      <c r="BI93" s="78">
        <v>110.15088013411599</v>
      </c>
      <c r="BJ93" s="78">
        <v>112.013657770165</v>
      </c>
      <c r="BK93" s="78">
        <v>112.44079351774199</v>
      </c>
      <c r="BL93" s="78">
        <v>112.718072816065</v>
      </c>
      <c r="BM93" s="78">
        <v>114.003069434827</v>
      </c>
      <c r="BN93" s="78">
        <v>116.559575493745</v>
      </c>
      <c r="BO93" s="78">
        <v>127.508994091945</v>
      </c>
      <c r="BP93" s="78"/>
    </row>
    <row r="94" spans="1:68" x14ac:dyDescent="0.25">
      <c r="A94" s="78" t="s">
        <v>857</v>
      </c>
      <c r="B94" s="78" t="s">
        <v>858</v>
      </c>
      <c r="C94" s="78" t="s">
        <v>691</v>
      </c>
      <c r="D94" s="78" t="s">
        <v>692</v>
      </c>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v>37.871018128827302</v>
      </c>
      <c r="AE94" s="78">
        <v>31.190409922929899</v>
      </c>
      <c r="AF94" s="78">
        <v>27.081237867895801</v>
      </c>
      <c r="AG94" s="78">
        <v>27.764676047527299</v>
      </c>
      <c r="AH94" s="78">
        <v>29.476688687504002</v>
      </c>
      <c r="AI94" s="78">
        <v>29.729560813967701</v>
      </c>
      <c r="AJ94" s="78">
        <v>28.711237926316802</v>
      </c>
      <c r="AK94" s="78">
        <v>27.482757798429301</v>
      </c>
      <c r="AL94" s="78">
        <v>28.981196007271201</v>
      </c>
      <c r="AM94" s="78">
        <v>38.209103508854703</v>
      </c>
      <c r="AN94" s="78">
        <v>45.802182747998501</v>
      </c>
      <c r="AO94" s="78">
        <v>47.881935154296102</v>
      </c>
      <c r="AP94" s="78">
        <v>49.326296317174702</v>
      </c>
      <c r="AQ94" s="78">
        <v>53.240688491013699</v>
      </c>
      <c r="AR94" s="78">
        <v>53.438885563106901</v>
      </c>
      <c r="AS94" s="78">
        <v>56.005175216229098</v>
      </c>
      <c r="AT94" s="78">
        <v>60.9478499339941</v>
      </c>
      <c r="AU94" s="78">
        <v>65.575302335428503</v>
      </c>
      <c r="AV94" s="78">
        <v>70.377738450846095</v>
      </c>
      <c r="AW94" s="78">
        <v>73.347459344104195</v>
      </c>
      <c r="AX94" s="78">
        <v>77.478119445883394</v>
      </c>
      <c r="AY94" s="78">
        <v>80.899475599842901</v>
      </c>
      <c r="AZ94" s="78">
        <v>83.167685196100194</v>
      </c>
      <c r="BA94" s="78">
        <v>88.616638076125994</v>
      </c>
      <c r="BB94" s="78">
        <v>92.773702769446302</v>
      </c>
      <c r="BC94" s="78">
        <v>100</v>
      </c>
      <c r="BD94" s="78">
        <v>104.80538922155699</v>
      </c>
      <c r="BE94" s="78">
        <v>108.637724550898</v>
      </c>
      <c r="BF94" s="78">
        <v>111.84131736527</v>
      </c>
      <c r="BG94" s="78">
        <v>116.66167664670699</v>
      </c>
      <c r="BH94" s="78">
        <v>118.617662311179</v>
      </c>
      <c r="BI94" s="78">
        <v>120.29247152984701</v>
      </c>
      <c r="BJ94" s="78">
        <v>121.18787425149701</v>
      </c>
      <c r="BK94" s="78">
        <v>122.472555526802</v>
      </c>
      <c r="BL94" s="78">
        <v>124.346722780622</v>
      </c>
      <c r="BM94" s="78">
        <v>130.273952095808</v>
      </c>
      <c r="BN94" s="78">
        <v>130.14745508982</v>
      </c>
      <c r="BO94" s="78">
        <v>136.37724550898201</v>
      </c>
      <c r="BP94" s="78"/>
    </row>
    <row r="95" spans="1:68" x14ac:dyDescent="0.25">
      <c r="A95" s="78" t="s">
        <v>859</v>
      </c>
      <c r="B95" s="78" t="s">
        <v>860</v>
      </c>
      <c r="C95" s="78" t="s">
        <v>691</v>
      </c>
      <c r="D95" s="78" t="s">
        <v>692</v>
      </c>
      <c r="E95" s="78">
        <v>1.12134954367809</v>
      </c>
      <c r="F95" s="78">
        <v>1.1449380211198901</v>
      </c>
      <c r="G95" s="78">
        <v>1.1394946618524999</v>
      </c>
      <c r="H95" s="78">
        <v>1.1757837236351101</v>
      </c>
      <c r="I95" s="78">
        <v>1.1830418715819799</v>
      </c>
      <c r="J95" s="78">
        <v>1.22114614153199</v>
      </c>
      <c r="K95" s="78">
        <v>1.2810240163467399</v>
      </c>
      <c r="L95" s="78">
        <v>1.30461224209578</v>
      </c>
      <c r="M95" s="78">
        <v>1.30642644349215</v>
      </c>
      <c r="N95" s="78">
        <v>1.34090197505908</v>
      </c>
      <c r="O95" s="78">
        <v>1.3790059933163299</v>
      </c>
      <c r="P95" s="78">
        <v>1.4243679917252801</v>
      </c>
      <c r="Q95" s="78">
        <v>1.48606023573158</v>
      </c>
      <c r="R95" s="78">
        <v>1.7146850164558001</v>
      </c>
      <c r="S95" s="78">
        <v>2.1701198731223501</v>
      </c>
      <c r="T95" s="78">
        <v>2.4658803410178498</v>
      </c>
      <c r="U95" s="78">
        <v>2.78704348775151</v>
      </c>
      <c r="V95" s="78">
        <v>3.1317951119269698</v>
      </c>
      <c r="W95" s="78">
        <v>3.5255377245872301</v>
      </c>
      <c r="X95" s="78">
        <v>4.1987100561601203</v>
      </c>
      <c r="Y95" s="78">
        <v>5.2347792978780499</v>
      </c>
      <c r="Z95" s="78">
        <v>6.5176178512115097</v>
      </c>
      <c r="AA95" s="78">
        <v>7.8857367904027198</v>
      </c>
      <c r="AB95" s="78">
        <v>9.4770375705386805</v>
      </c>
      <c r="AC95" s="78">
        <v>11.2261966923024</v>
      </c>
      <c r="AD95" s="78">
        <v>13.394502112335701</v>
      </c>
      <c r="AE95" s="78">
        <v>16.4773071586513</v>
      </c>
      <c r="AF95" s="78">
        <v>19.179068666490899</v>
      </c>
      <c r="AG95" s="78">
        <v>21.7737776937646</v>
      </c>
      <c r="AH95" s="78">
        <v>24.747109814162599</v>
      </c>
      <c r="AI95" s="78">
        <v>29.803810277657298</v>
      </c>
      <c r="AJ95" s="78">
        <v>35.602393601480202</v>
      </c>
      <c r="AK95" s="78">
        <v>41.255011905445002</v>
      </c>
      <c r="AL95" s="78">
        <v>47.200380767515398</v>
      </c>
      <c r="AM95" s="78">
        <v>52.3329858938543</v>
      </c>
      <c r="AN95" s="78">
        <v>57.008683928690097</v>
      </c>
      <c r="AO95" s="78">
        <v>61.680290278264103</v>
      </c>
      <c r="AP95" s="78">
        <v>65.0949127935353</v>
      </c>
      <c r="AQ95" s="78">
        <v>68.197483272100797</v>
      </c>
      <c r="AR95" s="78">
        <v>69.995600662290897</v>
      </c>
      <c r="AS95" s="78">
        <v>72.201289168626204</v>
      </c>
      <c r="AT95" s="78">
        <v>74.637337793351406</v>
      </c>
      <c r="AU95" s="78">
        <v>77.346194520026202</v>
      </c>
      <c r="AV95" s="78">
        <v>80.077018151603497</v>
      </c>
      <c r="AW95" s="78">
        <v>82.398329276899105</v>
      </c>
      <c r="AX95" s="78">
        <v>85.319409980830997</v>
      </c>
      <c r="AY95" s="78">
        <v>88.046172969253305</v>
      </c>
      <c r="AZ95" s="78">
        <v>90.595112507543604</v>
      </c>
      <c r="BA95" s="78">
        <v>94.357343695378802</v>
      </c>
      <c r="BB95" s="78">
        <v>95.499136144312502</v>
      </c>
      <c r="BC95" s="78">
        <v>100</v>
      </c>
      <c r="BD95" s="78">
        <v>103.329853233506</v>
      </c>
      <c r="BE95" s="78">
        <v>104.881378839373</v>
      </c>
      <c r="BF95" s="78">
        <v>103.915138732922</v>
      </c>
      <c r="BG95" s="78">
        <v>102.55150093158601</v>
      </c>
      <c r="BH95" s="78">
        <v>100.771321684226</v>
      </c>
      <c r="BI95" s="78">
        <v>99.939299257663293</v>
      </c>
      <c r="BJ95" s="78">
        <v>101.05987316816</v>
      </c>
      <c r="BK95" s="78">
        <v>101.692125375109</v>
      </c>
      <c r="BL95" s="78">
        <v>101.949414101629</v>
      </c>
      <c r="BM95" s="78">
        <v>100.677102178392</v>
      </c>
      <c r="BN95" s="78">
        <v>101.909213734394</v>
      </c>
      <c r="BO95" s="78">
        <v>111.738622172264</v>
      </c>
      <c r="BP95" s="78">
        <v>115.61014338928</v>
      </c>
    </row>
    <row r="96" spans="1:68" x14ac:dyDescent="0.25">
      <c r="A96" s="78" t="s">
        <v>861</v>
      </c>
      <c r="B96" s="78" t="s">
        <v>862</v>
      </c>
      <c r="C96" s="78" t="s">
        <v>691</v>
      </c>
      <c r="D96" s="78" t="s">
        <v>692</v>
      </c>
      <c r="E96" s="78"/>
      <c r="F96" s="78"/>
      <c r="G96" s="78"/>
      <c r="H96" s="78"/>
      <c r="I96" s="78"/>
      <c r="J96" s="78"/>
      <c r="K96" s="78"/>
      <c r="L96" s="78"/>
      <c r="M96" s="78"/>
      <c r="N96" s="78"/>
      <c r="O96" s="78"/>
      <c r="P96" s="78"/>
      <c r="Q96" s="78"/>
      <c r="R96" s="78"/>
      <c r="S96" s="78"/>
      <c r="T96" s="78"/>
      <c r="U96" s="78">
        <v>17.307958352648701</v>
      </c>
      <c r="V96" s="78">
        <v>20.502468063727601</v>
      </c>
      <c r="W96" s="78">
        <v>24.220667891376799</v>
      </c>
      <c r="X96" s="78">
        <v>29.2786416005851</v>
      </c>
      <c r="Y96" s="78">
        <v>35.667661022742799</v>
      </c>
      <c r="Z96" s="78">
        <v>42.368712472690198</v>
      </c>
      <c r="AA96" s="78">
        <v>45.678870417845097</v>
      </c>
      <c r="AB96" s="78">
        <v>48.463156204277198</v>
      </c>
      <c r="AC96" s="78">
        <v>51.205983189814098</v>
      </c>
      <c r="AD96" s="78">
        <v>52.4868419332591</v>
      </c>
      <c r="AE96" s="78">
        <v>52.779235581677597</v>
      </c>
      <c r="AF96" s="78">
        <v>52.318824687526003</v>
      </c>
      <c r="AG96" s="78">
        <v>54.411577675027097</v>
      </c>
      <c r="AH96" s="78">
        <v>57.454789311018402</v>
      </c>
      <c r="AI96" s="78">
        <v>59.019994149586502</v>
      </c>
      <c r="AJ96" s="78">
        <v>60.580839086098003</v>
      </c>
      <c r="AK96" s="78">
        <v>62.869787666177302</v>
      </c>
      <c r="AL96" s="78">
        <v>64.635547999381302</v>
      </c>
      <c r="AM96" s="78">
        <v>67.072733249408401</v>
      </c>
      <c r="AN96" s="78">
        <v>68.326205090880194</v>
      </c>
      <c r="AO96" s="78">
        <v>69.714833896128496</v>
      </c>
      <c r="AP96" s="78">
        <v>70.582454405529802</v>
      </c>
      <c r="AQ96" s="78">
        <v>71.554864153599496</v>
      </c>
      <c r="AR96" s="78">
        <v>71.968041716040204</v>
      </c>
      <c r="AS96" s="78">
        <v>73.538253535299305</v>
      </c>
      <c r="AT96" s="78">
        <v>75.848084969423894</v>
      </c>
      <c r="AU96" s="78">
        <v>76.657547473447096</v>
      </c>
      <c r="AV96" s="78">
        <v>78.309462504023202</v>
      </c>
      <c r="AW96" s="78">
        <v>80.120695204377299</v>
      </c>
      <c r="AX96" s="78">
        <v>82.905535886707497</v>
      </c>
      <c r="AY96" s="78">
        <v>86.430640489217893</v>
      </c>
      <c r="AZ96" s="78">
        <v>89.765851303508299</v>
      </c>
      <c r="BA96" s="78">
        <v>96.976987447698804</v>
      </c>
      <c r="BB96" s="78">
        <v>96.677663340843296</v>
      </c>
      <c r="BC96" s="78">
        <v>100</v>
      </c>
      <c r="BD96" s="78">
        <v>103.033472803347</v>
      </c>
      <c r="BE96" s="78">
        <v>105.51738010942999</v>
      </c>
      <c r="BF96" s="78">
        <v>105.47095268747999</v>
      </c>
      <c r="BG96" s="78">
        <v>104.433537174123</v>
      </c>
      <c r="BH96" s="78">
        <v>103.895236562601</v>
      </c>
      <c r="BI96" s="78">
        <v>105.609913099453</v>
      </c>
      <c r="BJ96" s="78">
        <v>106.569335074026</v>
      </c>
      <c r="BK96" s="78">
        <v>107.426261562601</v>
      </c>
      <c r="BL96" s="78">
        <v>108.068831493402</v>
      </c>
      <c r="BM96" s="78">
        <v>107.268330431284</v>
      </c>
      <c r="BN96" s="78">
        <v>108.57648052784</v>
      </c>
      <c r="BO96" s="78">
        <v>111.378339233988</v>
      </c>
      <c r="BP96" s="78">
        <v>114.381235918893</v>
      </c>
    </row>
    <row r="97" spans="1:68" x14ac:dyDescent="0.25">
      <c r="A97" s="78" t="s">
        <v>863</v>
      </c>
      <c r="B97" s="78" t="s">
        <v>864</v>
      </c>
      <c r="C97" s="78" t="s">
        <v>691</v>
      </c>
      <c r="D97" s="78" t="s">
        <v>692</v>
      </c>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78"/>
      <c r="BA97" s="78"/>
      <c r="BB97" s="78"/>
      <c r="BC97" s="78"/>
      <c r="BD97" s="78"/>
      <c r="BE97" s="78"/>
      <c r="BF97" s="78"/>
      <c r="BG97" s="78"/>
      <c r="BH97" s="78"/>
      <c r="BI97" s="78"/>
      <c r="BJ97" s="78"/>
      <c r="BK97" s="78"/>
      <c r="BL97" s="78"/>
      <c r="BM97" s="78"/>
      <c r="BN97" s="78"/>
      <c r="BO97" s="78"/>
      <c r="BP97" s="78"/>
    </row>
    <row r="98" spans="1:68" x14ac:dyDescent="0.25">
      <c r="A98" s="78" t="s">
        <v>865</v>
      </c>
      <c r="B98" s="78" t="s">
        <v>866</v>
      </c>
      <c r="C98" s="78" t="s">
        <v>691</v>
      </c>
      <c r="D98" s="78" t="s">
        <v>692</v>
      </c>
      <c r="E98" s="78">
        <v>1.75525896442981</v>
      </c>
      <c r="F98" s="78">
        <v>1.7455464955211399</v>
      </c>
      <c r="G98" s="78">
        <v>1.7813747141663201</v>
      </c>
      <c r="H98" s="78">
        <v>1.7840726221921801</v>
      </c>
      <c r="I98" s="78">
        <v>1.78061929991463</v>
      </c>
      <c r="J98" s="78">
        <v>1.7663743455152501</v>
      </c>
      <c r="K98" s="78">
        <v>1.7784609734883201</v>
      </c>
      <c r="L98" s="78">
        <v>1.7870942791892199</v>
      </c>
      <c r="M98" s="78">
        <v>1.8215195856522299</v>
      </c>
      <c r="N98" s="78">
        <v>1.8597219633618201</v>
      </c>
      <c r="O98" s="78">
        <v>1.9033201571274501</v>
      </c>
      <c r="P98" s="78">
        <v>1.8946868514297801</v>
      </c>
      <c r="Q98" s="78">
        <v>1.9047230693031401</v>
      </c>
      <c r="R98" s="78">
        <v>2.16749931144532</v>
      </c>
      <c r="S98" s="78">
        <v>2.5250260836032998</v>
      </c>
      <c r="T98" s="78">
        <v>2.8573004365998198</v>
      </c>
      <c r="U98" s="78">
        <v>3.1637459084037198</v>
      </c>
      <c r="V98" s="78">
        <v>3.5536642939506602</v>
      </c>
      <c r="W98" s="78">
        <v>3.8481911466229901</v>
      </c>
      <c r="X98" s="78">
        <v>4.2847063178291096</v>
      </c>
      <c r="Y98" s="78">
        <v>4.7484762126885602</v>
      </c>
      <c r="Z98" s="78">
        <v>5.2913727246914704</v>
      </c>
      <c r="AA98" s="78">
        <v>5.3076376404489896</v>
      </c>
      <c r="AB98" s="78">
        <v>5.5485342303879497</v>
      </c>
      <c r="AC98" s="78">
        <v>5.7375589268499301</v>
      </c>
      <c r="AD98" s="78">
        <v>6.8097245890598801</v>
      </c>
      <c r="AE98" s="78">
        <v>9.3246322370032804</v>
      </c>
      <c r="AF98" s="78">
        <v>10.4737265547256</v>
      </c>
      <c r="AG98" s="78">
        <v>11.6083143259733</v>
      </c>
      <c r="AH98" s="78">
        <v>12.9301684244396</v>
      </c>
      <c r="AI98" s="78">
        <v>18.260225273094399</v>
      </c>
      <c r="AJ98" s="78">
        <v>24.316488630118499</v>
      </c>
      <c r="AK98" s="78">
        <v>26.7593031379926</v>
      </c>
      <c r="AL98" s="78">
        <v>29.922169861792199</v>
      </c>
      <c r="AM98" s="78">
        <v>33.170317495170401</v>
      </c>
      <c r="AN98" s="78">
        <v>35.960409933802303</v>
      </c>
      <c r="AO98" s="78">
        <v>39.936522444819403</v>
      </c>
      <c r="AP98" s="78">
        <v>43.623822803294999</v>
      </c>
      <c r="AQ98" s="78">
        <v>46.508867182488501</v>
      </c>
      <c r="AR98" s="78">
        <v>48.933658405348602</v>
      </c>
      <c r="AS98" s="78">
        <v>51.858705685426798</v>
      </c>
      <c r="AT98" s="78">
        <v>55.637065466542303</v>
      </c>
      <c r="AU98" s="78">
        <v>60.161822445797803</v>
      </c>
      <c r="AV98" s="78">
        <v>63.532976181538302</v>
      </c>
      <c r="AW98" s="78">
        <v>68.347900592259904</v>
      </c>
      <c r="AX98" s="78">
        <v>74.573471541950596</v>
      </c>
      <c r="AY98" s="78">
        <v>79.466127258514007</v>
      </c>
      <c r="AZ98" s="78">
        <v>84.887002530684001</v>
      </c>
      <c r="BA98" s="78">
        <v>94.526567765357498</v>
      </c>
      <c r="BB98" s="78">
        <v>96.283913594587105</v>
      </c>
      <c r="BC98" s="78">
        <v>100</v>
      </c>
      <c r="BD98" s="78">
        <v>106.21412393067099</v>
      </c>
      <c r="BE98" s="78">
        <v>110.230937685245</v>
      </c>
      <c r="BF98" s="78">
        <v>115.018676610491</v>
      </c>
      <c r="BG98" s="78">
        <v>118.950430995714</v>
      </c>
      <c r="BH98" s="78">
        <v>121.79182412162299</v>
      </c>
      <c r="BI98" s="78">
        <v>127.209662777719</v>
      </c>
      <c r="BJ98" s="78">
        <v>132.83810080477301</v>
      </c>
      <c r="BK98" s="78">
        <v>137.82200285377499</v>
      </c>
      <c r="BL98" s="78">
        <v>142.921394880398</v>
      </c>
      <c r="BM98" s="78">
        <v>147.51551825492501</v>
      </c>
      <c r="BN98" s="78">
        <v>153.80123012521</v>
      </c>
      <c r="BO98" s="78">
        <v>164.39064204394401</v>
      </c>
      <c r="BP98" s="78">
        <v>174.59367205225001</v>
      </c>
    </row>
    <row r="99" spans="1:68" x14ac:dyDescent="0.25">
      <c r="A99" s="78" t="s">
        <v>867</v>
      </c>
      <c r="B99" s="78" t="s">
        <v>868</v>
      </c>
      <c r="C99" s="78" t="s">
        <v>691</v>
      </c>
      <c r="D99" s="78" t="s">
        <v>692</v>
      </c>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78"/>
      <c r="BD99" s="78"/>
      <c r="BE99" s="78"/>
      <c r="BF99" s="78"/>
      <c r="BG99" s="78"/>
      <c r="BH99" s="78"/>
      <c r="BI99" s="78"/>
      <c r="BJ99" s="78"/>
      <c r="BK99" s="78"/>
      <c r="BL99" s="78"/>
      <c r="BM99" s="78"/>
      <c r="BN99" s="78"/>
      <c r="BO99" s="78"/>
      <c r="BP99" s="78"/>
    </row>
    <row r="100" spans="1:68" x14ac:dyDescent="0.25">
      <c r="A100" s="78" t="s">
        <v>869</v>
      </c>
      <c r="B100" s="78" t="s">
        <v>870</v>
      </c>
      <c r="C100" s="78" t="s">
        <v>691</v>
      </c>
      <c r="D100" s="78" t="s">
        <v>692</v>
      </c>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v>37.986799335962601</v>
      </c>
      <c r="AN100" s="78">
        <v>42.625187465406498</v>
      </c>
      <c r="AO100" s="78">
        <v>45.649321743926201</v>
      </c>
      <c r="AP100" s="78">
        <v>47.272461395864603</v>
      </c>
      <c r="AQ100" s="78">
        <v>49.440596843344103</v>
      </c>
      <c r="AR100" s="78">
        <v>53.167537505330102</v>
      </c>
      <c r="AS100" s="78">
        <v>56.436566586471599</v>
      </c>
      <c r="AT100" s="78">
        <v>57.919388353876897</v>
      </c>
      <c r="AU100" s="78">
        <v>61.012871697582398</v>
      </c>
      <c r="AV100" s="78">
        <v>64.662038216806593</v>
      </c>
      <c r="AW100" s="78">
        <v>67.680763630513496</v>
      </c>
      <c r="AX100" s="78">
        <v>72.368024044801899</v>
      </c>
      <c r="AY100" s="78">
        <v>77.200151282350603</v>
      </c>
      <c r="AZ100" s="78">
        <v>86.618688970312206</v>
      </c>
      <c r="BA100" s="78">
        <v>93.636554267165394</v>
      </c>
      <c r="BB100" s="78">
        <v>96.400987161273406</v>
      </c>
      <c r="BC100" s="78">
        <v>100</v>
      </c>
      <c r="BD100" s="78">
        <v>104.97773563707</v>
      </c>
      <c r="BE100" s="78">
        <v>107.48873506171201</v>
      </c>
      <c r="BF100" s="78">
        <v>109.53236659187</v>
      </c>
      <c r="BG100" s="78">
        <v>110.466272954109</v>
      </c>
      <c r="BH100" s="78">
        <v>109.359694377327</v>
      </c>
      <c r="BI100" s="78">
        <v>110.27395023836</v>
      </c>
      <c r="BJ100" s="78">
        <v>112.374289819108</v>
      </c>
      <c r="BK100" s="78">
        <v>113.81587539998699</v>
      </c>
      <c r="BL100" s="78">
        <v>116.191475510903</v>
      </c>
      <c r="BM100" s="78">
        <v>117.345648454536</v>
      </c>
      <c r="BN100" s="78">
        <v>123.251485665774</v>
      </c>
      <c r="BO100" s="78">
        <v>130.78838242016599</v>
      </c>
      <c r="BP100" s="78">
        <v>134.478057859335</v>
      </c>
    </row>
    <row r="101" spans="1:68" x14ac:dyDescent="0.25">
      <c r="A101" s="78" t="s">
        <v>871</v>
      </c>
      <c r="B101" s="78" t="s">
        <v>872</v>
      </c>
      <c r="C101" s="78" t="s">
        <v>691</v>
      </c>
      <c r="D101" s="78" t="s">
        <v>692</v>
      </c>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c r="AY101" s="78"/>
      <c r="AZ101" s="78"/>
      <c r="BA101" s="78"/>
      <c r="BB101" s="78"/>
      <c r="BC101" s="78"/>
      <c r="BD101" s="78"/>
      <c r="BE101" s="78"/>
      <c r="BF101" s="78"/>
      <c r="BG101" s="78"/>
      <c r="BH101" s="78"/>
      <c r="BI101" s="78"/>
      <c r="BJ101" s="78"/>
      <c r="BK101" s="78"/>
      <c r="BL101" s="78"/>
      <c r="BM101" s="78"/>
      <c r="BN101" s="78"/>
      <c r="BO101" s="78"/>
      <c r="BP101" s="78"/>
    </row>
    <row r="102" spans="1:68" x14ac:dyDescent="0.25">
      <c r="A102" s="78" t="s">
        <v>873</v>
      </c>
      <c r="B102" s="78" t="s">
        <v>874</v>
      </c>
      <c r="C102" s="78" t="s">
        <v>691</v>
      </c>
      <c r="D102" s="78" t="s">
        <v>692</v>
      </c>
      <c r="E102" s="78"/>
      <c r="F102" s="78"/>
      <c r="G102" s="78"/>
      <c r="H102" s="78"/>
      <c r="I102" s="78"/>
      <c r="J102" s="78"/>
      <c r="K102" s="78"/>
      <c r="L102" s="78"/>
      <c r="M102" s="78"/>
      <c r="N102" s="78"/>
      <c r="O102" s="78"/>
      <c r="P102" s="78"/>
      <c r="Q102" s="78"/>
      <c r="R102" s="78"/>
      <c r="S102" s="78"/>
      <c r="T102" s="78"/>
      <c r="U102" s="78"/>
      <c r="V102" s="78"/>
      <c r="W102" s="78"/>
      <c r="X102" s="78"/>
      <c r="Y102" s="78"/>
      <c r="Z102" s="78">
        <v>28.989092581034701</v>
      </c>
      <c r="AA102" s="78">
        <v>32.169330585705197</v>
      </c>
      <c r="AB102" s="78">
        <v>35.349568590375704</v>
      </c>
      <c r="AC102" s="78">
        <v>38.407489748712699</v>
      </c>
      <c r="AD102" s="78">
        <v>39.752975058380997</v>
      </c>
      <c r="AE102" s="78">
        <v>41.098460368049203</v>
      </c>
      <c r="AF102" s="78">
        <v>43.4224804483854</v>
      </c>
      <c r="AG102" s="78">
        <v>46.847352145722702</v>
      </c>
      <c r="AH102" s="78">
        <v>51.617709152728402</v>
      </c>
      <c r="AI102" s="78">
        <v>56.999650391401602</v>
      </c>
      <c r="AJ102" s="78">
        <v>63.360126400742502</v>
      </c>
      <c r="AK102" s="78">
        <v>69.475968717416507</v>
      </c>
      <c r="AL102" s="78">
        <v>75.591811034090597</v>
      </c>
      <c r="AM102" s="78">
        <v>82.196920736098406</v>
      </c>
      <c r="AN102" s="78">
        <v>89.658248362440602</v>
      </c>
      <c r="AO102" s="78">
        <v>95.284823293780704</v>
      </c>
      <c r="AP102" s="78">
        <v>100.789081378787</v>
      </c>
      <c r="AQ102" s="78">
        <v>103.72468569079101</v>
      </c>
      <c r="AR102" s="78">
        <v>99.5659129154526</v>
      </c>
      <c r="AS102" s="78">
        <v>95.896407525448197</v>
      </c>
      <c r="AT102" s="78">
        <v>94.306288523112997</v>
      </c>
      <c r="AU102" s="78">
        <v>91.493001057442896</v>
      </c>
      <c r="AV102" s="78">
        <v>89.046664130773195</v>
      </c>
      <c r="AW102" s="78">
        <v>88.8020304381063</v>
      </c>
      <c r="AX102" s="78">
        <v>89.535931516107297</v>
      </c>
      <c r="AY102" s="78">
        <v>91.326875422392405</v>
      </c>
      <c r="AZ102" s="78">
        <v>93.185402117594094</v>
      </c>
      <c r="BA102" s="78">
        <v>97.195314259968498</v>
      </c>
      <c r="BB102" s="78">
        <v>97.758504167605395</v>
      </c>
      <c r="BC102" s="78">
        <v>100</v>
      </c>
      <c r="BD102" s="78">
        <v>105.305248929939</v>
      </c>
      <c r="BE102" s="78">
        <v>109.574228429827</v>
      </c>
      <c r="BF102" s="78">
        <v>114.327551250282</v>
      </c>
      <c r="BG102" s="78">
        <v>119.384996620861</v>
      </c>
      <c r="BH102" s="78">
        <v>122.955620635278</v>
      </c>
      <c r="BI102" s="78">
        <v>125.917999549448</v>
      </c>
      <c r="BJ102" s="78">
        <v>127.799053840955</v>
      </c>
      <c r="BK102" s="78">
        <v>130.87407073665199</v>
      </c>
      <c r="BL102" s="78">
        <v>134.64744311781899</v>
      </c>
      <c r="BM102" s="78">
        <v>134.98535706240199</v>
      </c>
      <c r="BN102" s="78">
        <v>137.10295111511601</v>
      </c>
      <c r="BO102" s="78">
        <v>139.68236089209299</v>
      </c>
      <c r="BP102" s="78">
        <v>142.610948411804</v>
      </c>
    </row>
    <row r="103" spans="1:68" x14ac:dyDescent="0.25">
      <c r="A103" s="78" t="s">
        <v>875</v>
      </c>
      <c r="B103" s="78" t="s">
        <v>876</v>
      </c>
      <c r="C103" s="78" t="s">
        <v>691</v>
      </c>
      <c r="D103" s="78" t="s">
        <v>692</v>
      </c>
      <c r="E103" s="78">
        <v>1.56193028792508</v>
      </c>
      <c r="F103" s="78">
        <v>1.5863431392114</v>
      </c>
      <c r="G103" s="78">
        <v>1.60366838851641</v>
      </c>
      <c r="H103" s="78">
        <v>1.6530847245939</v>
      </c>
      <c r="I103" s="78">
        <v>1.7270123508761499</v>
      </c>
      <c r="J103" s="78">
        <v>1.78203970519646</v>
      </c>
      <c r="K103" s="78">
        <v>1.8138354752214101</v>
      </c>
      <c r="L103" s="78">
        <v>1.85177802912291</v>
      </c>
      <c r="M103" s="78">
        <v>1.88624377529622</v>
      </c>
      <c r="N103" s="78">
        <v>1.9099767671782599</v>
      </c>
      <c r="O103" s="78">
        <v>1.9650010286152899</v>
      </c>
      <c r="P103" s="78">
        <v>2.0086878735489302</v>
      </c>
      <c r="Q103" s="78">
        <v>2.0812473391801598</v>
      </c>
      <c r="R103" s="78">
        <v>2.18933070985852</v>
      </c>
      <c r="S103" s="78">
        <v>2.4706498047269001</v>
      </c>
      <c r="T103" s="78">
        <v>2.6775954473323398</v>
      </c>
      <c r="U103" s="78">
        <v>2.8083536510234701</v>
      </c>
      <c r="V103" s="78">
        <v>3.0452300732017998</v>
      </c>
      <c r="W103" s="78">
        <v>3.2202797840326101</v>
      </c>
      <c r="X103" s="78">
        <v>3.61107219656262</v>
      </c>
      <c r="Y103" s="78">
        <v>4.2632875553911997</v>
      </c>
      <c r="Z103" s="78">
        <v>4.6642792204380497</v>
      </c>
      <c r="AA103" s="78">
        <v>5.0832537781294498</v>
      </c>
      <c r="AB103" s="78">
        <v>5.5027651385611698</v>
      </c>
      <c r="AC103" s="78">
        <v>5.7628460779459001</v>
      </c>
      <c r="AD103" s="78">
        <v>5.9566318759027403</v>
      </c>
      <c r="AE103" s="78">
        <v>6.2159076111541696</v>
      </c>
      <c r="AF103" s="78">
        <v>6.3705068073236504</v>
      </c>
      <c r="AG103" s="78">
        <v>6.6566226807850697</v>
      </c>
      <c r="AH103" s="78">
        <v>7.3123272575826803</v>
      </c>
      <c r="AI103" s="78">
        <v>9.0177496402974295</v>
      </c>
      <c r="AJ103" s="78">
        <v>12.0812830171161</v>
      </c>
      <c r="AK103" s="78">
        <v>13.139589667264699</v>
      </c>
      <c r="AL103" s="78">
        <v>14.551917740579899</v>
      </c>
      <c r="AM103" s="78">
        <v>17.713954424678501</v>
      </c>
      <c r="AN103" s="78">
        <v>22.933287703600602</v>
      </c>
      <c r="AO103" s="78">
        <v>28.4000870569424</v>
      </c>
      <c r="AP103" s="78">
        <v>34.136866800889699</v>
      </c>
      <c r="AQ103" s="78">
        <v>38.8027305372269</v>
      </c>
      <c r="AR103" s="78">
        <v>43.328580519918802</v>
      </c>
      <c r="AS103" s="78">
        <v>48.115537232381399</v>
      </c>
      <c r="AT103" s="78">
        <v>52.770309156935497</v>
      </c>
      <c r="AU103" s="78">
        <v>56.828614912104499</v>
      </c>
      <c r="AV103" s="78">
        <v>61.189737379853199</v>
      </c>
      <c r="AW103" s="78">
        <v>66.154544766517802</v>
      </c>
      <c r="AX103" s="78">
        <v>71.982138802694294</v>
      </c>
      <c r="AY103" s="78">
        <v>75.997124044501604</v>
      </c>
      <c r="AZ103" s="78">
        <v>81.268447740861205</v>
      </c>
      <c r="BA103" s="78">
        <v>90.535835919170495</v>
      </c>
      <c r="BB103" s="78">
        <v>95.511995761749802</v>
      </c>
      <c r="BC103" s="78">
        <v>100</v>
      </c>
      <c r="BD103" s="78">
        <v>106.76227957314801</v>
      </c>
      <c r="BE103" s="78">
        <v>112.30984636343</v>
      </c>
      <c r="BF103" s="78">
        <v>118.10716718383399</v>
      </c>
      <c r="BG103" s="78">
        <v>125.34624990539599</v>
      </c>
      <c r="BH103" s="78">
        <v>129.30447286763001</v>
      </c>
      <c r="BI103" s="78">
        <v>132.82751835313701</v>
      </c>
      <c r="BJ103" s="78">
        <v>138.05343222583801</v>
      </c>
      <c r="BK103" s="78">
        <v>144.05509725270599</v>
      </c>
      <c r="BL103" s="78">
        <v>150.34435782941</v>
      </c>
      <c r="BM103" s="78">
        <v>155.55891924619701</v>
      </c>
      <c r="BN103" s="78">
        <v>162.52932717777901</v>
      </c>
      <c r="BO103" s="78">
        <v>177.302656474684</v>
      </c>
      <c r="BP103" s="78">
        <v>189.11677892984201</v>
      </c>
    </row>
    <row r="104" spans="1:68" x14ac:dyDescent="0.25">
      <c r="A104" s="78" t="s">
        <v>877</v>
      </c>
      <c r="B104" s="78" t="s">
        <v>878</v>
      </c>
      <c r="C104" s="78" t="s">
        <v>691</v>
      </c>
      <c r="D104" s="78" t="s">
        <v>692</v>
      </c>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c r="BF104" s="78"/>
      <c r="BG104" s="78"/>
      <c r="BH104" s="78"/>
      <c r="BI104" s="78"/>
      <c r="BJ104" s="78"/>
      <c r="BK104" s="78"/>
      <c r="BL104" s="78"/>
      <c r="BM104" s="78"/>
      <c r="BN104" s="78"/>
      <c r="BO104" s="78"/>
      <c r="BP104" s="78"/>
    </row>
    <row r="105" spans="1:68" x14ac:dyDescent="0.25">
      <c r="A105" s="78" t="s">
        <v>879</v>
      </c>
      <c r="B105" s="78" t="s">
        <v>880</v>
      </c>
      <c r="C105" s="78" t="s">
        <v>691</v>
      </c>
      <c r="D105" s="78" t="s">
        <v>692</v>
      </c>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v>1.2053999999999999E-4</v>
      </c>
      <c r="AE105" s="78">
        <v>1.8081E-4</v>
      </c>
      <c r="AF105" s="78">
        <v>4.2188987417609598E-4</v>
      </c>
      <c r="AG105" s="78">
        <v>1.2053996405031299E-3</v>
      </c>
      <c r="AH105" s="78">
        <v>1.8080994607546998E-2</v>
      </c>
      <c r="AI105" s="78">
        <v>0.108485967645282</v>
      </c>
      <c r="AJ105" s="78">
        <v>0.24107992810062601</v>
      </c>
      <c r="AK105" s="78">
        <v>1.7478294787295401</v>
      </c>
      <c r="AL105" s="78">
        <v>27.965271659672698</v>
      </c>
      <c r="AM105" s="78">
        <v>57.979722708200498</v>
      </c>
      <c r="AN105" s="78">
        <v>60.269982025156501</v>
      </c>
      <c r="AO105" s="78">
        <v>62.861591252238199</v>
      </c>
      <c r="AP105" s="78">
        <v>65.483335470332506</v>
      </c>
      <c r="AQ105" s="78">
        <v>69.672099221080899</v>
      </c>
      <c r="AR105" s="78">
        <v>72.472317562980805</v>
      </c>
      <c r="AS105" s="78">
        <v>75.814244810307699</v>
      </c>
      <c r="AT105" s="78">
        <v>78.677523264137406</v>
      </c>
      <c r="AU105" s="78">
        <v>79.992841803865403</v>
      </c>
      <c r="AV105" s="78">
        <v>81.4065855404438</v>
      </c>
      <c r="AW105" s="78">
        <v>83.079813886900396</v>
      </c>
      <c r="AX105" s="78">
        <v>85.835719398711504</v>
      </c>
      <c r="AY105" s="78">
        <v>88.573729420186098</v>
      </c>
      <c r="AZ105" s="78">
        <v>91.141732283464506</v>
      </c>
      <c r="BA105" s="78">
        <v>96.680386542591293</v>
      </c>
      <c r="BB105" s="78">
        <v>98.979957050823202</v>
      </c>
      <c r="BC105" s="78">
        <v>100</v>
      </c>
      <c r="BD105" s="78">
        <v>102.272727272727</v>
      </c>
      <c r="BE105" s="78">
        <v>105.762347888332</v>
      </c>
      <c r="BF105" s="78">
        <v>108.106657122405</v>
      </c>
      <c r="BG105" s="78">
        <v>107.874015748031</v>
      </c>
      <c r="BH105" s="78">
        <v>107.372942018611</v>
      </c>
      <c r="BI105" s="78">
        <v>106.164996420902</v>
      </c>
      <c r="BJ105" s="78">
        <v>107.363994273443</v>
      </c>
      <c r="BK105" s="78">
        <v>108.974588403722</v>
      </c>
      <c r="BL105" s="78">
        <v>109.815676449535</v>
      </c>
      <c r="BM105" s="78">
        <v>109.985683607731</v>
      </c>
      <c r="BN105" s="78">
        <v>112.795275590551</v>
      </c>
      <c r="BO105" s="78">
        <v>124.955261274159</v>
      </c>
      <c r="BP105" s="78">
        <v>134.87831066571201</v>
      </c>
    </row>
    <row r="106" spans="1:68" x14ac:dyDescent="0.25">
      <c r="A106" s="78" t="s">
        <v>881</v>
      </c>
      <c r="B106" s="78" t="s">
        <v>882</v>
      </c>
      <c r="C106" s="78" t="s">
        <v>691</v>
      </c>
      <c r="D106" s="78" t="s">
        <v>692</v>
      </c>
      <c r="E106" s="78">
        <v>0.85297117000647205</v>
      </c>
      <c r="F106" s="78">
        <v>0.88521097576799701</v>
      </c>
      <c r="G106" s="78">
        <v>0.88029890235462804</v>
      </c>
      <c r="H106" s="78">
        <v>0.91821180698462501</v>
      </c>
      <c r="I106" s="78">
        <v>1.00233971214801</v>
      </c>
      <c r="J106" s="78">
        <v>1.02503210761638</v>
      </c>
      <c r="K106" s="78">
        <v>1.1101285906345499</v>
      </c>
      <c r="L106" s="78">
        <v>1.0775428642103599</v>
      </c>
      <c r="M106" s="78">
        <v>1.0917256113825899</v>
      </c>
      <c r="N106" s="78">
        <v>1.10715367293697</v>
      </c>
      <c r="O106" s="78">
        <v>1.12230499796053</v>
      </c>
      <c r="P106" s="78">
        <v>1.22981713992109</v>
      </c>
      <c r="Q106" s="78">
        <v>1.2690445430650801</v>
      </c>
      <c r="R106" s="78">
        <v>1.5576115598642699</v>
      </c>
      <c r="S106" s="78">
        <v>1.7904853499743001</v>
      </c>
      <c r="T106" s="78">
        <v>2.0908136693035702</v>
      </c>
      <c r="U106" s="78">
        <v>2.2379683192033402</v>
      </c>
      <c r="V106" s="78">
        <v>2.38325499752328</v>
      </c>
      <c r="W106" s="78">
        <v>2.3195364114608901</v>
      </c>
      <c r="X106" s="78">
        <v>2.62325475328432</v>
      </c>
      <c r="Y106" s="78">
        <v>3.0896249906944302</v>
      </c>
      <c r="Z106" s="78">
        <v>3.4251067709236902</v>
      </c>
      <c r="AA106" s="78">
        <v>3.6771686764093801</v>
      </c>
      <c r="AB106" s="78">
        <v>4.0538454565300102</v>
      </c>
      <c r="AC106" s="78">
        <v>4.3133739557406097</v>
      </c>
      <c r="AD106" s="78">
        <v>4.7726982043546098</v>
      </c>
      <c r="AE106" s="78">
        <v>4.92923920390374</v>
      </c>
      <c r="AF106" s="78">
        <v>4.3648677056035501</v>
      </c>
      <c r="AG106" s="78">
        <v>4.5440659550638198</v>
      </c>
      <c r="AH106" s="78">
        <v>4.8586927666162003</v>
      </c>
      <c r="AI106" s="78">
        <v>5.8924297947527204</v>
      </c>
      <c r="AJ106" s="78">
        <v>6.8010370107661098</v>
      </c>
      <c r="AK106" s="78">
        <v>8.1176153969201206</v>
      </c>
      <c r="AL106" s="78">
        <v>10.529031913737899</v>
      </c>
      <c r="AM106" s="78">
        <v>14.6702706870075</v>
      </c>
      <c r="AN106" s="78">
        <v>18.720466183621699</v>
      </c>
      <c r="AO106" s="78">
        <v>22.573811352332601</v>
      </c>
      <c r="AP106" s="78">
        <v>27.214762885082301</v>
      </c>
      <c r="AQ106" s="78">
        <v>28.648718394688501</v>
      </c>
      <c r="AR106" s="78">
        <v>29.5094388329555</v>
      </c>
      <c r="AS106" s="78">
        <v>32.263620263005699</v>
      </c>
      <c r="AT106" s="78">
        <v>36.560076958808303</v>
      </c>
      <c r="AU106" s="78">
        <v>39.131301128381601</v>
      </c>
      <c r="AV106" s="78">
        <v>50.3618193354665</v>
      </c>
      <c r="AW106" s="78">
        <v>60.953833541081302</v>
      </c>
      <c r="AX106" s="78">
        <v>69.470917777026798</v>
      </c>
      <c r="AY106" s="78">
        <v>77.352542917217306</v>
      </c>
      <c r="AZ106" s="78">
        <v>82.424725308445502</v>
      </c>
      <c r="BA106" s="78">
        <v>95.020685947801098</v>
      </c>
      <c r="BB106" s="78">
        <v>95.394959165026407</v>
      </c>
      <c r="BC106" s="78">
        <v>100</v>
      </c>
      <c r="BD106" s="78">
        <v>106.33279483849</v>
      </c>
      <c r="BE106" s="78">
        <v>111.66861866932599</v>
      </c>
      <c r="BF106" s="78">
        <v>116.989655202756</v>
      </c>
      <c r="BG106" s="78">
        <v>121.011954452908</v>
      </c>
      <c r="BH106" s="78">
        <v>129.158286450508</v>
      </c>
      <c r="BI106" s="78">
        <v>144.015244532932</v>
      </c>
      <c r="BJ106" s="78">
        <v>159.39620042550601</v>
      </c>
      <c r="BK106" s="78">
        <v>179.291095505561</v>
      </c>
      <c r="BL106" s="78">
        <v>212.82531217136199</v>
      </c>
      <c r="BM106" s="78">
        <v>261.34163299588897</v>
      </c>
      <c r="BN106" s="78">
        <v>305.35554689083398</v>
      </c>
      <c r="BO106" s="78">
        <v>409.12736814281902</v>
      </c>
      <c r="BP106" s="78">
        <v>559.74153841217799</v>
      </c>
    </row>
    <row r="107" spans="1:68" x14ac:dyDescent="0.25">
      <c r="A107" s="78" t="s">
        <v>883</v>
      </c>
      <c r="B107" s="78" t="s">
        <v>884</v>
      </c>
      <c r="C107" s="78" t="s">
        <v>691</v>
      </c>
      <c r="D107" s="78" t="s">
        <v>692</v>
      </c>
      <c r="E107" s="78"/>
      <c r="F107" s="78"/>
      <c r="G107" s="78"/>
      <c r="H107" s="78"/>
      <c r="I107" s="78"/>
      <c r="J107" s="78"/>
      <c r="K107" s="78"/>
      <c r="L107" s="78"/>
      <c r="M107" s="78"/>
      <c r="N107" s="78"/>
      <c r="O107" s="78"/>
      <c r="P107" s="78"/>
      <c r="Q107" s="78">
        <v>2.2356448584762001</v>
      </c>
      <c r="R107" s="78">
        <v>2.3113880176089201</v>
      </c>
      <c r="S107" s="78">
        <v>2.3529245887291101</v>
      </c>
      <c r="T107" s="78">
        <v>2.4433277141765801</v>
      </c>
      <c r="U107" s="78">
        <v>2.57107461965643</v>
      </c>
      <c r="V107" s="78">
        <v>2.6715752447960801</v>
      </c>
      <c r="W107" s="78">
        <v>2.7967957901540901</v>
      </c>
      <c r="X107" s="78">
        <v>3.0478477127819499</v>
      </c>
      <c r="Y107" s="78">
        <v>3.3308665063551999</v>
      </c>
      <c r="Z107" s="78">
        <v>3.4861319821367198</v>
      </c>
      <c r="AA107" s="78">
        <v>3.7244371693576102</v>
      </c>
      <c r="AB107" s="78">
        <v>3.9955723119202999</v>
      </c>
      <c r="AC107" s="78">
        <v>4.3339115767777399</v>
      </c>
      <c r="AD107" s="78">
        <v>4.6347866712469896</v>
      </c>
      <c r="AE107" s="78">
        <v>4.8800439024390201</v>
      </c>
      <c r="AF107" s="78">
        <v>5.3033542425283402</v>
      </c>
      <c r="AG107" s="78">
        <v>6.1372297492270702</v>
      </c>
      <c r="AH107" s="78">
        <v>7.1897126073514199</v>
      </c>
      <c r="AI107" s="78">
        <v>9.2294052902782493</v>
      </c>
      <c r="AJ107" s="78">
        <v>12.442857437306801</v>
      </c>
      <c r="AK107" s="78">
        <v>15.386305049811</v>
      </c>
      <c r="AL107" s="78">
        <v>18.842720714531101</v>
      </c>
      <c r="AM107" s="78">
        <v>22.397979388526299</v>
      </c>
      <c r="AN107" s="78">
        <v>28.737832360013702</v>
      </c>
      <c r="AO107" s="78">
        <v>35.482322913088296</v>
      </c>
      <c r="AP107" s="78">
        <v>41.977388526279597</v>
      </c>
      <c r="AQ107" s="78">
        <v>47.918779800755701</v>
      </c>
      <c r="AR107" s="78">
        <v>52.709576777739599</v>
      </c>
      <c r="AS107" s="78">
        <v>57.8770182068018</v>
      </c>
      <c r="AT107" s="78">
        <v>63.153555479216699</v>
      </c>
      <c r="AU107" s="78">
        <v>66.478873239436595</v>
      </c>
      <c r="AV107" s="78">
        <v>69.577464788732399</v>
      </c>
      <c r="AW107" s="78">
        <v>74.270010305736804</v>
      </c>
      <c r="AX107" s="78">
        <v>76.915149433184396</v>
      </c>
      <c r="AY107" s="78">
        <v>79.938165578838806</v>
      </c>
      <c r="AZ107" s="78">
        <v>86.300240467193404</v>
      </c>
      <c r="BA107" s="78">
        <v>91.514943318447195</v>
      </c>
      <c r="BB107" s="78">
        <v>95.369288904156605</v>
      </c>
      <c r="BC107" s="78">
        <v>100</v>
      </c>
      <c r="BD107" s="78">
        <v>103.929920989351</v>
      </c>
      <c r="BE107" s="78">
        <v>109.804190999656</v>
      </c>
      <c r="BF107" s="78">
        <v>111.707317073171</v>
      </c>
      <c r="BG107" s="78">
        <v>111.453108897286</v>
      </c>
      <c r="BH107" s="78">
        <v>111.384403984885</v>
      </c>
      <c r="BI107" s="78">
        <v>111.82411542425299</v>
      </c>
      <c r="BJ107" s="78">
        <v>114.450017176228</v>
      </c>
      <c r="BK107" s="78">
        <v>117.712126417039</v>
      </c>
      <c r="BL107" s="78">
        <v>121.642047406389</v>
      </c>
      <c r="BM107" s="78">
        <v>125.688766746822</v>
      </c>
      <c r="BN107" s="78">
        <v>132.11267605633799</v>
      </c>
      <c r="BO107" s="78">
        <v>151.41188594984499</v>
      </c>
      <c r="BP107" s="78">
        <v>177.34111989007201</v>
      </c>
    </row>
    <row r="108" spans="1:68" x14ac:dyDescent="0.25">
      <c r="A108" s="78" t="s">
        <v>885</v>
      </c>
      <c r="B108" s="78" t="s">
        <v>886</v>
      </c>
      <c r="C108" s="78" t="s">
        <v>691</v>
      </c>
      <c r="D108" s="78" t="s">
        <v>692</v>
      </c>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row>
    <row r="109" spans="1:68" x14ac:dyDescent="0.25">
      <c r="A109" s="78" t="s">
        <v>887</v>
      </c>
      <c r="B109" s="78" t="s">
        <v>888</v>
      </c>
      <c r="C109" s="78" t="s">
        <v>691</v>
      </c>
      <c r="D109" s="78" t="s">
        <v>692</v>
      </c>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row>
    <row r="110" spans="1:68" x14ac:dyDescent="0.25">
      <c r="A110" s="78" t="s">
        <v>889</v>
      </c>
      <c r="B110" s="78" t="s">
        <v>890</v>
      </c>
      <c r="C110" s="78" t="s">
        <v>691</v>
      </c>
      <c r="D110" s="78" t="s">
        <v>692</v>
      </c>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c r="AY110" s="78"/>
      <c r="AZ110" s="78"/>
      <c r="BA110" s="78"/>
      <c r="BB110" s="78"/>
      <c r="BC110" s="78"/>
      <c r="BD110" s="78"/>
      <c r="BE110" s="78"/>
      <c r="BF110" s="78"/>
      <c r="BG110" s="78"/>
      <c r="BH110" s="78"/>
      <c r="BI110" s="78"/>
      <c r="BJ110" s="78"/>
      <c r="BK110" s="78"/>
      <c r="BL110" s="78"/>
      <c r="BM110" s="78"/>
      <c r="BN110" s="78"/>
      <c r="BO110" s="78"/>
      <c r="BP110" s="78"/>
    </row>
    <row r="111" spans="1:68" x14ac:dyDescent="0.25">
      <c r="A111" s="78" t="s">
        <v>891</v>
      </c>
      <c r="B111" s="78" t="s">
        <v>892</v>
      </c>
      <c r="C111" s="78" t="s">
        <v>691</v>
      </c>
      <c r="D111" s="78" t="s">
        <v>692</v>
      </c>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78"/>
      <c r="AY111" s="78"/>
      <c r="AZ111" s="78"/>
      <c r="BA111" s="78"/>
      <c r="BB111" s="78"/>
      <c r="BC111" s="78"/>
      <c r="BD111" s="78"/>
      <c r="BE111" s="78"/>
      <c r="BF111" s="78"/>
      <c r="BG111" s="78"/>
      <c r="BH111" s="78"/>
      <c r="BI111" s="78"/>
      <c r="BJ111" s="78"/>
      <c r="BK111" s="78"/>
      <c r="BL111" s="78"/>
      <c r="BM111" s="78"/>
      <c r="BN111" s="78"/>
      <c r="BO111" s="78"/>
      <c r="BP111" s="78"/>
    </row>
    <row r="112" spans="1:68" x14ac:dyDescent="0.25">
      <c r="A112" s="78" t="s">
        <v>893</v>
      </c>
      <c r="B112" s="78" t="s">
        <v>160</v>
      </c>
      <c r="C112" s="78" t="s">
        <v>691</v>
      </c>
      <c r="D112" s="78" t="s">
        <v>692</v>
      </c>
      <c r="E112" s="78">
        <v>2.77683799891138E-4</v>
      </c>
      <c r="F112" s="78">
        <v>3.1570407567085401E-4</v>
      </c>
      <c r="G112" s="78">
        <v>7.3053244176739501E-4</v>
      </c>
      <c r="H112" s="78">
        <v>1.79645803059157E-3</v>
      </c>
      <c r="I112" s="78">
        <v>3.7545022332469299E-3</v>
      </c>
      <c r="J112" s="78">
        <v>1.52719300605166E-2</v>
      </c>
      <c r="K112" s="78">
        <v>0.18879986338662</v>
      </c>
      <c r="L112" s="78">
        <v>0.38892771857643599</v>
      </c>
      <c r="M112" s="78">
        <v>0.89003402264842202</v>
      </c>
      <c r="N112" s="78">
        <v>1.02781013422518</v>
      </c>
      <c r="O112" s="78">
        <v>1.1552530884750301</v>
      </c>
      <c r="P112" s="78">
        <v>1.20416360391907</v>
      </c>
      <c r="Q112" s="78">
        <v>1.2826961342788501</v>
      </c>
      <c r="R112" s="78">
        <v>1.68086914535085</v>
      </c>
      <c r="S112" s="78">
        <v>2.3614831572312398</v>
      </c>
      <c r="T112" s="78">
        <v>2.8140778670061799</v>
      </c>
      <c r="U112" s="78">
        <v>3.3720716219811702</v>
      </c>
      <c r="V112" s="78">
        <v>3.74475600558161</v>
      </c>
      <c r="W112" s="78">
        <v>4.0485524295253397</v>
      </c>
      <c r="X112" s="78">
        <v>4.7057444618792701</v>
      </c>
      <c r="Y112" s="78">
        <v>5.5544457178890703</v>
      </c>
      <c r="Z112" s="78">
        <v>6.2357489481157504</v>
      </c>
      <c r="AA112" s="78">
        <v>6.82474187294335</v>
      </c>
      <c r="AB112" s="78">
        <v>7.63004370521403</v>
      </c>
      <c r="AC112" s="78">
        <v>8.4277674316187703</v>
      </c>
      <c r="AD112" s="78">
        <v>8.82594035113679</v>
      </c>
      <c r="AE112" s="78">
        <v>9.3398454640263697</v>
      </c>
      <c r="AF112" s="78">
        <v>10.206457607857701</v>
      </c>
      <c r="AG112" s="78">
        <v>11.0276045955446</v>
      </c>
      <c r="AH112" s="78">
        <v>11.7350849391573</v>
      </c>
      <c r="AI112" s="78">
        <v>12.652673697053901</v>
      </c>
      <c r="AJ112" s="78">
        <v>13.844436406208599</v>
      </c>
      <c r="AK112" s="78">
        <v>14.886024956350999</v>
      </c>
      <c r="AL112" s="78">
        <v>16.325785418917501</v>
      </c>
      <c r="AM112" s="78">
        <v>17.718702288647101</v>
      </c>
      <c r="AN112" s="78">
        <v>19.387861313997501</v>
      </c>
      <c r="AO112" s="78">
        <v>20.933709948556501</v>
      </c>
      <c r="AP112" s="78">
        <v>22.237072379178301</v>
      </c>
      <c r="AQ112" s="78">
        <v>35.234873444890503</v>
      </c>
      <c r="AR112" s="78">
        <v>42.450211321687597</v>
      </c>
      <c r="AS112" s="78">
        <v>44.016037949782998</v>
      </c>
      <c r="AT112" s="78">
        <v>49.0779328792702</v>
      </c>
      <c r="AU112" s="78">
        <v>54.918264591051297</v>
      </c>
      <c r="AV112" s="78">
        <v>58.629265926704797</v>
      </c>
      <c r="AW112" s="78">
        <v>62.184579722791597</v>
      </c>
      <c r="AX112" s="78">
        <v>68.684857227476598</v>
      </c>
      <c r="AY112" s="78">
        <v>77.688529942769705</v>
      </c>
      <c r="AZ112" s="78">
        <v>82.665694412249195</v>
      </c>
      <c r="BA112" s="78">
        <v>91.119637675498296</v>
      </c>
      <c r="BB112" s="78">
        <v>95.116523631734296</v>
      </c>
      <c r="BC112" s="78">
        <v>100</v>
      </c>
      <c r="BD112" s="78">
        <v>105.356047789822</v>
      </c>
      <c r="BE112" s="78">
        <v>109.864759851215</v>
      </c>
      <c r="BF112" s="78">
        <v>116.909852190406</v>
      </c>
      <c r="BG112" s="78">
        <v>124.38615003281799</v>
      </c>
      <c r="BH112" s="78">
        <v>132.30099142978801</v>
      </c>
      <c r="BI112" s="78">
        <v>136.96566660822199</v>
      </c>
      <c r="BJ112" s="78">
        <v>142.18241227391701</v>
      </c>
      <c r="BK112" s="78">
        <v>146.72989836052699</v>
      </c>
      <c r="BL112" s="78">
        <v>151.17667507135201</v>
      </c>
      <c r="BM112" s="78">
        <v>154.08073063150599</v>
      </c>
      <c r="BN112" s="78">
        <v>156.48459018832699</v>
      </c>
      <c r="BO112" s="78">
        <v>163.07175241812101</v>
      </c>
      <c r="BP112" s="78">
        <v>169.056700046911</v>
      </c>
    </row>
    <row r="113" spans="1:68" x14ac:dyDescent="0.25">
      <c r="A113" s="78" t="s">
        <v>894</v>
      </c>
      <c r="B113" s="78" t="s">
        <v>895</v>
      </c>
      <c r="C113" s="78" t="s">
        <v>691</v>
      </c>
      <c r="D113" s="78" t="s">
        <v>692</v>
      </c>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row>
    <row r="114" spans="1:68" x14ac:dyDescent="0.25">
      <c r="A114" s="78" t="s">
        <v>896</v>
      </c>
      <c r="B114" s="78" t="s">
        <v>897</v>
      </c>
      <c r="C114" s="78" t="s">
        <v>691</v>
      </c>
      <c r="D114" s="78" t="s">
        <v>692</v>
      </c>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row>
    <row r="115" spans="1:68" x14ac:dyDescent="0.25">
      <c r="A115" s="78" t="s">
        <v>164</v>
      </c>
      <c r="B115" s="78" t="s">
        <v>163</v>
      </c>
      <c r="C115" s="78" t="s">
        <v>691</v>
      </c>
      <c r="D115" s="78" t="s">
        <v>692</v>
      </c>
      <c r="E115" s="78">
        <v>2.5274866887730898</v>
      </c>
      <c r="F115" s="78">
        <v>2.57033297015633</v>
      </c>
      <c r="G115" s="78">
        <v>2.6636929891046899</v>
      </c>
      <c r="H115" s="78">
        <v>2.74216968261487</v>
      </c>
      <c r="I115" s="78">
        <v>3.1083936049265701</v>
      </c>
      <c r="J115" s="78">
        <v>3.40290639507342</v>
      </c>
      <c r="K115" s="78">
        <v>3.7704831833254402</v>
      </c>
      <c r="L115" s="78">
        <v>4.2629913311226897</v>
      </c>
      <c r="M115" s="78">
        <v>4.4010019422074897</v>
      </c>
      <c r="N115" s="78">
        <v>4.3752940786357204</v>
      </c>
      <c r="O115" s="78">
        <v>4.59809549976314</v>
      </c>
      <c r="P115" s="78">
        <v>4.7397140217906202</v>
      </c>
      <c r="Q115" s="78">
        <v>5.04505101847466</v>
      </c>
      <c r="R115" s="78">
        <v>5.8997238275698702</v>
      </c>
      <c r="S115" s="78">
        <v>7.5869701563240204</v>
      </c>
      <c r="T115" s="78">
        <v>8.0231018474656608</v>
      </c>
      <c r="U115" s="78">
        <v>7.4106224538133496</v>
      </c>
      <c r="V115" s="78">
        <v>8.0262576977735698</v>
      </c>
      <c r="W115" s="78">
        <v>8.2287640928469905</v>
      </c>
      <c r="X115" s="78">
        <v>8.7451752723827507</v>
      </c>
      <c r="Y115" s="78">
        <v>9.7374092846992006</v>
      </c>
      <c r="Z115" s="78">
        <v>11.0142316437707</v>
      </c>
      <c r="AA115" s="78">
        <v>11.883336333491201</v>
      </c>
      <c r="AB115" s="78">
        <v>13.293660350544799</v>
      </c>
      <c r="AC115" s="78">
        <v>14.399547607768801</v>
      </c>
      <c r="AD115" s="78">
        <v>15.199647560397899</v>
      </c>
      <c r="AE115" s="78">
        <v>16.5265343439129</v>
      </c>
      <c r="AF115" s="78">
        <v>17.9810554239697</v>
      </c>
      <c r="AG115" s="78">
        <v>19.6683027001421</v>
      </c>
      <c r="AH115" s="78">
        <v>21.059693510184701</v>
      </c>
      <c r="AI115" s="78">
        <v>22.949007579346301</v>
      </c>
      <c r="AJ115" s="78">
        <v>26.132091425864498</v>
      </c>
      <c r="AK115" s="78">
        <v>29.2124945523449</v>
      </c>
      <c r="AL115" s="78">
        <v>31.060737091425899</v>
      </c>
      <c r="AM115" s="78">
        <v>34.243821411653201</v>
      </c>
      <c r="AN115" s="78">
        <v>37.745213169114102</v>
      </c>
      <c r="AO115" s="78">
        <v>41.133658455708201</v>
      </c>
      <c r="AP115" s="78">
        <v>44.080577451444803</v>
      </c>
      <c r="AQ115" s="78">
        <v>49.9128076740881</v>
      </c>
      <c r="AR115" s="78">
        <v>52.243646139270503</v>
      </c>
      <c r="AS115" s="78">
        <v>54.338321648507801</v>
      </c>
      <c r="AT115" s="78">
        <v>56.391926101373798</v>
      </c>
      <c r="AU115" s="78">
        <v>58.815172903837002</v>
      </c>
      <c r="AV115" s="78">
        <v>61.053595452392202</v>
      </c>
      <c r="AW115" s="78">
        <v>63.353638086215099</v>
      </c>
      <c r="AX115" s="78">
        <v>66.043851255329201</v>
      </c>
      <c r="AY115" s="78">
        <v>69.872098531501607</v>
      </c>
      <c r="AZ115" s="78">
        <v>74.324964471814297</v>
      </c>
      <c r="BA115" s="78">
        <v>80.530554239696798</v>
      </c>
      <c r="BB115" s="78">
        <v>89.294173377546201</v>
      </c>
      <c r="BC115" s="78">
        <v>100</v>
      </c>
      <c r="BD115" s="78">
        <v>108.911793364834</v>
      </c>
      <c r="BE115" s="78">
        <v>119.235538897084</v>
      </c>
      <c r="BF115" s="78">
        <v>131.18041028234001</v>
      </c>
      <c r="BG115" s="78">
        <v>139.92444611391599</v>
      </c>
      <c r="BH115" s="78">
        <v>146.790501522574</v>
      </c>
      <c r="BI115" s="78">
        <v>154.05401310539401</v>
      </c>
      <c r="BJ115" s="78">
        <v>159.18119775208999</v>
      </c>
      <c r="BK115" s="78">
        <v>165.45106889950401</v>
      </c>
      <c r="BL115" s="78">
        <v>171.62157600337699</v>
      </c>
      <c r="BM115" s="78">
        <v>182.98882258442501</v>
      </c>
      <c r="BN115" s="78">
        <v>192.37872469901501</v>
      </c>
      <c r="BO115" s="78">
        <v>205.26624114623499</v>
      </c>
      <c r="BP115" s="78">
        <v>216.862025027426</v>
      </c>
    </row>
    <row r="116" spans="1:68" x14ac:dyDescent="0.25">
      <c r="A116" s="78" t="s">
        <v>898</v>
      </c>
      <c r="B116" s="78" t="s">
        <v>899</v>
      </c>
      <c r="C116" s="78" t="s">
        <v>691</v>
      </c>
      <c r="D116" s="78" t="s">
        <v>692</v>
      </c>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row>
    <row r="117" spans="1:68" x14ac:dyDescent="0.25">
      <c r="A117" s="78" t="s">
        <v>900</v>
      </c>
      <c r="B117" s="78" t="s">
        <v>901</v>
      </c>
      <c r="C117" s="78" t="s">
        <v>691</v>
      </c>
      <c r="D117" s="78" t="s">
        <v>692</v>
      </c>
      <c r="E117" s="78">
        <v>5.0731610703017704</v>
      </c>
      <c r="F117" s="78">
        <v>5.21302808847254</v>
      </c>
      <c r="G117" s="78">
        <v>5.4352973809316802</v>
      </c>
      <c r="H117" s="78">
        <v>5.568658956418</v>
      </c>
      <c r="I117" s="78">
        <v>5.9427219119982899</v>
      </c>
      <c r="J117" s="78">
        <v>6.2391522211478501</v>
      </c>
      <c r="K117" s="78">
        <v>6.4297145626734098</v>
      </c>
      <c r="L117" s="78">
        <v>6.6343926333472503</v>
      </c>
      <c r="M117" s="78">
        <v>6.9449386715039303</v>
      </c>
      <c r="N117" s="78">
        <v>7.4601627801932997</v>
      </c>
      <c r="O117" s="78">
        <v>8.0724325258772094</v>
      </c>
      <c r="P117" s="78">
        <v>8.79586363750985</v>
      </c>
      <c r="Q117" s="78">
        <v>9.5528196055696899</v>
      </c>
      <c r="R117" s="78">
        <v>10.643259671317001</v>
      </c>
      <c r="S117" s="78">
        <v>12.4500729842462</v>
      </c>
      <c r="T117" s="78">
        <v>15.049131587682499</v>
      </c>
      <c r="U117" s="78">
        <v>17.7558226248157</v>
      </c>
      <c r="V117" s="78">
        <v>20.147932378344201</v>
      </c>
      <c r="W117" s="78">
        <v>21.701562039182701</v>
      </c>
      <c r="X117" s="78">
        <v>24.586886454602901</v>
      </c>
      <c r="Y117" s="78">
        <v>29.050503475879498</v>
      </c>
      <c r="Z117" s="78">
        <v>34.9691110174847</v>
      </c>
      <c r="AA117" s="78">
        <v>40.965308615967999</v>
      </c>
      <c r="AB117" s="78">
        <v>45.245210659363799</v>
      </c>
      <c r="AC117" s="78">
        <v>49.159423846640003</v>
      </c>
      <c r="AD117" s="78">
        <v>51.811813777122403</v>
      </c>
      <c r="AE117" s="78">
        <v>53.794673477986102</v>
      </c>
      <c r="AF117" s="78">
        <v>55.4942679587108</v>
      </c>
      <c r="AG117" s="78">
        <v>56.678831893827699</v>
      </c>
      <c r="AH117" s="78">
        <v>58.996459869391202</v>
      </c>
      <c r="AI117" s="78">
        <v>60.953566463029297</v>
      </c>
      <c r="AJ117" s="78">
        <v>62.910669896776902</v>
      </c>
      <c r="AK117" s="78">
        <v>64.842026543079896</v>
      </c>
      <c r="AL117" s="78">
        <v>65.794825152728095</v>
      </c>
      <c r="AM117" s="78">
        <v>67.314160522435202</v>
      </c>
      <c r="AN117" s="78">
        <v>69.013751843269404</v>
      </c>
      <c r="AO117" s="78">
        <v>70.225457130819507</v>
      </c>
      <c r="AP117" s="78">
        <v>71.308194649252101</v>
      </c>
      <c r="AQ117" s="78">
        <v>73.025068464293298</v>
      </c>
      <c r="AR117" s="78">
        <v>74.215293869812498</v>
      </c>
      <c r="AS117" s="78">
        <v>78.354750368653896</v>
      </c>
      <c r="AT117" s="78">
        <v>82.157151885401305</v>
      </c>
      <c r="AU117" s="78">
        <v>85.959553402148799</v>
      </c>
      <c r="AV117" s="78">
        <v>88.961449336423001</v>
      </c>
      <c r="AW117" s="78">
        <v>90.899515483463205</v>
      </c>
      <c r="AX117" s="78">
        <v>93.132504739835696</v>
      </c>
      <c r="AY117" s="78">
        <v>96.7979776701074</v>
      </c>
      <c r="AZ117" s="78">
        <v>101.527280387613</v>
      </c>
      <c r="BA117" s="78">
        <v>105.624605013693</v>
      </c>
      <c r="BB117" s="78">
        <v>100.926901200758</v>
      </c>
      <c r="BC117" s="78">
        <v>100</v>
      </c>
      <c r="BD117" s="78">
        <v>102.548978302086</v>
      </c>
      <c r="BE117" s="78">
        <v>104.286918053508</v>
      </c>
      <c r="BF117" s="78">
        <v>104.82409943122001</v>
      </c>
      <c r="BG117" s="78">
        <v>105.02422582683801</v>
      </c>
      <c r="BH117" s="78">
        <v>104.676637876554</v>
      </c>
      <c r="BI117" s="78">
        <v>104.697703812935</v>
      </c>
      <c r="BJ117" s="78">
        <v>105.07689066779</v>
      </c>
      <c r="BK117" s="78">
        <v>105.57194017274099</v>
      </c>
      <c r="BL117" s="78">
        <v>106.562039182642</v>
      </c>
      <c r="BM117" s="78">
        <v>106.21445123235701</v>
      </c>
      <c r="BN117" s="78">
        <v>108.7002317253</v>
      </c>
      <c r="BO117" s="78">
        <v>117.210870023173</v>
      </c>
      <c r="BP117" s="78">
        <v>124.594480724668</v>
      </c>
    </row>
    <row r="118" spans="1:68" x14ac:dyDescent="0.25">
      <c r="A118" s="78" t="s">
        <v>902</v>
      </c>
      <c r="B118" s="78" t="s">
        <v>903</v>
      </c>
      <c r="C118" s="78" t="s">
        <v>691</v>
      </c>
      <c r="D118" s="78" t="s">
        <v>692</v>
      </c>
      <c r="E118" s="78">
        <v>0.14143422224222801</v>
      </c>
      <c r="F118" s="78">
        <v>0.14590717059841901</v>
      </c>
      <c r="G118" s="78">
        <v>0.146959629035467</v>
      </c>
      <c r="H118" s="78">
        <v>0.147506097838809</v>
      </c>
      <c r="I118" s="78">
        <v>0.153132702559275</v>
      </c>
      <c r="J118" s="78">
        <v>0.15643175496768799</v>
      </c>
      <c r="K118" s="78">
        <v>0.15582456740695799</v>
      </c>
      <c r="L118" s="78">
        <v>0.15831403640241201</v>
      </c>
      <c r="M118" s="78">
        <v>0.15940697401051299</v>
      </c>
      <c r="N118" s="78">
        <v>0.165134776658004</v>
      </c>
      <c r="O118" s="78">
        <v>0.16788736026145601</v>
      </c>
      <c r="P118" s="78">
        <v>0.17493073595439701</v>
      </c>
      <c r="Q118" s="78">
        <v>0.18612322663834499</v>
      </c>
      <c r="R118" s="78">
        <v>0.204399572185478</v>
      </c>
      <c r="S118" s="78">
        <v>0.23352433546665899</v>
      </c>
      <c r="T118" s="78">
        <v>0.26360035925766301</v>
      </c>
      <c r="U118" s="78">
        <v>0.29327159134259001</v>
      </c>
      <c r="V118" s="78">
        <v>0.37329891171374002</v>
      </c>
      <c r="W118" s="78">
        <v>0.41705689518414402</v>
      </c>
      <c r="X118" s="78">
        <v>0.46079463906983498</v>
      </c>
      <c r="Y118" s="78">
        <v>0.55592069009144496</v>
      </c>
      <c r="Z118" s="78">
        <v>0.69047345332575205</v>
      </c>
      <c r="AA118" s="78">
        <v>0.81952104935072601</v>
      </c>
      <c r="AB118" s="78">
        <v>0.98129605484495097</v>
      </c>
      <c r="AC118" s="78">
        <v>1.10435273361484</v>
      </c>
      <c r="AD118" s="78">
        <v>1.1528265404657301</v>
      </c>
      <c r="AE118" s="78">
        <v>1.3652809784367499</v>
      </c>
      <c r="AF118" s="78">
        <v>1.7553612579901201</v>
      </c>
      <c r="AG118" s="78">
        <v>2.2586344758067201</v>
      </c>
      <c r="AH118" s="78">
        <v>2.7634314447153399</v>
      </c>
      <c r="AI118" s="78">
        <v>2.9742170124427401</v>
      </c>
      <c r="AJ118" s="78">
        <v>3.4836577942031899</v>
      </c>
      <c r="AK118" s="78">
        <v>4.3827105346299398</v>
      </c>
      <c r="AL118" s="78">
        <v>5.3119604663381903</v>
      </c>
      <c r="AM118" s="78">
        <v>6.9824141840471396</v>
      </c>
      <c r="AN118" s="78">
        <v>10.4496007830059</v>
      </c>
      <c r="AO118" s="78">
        <v>13.4734377099679</v>
      </c>
      <c r="AP118" s="78">
        <v>15.810974835077401</v>
      </c>
      <c r="AQ118" s="78">
        <v>18.635784819502302</v>
      </c>
      <c r="AR118" s="78">
        <v>22.376118739598301</v>
      </c>
      <c r="AS118" s="78">
        <v>25.615453804342</v>
      </c>
      <c r="AT118" s="78">
        <v>28.5034033705372</v>
      </c>
      <c r="AU118" s="78">
        <v>32.589632390766802</v>
      </c>
      <c r="AV118" s="78">
        <v>37.956496841253298</v>
      </c>
      <c r="AW118" s="78">
        <v>43.559448423577003</v>
      </c>
      <c r="AX118" s="78">
        <v>49.4108405341712</v>
      </c>
      <c r="AY118" s="78">
        <v>54.359780047132801</v>
      </c>
      <c r="AZ118" s="78">
        <v>63.786331500392699</v>
      </c>
      <c r="BA118" s="78">
        <v>79.994763026970404</v>
      </c>
      <c r="BB118" s="78">
        <v>90.835297198219394</v>
      </c>
      <c r="BC118" s="78">
        <v>100</v>
      </c>
      <c r="BD118" s="78">
        <v>126.293385673861</v>
      </c>
      <c r="BE118" s="78">
        <v>160.71693729015101</v>
      </c>
      <c r="BF118" s="78">
        <v>219.54421493167999</v>
      </c>
      <c r="BG118" s="78">
        <v>256.00294186030698</v>
      </c>
      <c r="BH118" s="78">
        <v>287.96409393875098</v>
      </c>
      <c r="BI118" s="78">
        <v>308.828317801683</v>
      </c>
      <c r="BJ118" s="78">
        <v>333.67332242236301</v>
      </c>
      <c r="BK118" s="78">
        <v>393.78162958315198</v>
      </c>
      <c r="BL118" s="78">
        <v>550.92942529120603</v>
      </c>
      <c r="BM118" s="78">
        <v>719.48153967007102</v>
      </c>
      <c r="BN118" s="78">
        <v>1031.6575019638601</v>
      </c>
      <c r="BO118" s="78">
        <v>1480.30950510605</v>
      </c>
      <c r="BP118" s="78">
        <v>2140.2194291699402</v>
      </c>
    </row>
    <row r="119" spans="1:68" x14ac:dyDescent="0.25">
      <c r="A119" s="78" t="s">
        <v>904</v>
      </c>
      <c r="B119" s="78" t="s">
        <v>905</v>
      </c>
      <c r="C119" s="78" t="s">
        <v>691</v>
      </c>
      <c r="D119" s="78" t="s">
        <v>692</v>
      </c>
      <c r="E119" s="78">
        <v>59.059850994683799</v>
      </c>
      <c r="F119" s="78">
        <v>59.600993040455698</v>
      </c>
      <c r="G119" s="78">
        <v>60.371253724722301</v>
      </c>
      <c r="H119" s="78">
        <v>62.758911109068201</v>
      </c>
      <c r="I119" s="78">
        <v>62.702342410810601</v>
      </c>
      <c r="J119" s="78">
        <v>62.4166825363423</v>
      </c>
      <c r="K119" s="78">
        <v>63.654541991842798</v>
      </c>
      <c r="L119" s="78">
        <v>65.7493810701136</v>
      </c>
      <c r="M119" s="78">
        <v>67.193550434203004</v>
      </c>
      <c r="N119" s="78">
        <v>71.049958737700706</v>
      </c>
      <c r="O119" s="78">
        <v>74.144607376055305</v>
      </c>
      <c r="P119" s="78">
        <v>76.810766202786795</v>
      </c>
      <c r="Q119" s="78">
        <v>80.794134450104707</v>
      </c>
      <c r="R119" s="78">
        <v>84.745762711652503</v>
      </c>
      <c r="S119" s="78">
        <v>91.271186440254198</v>
      </c>
      <c r="T119" s="78">
        <v>99.957627117796605</v>
      </c>
      <c r="U119" s="78">
        <v>112.77542372839</v>
      </c>
      <c r="V119" s="78">
        <v>123.114406779237</v>
      </c>
      <c r="W119" s="78">
        <v>128.79237288072</v>
      </c>
      <c r="X119" s="78"/>
      <c r="Y119" s="78"/>
      <c r="Z119" s="78"/>
      <c r="AA119" s="78"/>
      <c r="AB119" s="78"/>
      <c r="AC119" s="78"/>
      <c r="AD119" s="78"/>
      <c r="AE119" s="78"/>
      <c r="AF119" s="78"/>
      <c r="AG119" s="78"/>
      <c r="AH119" s="78"/>
      <c r="AI119" s="78">
        <v>3.0567551136507699E-2</v>
      </c>
      <c r="AJ119" s="78">
        <v>8.5880262716854894E-2</v>
      </c>
      <c r="AK119" s="78">
        <v>0.15768974792642801</v>
      </c>
      <c r="AL119" s="78">
        <v>0.48519922438901097</v>
      </c>
      <c r="AM119" s="78">
        <v>2.66131774577372</v>
      </c>
      <c r="AN119" s="78">
        <v>12.9688900686939</v>
      </c>
      <c r="AO119" s="78">
        <v>10.878651810026</v>
      </c>
      <c r="AP119" s="78">
        <v>13.387616999341599</v>
      </c>
      <c r="AQ119" s="78">
        <v>15.3648038387268</v>
      </c>
      <c r="AR119" s="78">
        <v>17.297352349468198</v>
      </c>
      <c r="AS119" s="78">
        <v>18.158580972758699</v>
      </c>
      <c r="AT119" s="78">
        <v>21.131881819814598</v>
      </c>
      <c r="AU119" s="78">
        <v>25.213862894599298</v>
      </c>
      <c r="AV119" s="78">
        <v>33.689808145451003</v>
      </c>
      <c r="AW119" s="78">
        <v>42.773222825237603</v>
      </c>
      <c r="AX119" s="78">
        <v>58.581983954280403</v>
      </c>
      <c r="AY119" s="78">
        <v>89.765738105762097</v>
      </c>
      <c r="AZ119" s="78">
        <v>80.728579085367002</v>
      </c>
      <c r="BA119" s="78">
        <v>90.951120244213001</v>
      </c>
      <c r="BB119" s="78">
        <v>97.202750517390697</v>
      </c>
      <c r="BC119" s="78">
        <v>100</v>
      </c>
      <c r="BD119" s="78">
        <v>105.80145537085301</v>
      </c>
      <c r="BE119" s="78">
        <v>112.243807997863</v>
      </c>
      <c r="BF119" s="78">
        <v>114.353428132719</v>
      </c>
      <c r="BG119" s="78">
        <v>116.910341144268</v>
      </c>
      <c r="BH119" s="78">
        <v>118.539288337005</v>
      </c>
      <c r="BI119" s="78">
        <v>119.198984840636</v>
      </c>
      <c r="BJ119" s="78">
        <v>119.41838117957199</v>
      </c>
      <c r="BK119" s="78">
        <v>119.85717385744201</v>
      </c>
      <c r="BL119" s="78">
        <v>119.618699575991</v>
      </c>
      <c r="BM119" s="78">
        <v>120.30550550657</v>
      </c>
      <c r="BN119" s="78">
        <v>127.57420160520699</v>
      </c>
      <c r="BO119" s="78">
        <v>133.94623440558701</v>
      </c>
      <c r="BP119" s="78"/>
    </row>
    <row r="120" spans="1:68" x14ac:dyDescent="0.25">
      <c r="A120" s="78" t="s">
        <v>906</v>
      </c>
      <c r="B120" s="78" t="s">
        <v>907</v>
      </c>
      <c r="C120" s="78" t="s">
        <v>691</v>
      </c>
      <c r="D120" s="78" t="s">
        <v>692</v>
      </c>
      <c r="E120" s="78">
        <v>4.1528890897952198E-2</v>
      </c>
      <c r="F120" s="78">
        <v>4.3485572349502101E-2</v>
      </c>
      <c r="G120" s="78">
        <v>4.8276070171156198E-2</v>
      </c>
      <c r="H120" s="78">
        <v>5.4517211662871497E-2</v>
      </c>
      <c r="I120" s="78">
        <v>6.5009078681452503E-2</v>
      </c>
      <c r="J120" s="78">
        <v>6.9765838102969199E-2</v>
      </c>
      <c r="K120" s="78">
        <v>7.7221464180878399E-2</v>
      </c>
      <c r="L120" s="78">
        <v>7.9785385658203298E-2</v>
      </c>
      <c r="M120" s="78">
        <v>9.1938134757056103E-2</v>
      </c>
      <c r="N120" s="78">
        <v>0.11194690216757899</v>
      </c>
      <c r="O120" s="78">
        <v>0.12691697384022099</v>
      </c>
      <c r="P120" s="78">
        <v>0.13546086527617601</v>
      </c>
      <c r="Q120" s="78">
        <v>0.14875136954350299</v>
      </c>
      <c r="R120" s="78">
        <v>0.18051712174735701</v>
      </c>
      <c r="S120" s="78">
        <v>0.25726610969576202</v>
      </c>
      <c r="T120" s="78">
        <v>0.38425610426261098</v>
      </c>
      <c r="U120" s="78">
        <v>0.50735297080408304</v>
      </c>
      <c r="V120" s="78">
        <v>0.66116585830157004</v>
      </c>
      <c r="W120" s="78">
        <v>0.95042590997189602</v>
      </c>
      <c r="X120" s="78">
        <v>1.3728375334826799</v>
      </c>
      <c r="Y120" s="78">
        <v>2.1763377345941399</v>
      </c>
      <c r="Z120" s="78">
        <v>3.30353359552646</v>
      </c>
      <c r="AA120" s="78">
        <v>4.9633354587858198</v>
      </c>
      <c r="AB120" s="78">
        <v>9.1300578691849807</v>
      </c>
      <c r="AC120" s="78">
        <v>11.946899576354101</v>
      </c>
      <c r="AD120" s="78">
        <v>15.769265775686801</v>
      </c>
      <c r="AE120" s="78">
        <v>19.258752170879902</v>
      </c>
      <c r="AF120" s="78">
        <v>22.782674005793901</v>
      </c>
      <c r="AG120" s="78">
        <v>28.643632877024999</v>
      </c>
      <c r="AH120" s="78">
        <v>34.589534054302902</v>
      </c>
      <c r="AI120" s="78">
        <v>39.9546205205733</v>
      </c>
      <c r="AJ120" s="78">
        <v>42.675042283937003</v>
      </c>
      <c r="AK120" s="78">
        <v>44.359729950281498</v>
      </c>
      <c r="AL120" s="78">
        <v>46.1531285837859</v>
      </c>
      <c r="AM120" s="78">
        <v>46.869728030831403</v>
      </c>
      <c r="AN120" s="78">
        <v>47.643655744587598</v>
      </c>
      <c r="AO120" s="78">
        <v>48.7206019830776</v>
      </c>
      <c r="AP120" s="78">
        <v>49.605090798798898</v>
      </c>
      <c r="AQ120" s="78">
        <v>50.428159155384897</v>
      </c>
      <c r="AR120" s="78">
        <v>52.057912847119702</v>
      </c>
      <c r="AS120" s="78">
        <v>54.731852564726701</v>
      </c>
      <c r="AT120" s="78">
        <v>58.237474519348801</v>
      </c>
      <c r="AU120" s="78">
        <v>61.264089058337703</v>
      </c>
      <c r="AV120" s="78">
        <v>62.523472451680597</v>
      </c>
      <c r="AW120" s="78">
        <v>64.498084533929003</v>
      </c>
      <c r="AX120" s="78">
        <v>67.069654012483099</v>
      </c>
      <c r="AY120" s="78">
        <v>71.554654802482901</v>
      </c>
      <c r="AZ120" s="78">
        <v>75.169279237101804</v>
      </c>
      <c r="BA120" s="78">
        <v>84.711563919080504</v>
      </c>
      <c r="BB120" s="78">
        <v>94.879602931012599</v>
      </c>
      <c r="BC120" s="78">
        <v>100</v>
      </c>
      <c r="BD120" s="78">
        <v>104.001026643431</v>
      </c>
      <c r="BE120" s="78">
        <v>109.39441576713899</v>
      </c>
      <c r="BF120" s="78">
        <v>113.630473015855</v>
      </c>
      <c r="BG120" s="78">
        <v>115.953778501939</v>
      </c>
      <c r="BH120" s="78">
        <v>117.847368154088</v>
      </c>
      <c r="BI120" s="78">
        <v>119.847152693711</v>
      </c>
      <c r="BJ120" s="78">
        <v>121.956960656067</v>
      </c>
      <c r="BK120" s="78">
        <v>125.22896551876001</v>
      </c>
      <c r="BL120" s="78">
        <v>129.00333121435901</v>
      </c>
      <c r="BM120" s="78">
        <v>132.67724806440299</v>
      </c>
      <c r="BN120" s="78">
        <v>138.57374299826699</v>
      </c>
      <c r="BO120" s="78">
        <v>150.08749595849801</v>
      </c>
      <c r="BP120" s="78">
        <v>163.19959436960499</v>
      </c>
    </row>
    <row r="121" spans="1:68" x14ac:dyDescent="0.25">
      <c r="A121" s="78" t="s">
        <v>908</v>
      </c>
      <c r="B121" s="78" t="s">
        <v>909</v>
      </c>
      <c r="C121" s="78" t="s">
        <v>691</v>
      </c>
      <c r="D121" s="78" t="s">
        <v>692</v>
      </c>
      <c r="E121" s="78">
        <v>8.8686688142157303E-4</v>
      </c>
      <c r="F121" s="78">
        <v>9.4708357650222902E-4</v>
      </c>
      <c r="G121" s="78">
        <v>1.0361870373682301E-3</v>
      </c>
      <c r="H121" s="78">
        <v>1.10437992965203E-3</v>
      </c>
      <c r="I121" s="78">
        <v>1.16150674713782E-3</v>
      </c>
      <c r="J121" s="78">
        <v>1.25103955809343E-3</v>
      </c>
      <c r="K121" s="78">
        <v>1.35025159317713E-3</v>
      </c>
      <c r="L121" s="78">
        <v>1.3732881432519199E-3</v>
      </c>
      <c r="M121" s="78">
        <v>1.4018418505015999E-3</v>
      </c>
      <c r="N121" s="78">
        <v>1.4362998837727399E-3</v>
      </c>
      <c r="O121" s="78">
        <v>1.5240684645332801E-3</v>
      </c>
      <c r="P121" s="78">
        <v>1.7065386003228601E-3</v>
      </c>
      <c r="Q121" s="78">
        <v>1.92636587218688E-3</v>
      </c>
      <c r="R121" s="78">
        <v>2.3122627480771001E-3</v>
      </c>
      <c r="S121" s="78">
        <v>3.22976792327414E-3</v>
      </c>
      <c r="T121" s="78">
        <v>4.4992841135694604E-3</v>
      </c>
      <c r="U121" s="78">
        <v>5.9080489032380598E-3</v>
      </c>
      <c r="V121" s="78">
        <v>7.9532213465008002E-3</v>
      </c>
      <c r="W121" s="78">
        <v>1.19736482765169E-2</v>
      </c>
      <c r="X121" s="78">
        <v>2.13502165036559E-2</v>
      </c>
      <c r="Y121" s="78">
        <v>4.9324336720159498E-2</v>
      </c>
      <c r="Z121" s="78">
        <v>0.106935178995347</v>
      </c>
      <c r="AA121" s="78">
        <v>0.23564701357895701</v>
      </c>
      <c r="AB121" s="78">
        <v>0.579577457031621</v>
      </c>
      <c r="AC121" s="78">
        <v>2.74265124869433</v>
      </c>
      <c r="AD121" s="78">
        <v>11.2429968663944</v>
      </c>
      <c r="AE121" s="78">
        <v>16.6271009400817</v>
      </c>
      <c r="AF121" s="78">
        <v>19.798689583135499</v>
      </c>
      <c r="AG121" s="78">
        <v>23.046244421232501</v>
      </c>
      <c r="AH121" s="78">
        <v>27.737156965150501</v>
      </c>
      <c r="AI121" s="78">
        <v>32.504035704111701</v>
      </c>
      <c r="AJ121" s="78">
        <v>38.723767923274103</v>
      </c>
      <c r="AK121" s="78">
        <v>43.376697369670502</v>
      </c>
      <c r="AL121" s="78">
        <v>48.1150887854904</v>
      </c>
      <c r="AM121" s="78">
        <v>54.021460450099703</v>
      </c>
      <c r="AN121" s="78">
        <v>59.386572975026098</v>
      </c>
      <c r="AO121" s="78">
        <v>66.166555882632196</v>
      </c>
      <c r="AP121" s="78">
        <v>72.101414870382598</v>
      </c>
      <c r="AQ121" s="78">
        <v>76.061152787009704</v>
      </c>
      <c r="AR121" s="78">
        <v>80.001899154876</v>
      </c>
      <c r="AS121" s="78">
        <v>80.8280315259709</v>
      </c>
      <c r="AT121" s="78">
        <v>81.7586174152502</v>
      </c>
      <c r="AU121" s="78">
        <v>86.478017282309295</v>
      </c>
      <c r="AV121" s="78">
        <v>87.085746842654999</v>
      </c>
      <c r="AW121" s="78">
        <v>86.753394739340905</v>
      </c>
      <c r="AX121" s="78">
        <v>87.892887664989004</v>
      </c>
      <c r="AY121" s="78">
        <v>89.706580571645603</v>
      </c>
      <c r="AZ121" s="78">
        <v>90.114898870002804</v>
      </c>
      <c r="BA121" s="78">
        <v>94.217073402335899</v>
      </c>
      <c r="BB121" s="78">
        <v>97.379166271009296</v>
      </c>
      <c r="BC121" s="78">
        <v>100</v>
      </c>
      <c r="BD121" s="78">
        <v>103.48494919760699</v>
      </c>
      <c r="BE121" s="78">
        <v>105.22267590922</v>
      </c>
      <c r="BF121" s="78">
        <v>106.87494065141</v>
      </c>
      <c r="BG121" s="78">
        <v>107.387712467952</v>
      </c>
      <c r="BH121" s="78">
        <v>106.741999810084</v>
      </c>
      <c r="BI121" s="78">
        <v>106.1532617985</v>
      </c>
      <c r="BJ121" s="78">
        <v>106.428639255531</v>
      </c>
      <c r="BK121" s="78">
        <v>107.273763175387</v>
      </c>
      <c r="BL121" s="78">
        <v>108.185357515905</v>
      </c>
      <c r="BM121" s="78">
        <v>107.52065330927699</v>
      </c>
      <c r="BN121" s="78">
        <v>109.144430728326</v>
      </c>
      <c r="BO121" s="78">
        <v>113.93979679042801</v>
      </c>
      <c r="BP121" s="78">
        <v>118.754154401291</v>
      </c>
    </row>
    <row r="122" spans="1:68" x14ac:dyDescent="0.25">
      <c r="A122" s="78" t="s">
        <v>910</v>
      </c>
      <c r="B122" s="78" t="s">
        <v>911</v>
      </c>
      <c r="C122" s="78" t="s">
        <v>691</v>
      </c>
      <c r="D122" s="78" t="s">
        <v>692</v>
      </c>
      <c r="E122" s="78">
        <v>4.1478356168674999</v>
      </c>
      <c r="F122" s="78">
        <v>4.2328951704014202</v>
      </c>
      <c r="G122" s="78">
        <v>4.4314663615958496</v>
      </c>
      <c r="H122" s="78">
        <v>4.76181969210581</v>
      </c>
      <c r="I122" s="78">
        <v>5.04335383070425</v>
      </c>
      <c r="J122" s="78">
        <v>5.2712765220070503</v>
      </c>
      <c r="K122" s="78">
        <v>5.3949717135600297</v>
      </c>
      <c r="L122" s="78">
        <v>5.5963842599353599</v>
      </c>
      <c r="M122" s="78">
        <v>5.6678676234235104</v>
      </c>
      <c r="N122" s="78">
        <v>5.81847719079905</v>
      </c>
      <c r="O122" s="78">
        <v>6.1075577493925604</v>
      </c>
      <c r="P122" s="78">
        <v>6.4002114187619998</v>
      </c>
      <c r="Q122" s="78">
        <v>6.7681918262792502</v>
      </c>
      <c r="R122" s="78">
        <v>7.4990629702034903</v>
      </c>
      <c r="S122" s="78">
        <v>8.9358661563637707</v>
      </c>
      <c r="T122" s="78">
        <v>10.450540378566799</v>
      </c>
      <c r="U122" s="78">
        <v>12.1868105543459</v>
      </c>
      <c r="V122" s="78">
        <v>14.274417147842</v>
      </c>
      <c r="W122" s="78">
        <v>16.000767133639201</v>
      </c>
      <c r="X122" s="78">
        <v>18.368652429058901</v>
      </c>
      <c r="Y122" s="78">
        <v>22.237856286946801</v>
      </c>
      <c r="Z122" s="78">
        <v>26.233843119181401</v>
      </c>
      <c r="AA122" s="78">
        <v>30.557289236041001</v>
      </c>
      <c r="AB122" s="78">
        <v>35.032886033761599</v>
      </c>
      <c r="AC122" s="78">
        <v>38.814509518051501</v>
      </c>
      <c r="AD122" s="78">
        <v>42.387769942743802</v>
      </c>
      <c r="AE122" s="78">
        <v>44.856241613116197</v>
      </c>
      <c r="AF122" s="78">
        <v>46.985695199671703</v>
      </c>
      <c r="AG122" s="78">
        <v>49.362347941505497</v>
      </c>
      <c r="AH122" s="78">
        <v>52.452347687640199</v>
      </c>
      <c r="AI122" s="78">
        <v>55.838990721390999</v>
      </c>
      <c r="AJ122" s="78">
        <v>59.328927249434003</v>
      </c>
      <c r="AK122" s="78">
        <v>62.455911747801999</v>
      </c>
      <c r="AL122" s="78">
        <v>65.345581078416899</v>
      </c>
      <c r="AM122" s="78">
        <v>67.993280895747702</v>
      </c>
      <c r="AN122" s="78">
        <v>71.553016476947704</v>
      </c>
      <c r="AO122" s="78">
        <v>74.420129168035203</v>
      </c>
      <c r="AP122" s="78">
        <v>75.940612629977906</v>
      </c>
      <c r="AQ122" s="78">
        <v>77.425316594739201</v>
      </c>
      <c r="AR122" s="78">
        <v>78.713255727513101</v>
      </c>
      <c r="AS122" s="78">
        <v>80.710750463752106</v>
      </c>
      <c r="AT122" s="78">
        <v>82.958678381650202</v>
      </c>
      <c r="AU122" s="78">
        <v>85.003877919330506</v>
      </c>
      <c r="AV122" s="78">
        <v>87.275653757447103</v>
      </c>
      <c r="AW122" s="78">
        <v>89.201597564227001</v>
      </c>
      <c r="AX122" s="78">
        <v>90.972510623427198</v>
      </c>
      <c r="AY122" s="78">
        <v>92.874603821687202</v>
      </c>
      <c r="AZ122" s="78">
        <v>94.5739686397295</v>
      </c>
      <c r="BA122" s="78">
        <v>97.740146777842</v>
      </c>
      <c r="BB122" s="78">
        <v>98.497406286648001</v>
      </c>
      <c r="BC122" s="78">
        <v>100</v>
      </c>
      <c r="BD122" s="78">
        <v>102.78063272879299</v>
      </c>
      <c r="BE122" s="78">
        <v>105.90656520528</v>
      </c>
      <c r="BF122" s="78">
        <v>107.198618335037</v>
      </c>
      <c r="BG122" s="78">
        <v>107.457017849343</v>
      </c>
      <c r="BH122" s="78">
        <v>107.49870085602799</v>
      </c>
      <c r="BI122" s="78">
        <v>107.39763417125501</v>
      </c>
      <c r="BJ122" s="78">
        <v>108.714901774357</v>
      </c>
      <c r="BK122" s="78">
        <v>109.951520340534</v>
      </c>
      <c r="BL122" s="78">
        <v>110.623595648239</v>
      </c>
      <c r="BM122" s="78">
        <v>110.471258578492</v>
      </c>
      <c r="BN122" s="78">
        <v>112.541250526224</v>
      </c>
      <c r="BO122" s="78">
        <v>121.771084752039</v>
      </c>
      <c r="BP122" s="78">
        <v>128.617291886527</v>
      </c>
    </row>
    <row r="123" spans="1:68" x14ac:dyDescent="0.25">
      <c r="A123" s="78" t="s">
        <v>912</v>
      </c>
      <c r="B123" s="78" t="s">
        <v>913</v>
      </c>
      <c r="C123" s="78" t="s">
        <v>691</v>
      </c>
      <c r="D123" s="78" t="s">
        <v>692</v>
      </c>
      <c r="E123" s="78">
        <v>0.113116859650763</v>
      </c>
      <c r="F123" s="78">
        <v>0.120693936542745</v>
      </c>
      <c r="G123" s="78">
        <v>0.12239271178899</v>
      </c>
      <c r="H123" s="78">
        <v>0.124549886704857</v>
      </c>
      <c r="I123" s="78">
        <v>0.12705760254455201</v>
      </c>
      <c r="J123" s="78">
        <v>0.130401223664145</v>
      </c>
      <c r="K123" s="78">
        <v>0.132881974817392</v>
      </c>
      <c r="L123" s="78">
        <v>0.13689971309819399</v>
      </c>
      <c r="M123" s="78">
        <v>0.14501608371914301</v>
      </c>
      <c r="N123" s="78">
        <v>0.154157112425128</v>
      </c>
      <c r="O123" s="78">
        <v>0.176861378411929</v>
      </c>
      <c r="P123" s="78">
        <v>0.186299018669116</v>
      </c>
      <c r="Q123" s="78">
        <v>0.19641077608751101</v>
      </c>
      <c r="R123" s="78">
        <v>0.231141292232696</v>
      </c>
      <c r="S123" s="78">
        <v>0.29391508228603602</v>
      </c>
      <c r="T123" s="78">
        <v>0.34498619841783401</v>
      </c>
      <c r="U123" s="78">
        <v>0.37877295053867599</v>
      </c>
      <c r="V123" s="78">
        <v>0.42116143763410802</v>
      </c>
      <c r="W123" s="78">
        <v>0.56814594346425096</v>
      </c>
      <c r="X123" s="78">
        <v>0.73335857733346399</v>
      </c>
      <c r="Y123" s="78">
        <v>0.93362530358551299</v>
      </c>
      <c r="Z123" s="78">
        <v>1.05256653550804</v>
      </c>
      <c r="AA123" s="78">
        <v>1.1214613093832699</v>
      </c>
      <c r="AB123" s="78">
        <v>1.2513502040048901</v>
      </c>
      <c r="AC123" s="78">
        <v>1.5994103766810699</v>
      </c>
      <c r="AD123" s="78">
        <v>2.0100286219162999</v>
      </c>
      <c r="AE123" s="78">
        <v>2.3136509913259</v>
      </c>
      <c r="AF123" s="78">
        <v>2.4675654215735299</v>
      </c>
      <c r="AG123" s="78">
        <v>2.67155327455519</v>
      </c>
      <c r="AH123" s="78">
        <v>3.05437454381615</v>
      </c>
      <c r="AI123" s="78">
        <v>3.72512054235222</v>
      </c>
      <c r="AJ123" s="78">
        <v>5.6275804951132997</v>
      </c>
      <c r="AK123" s="78">
        <v>9.9775084836903094</v>
      </c>
      <c r="AL123" s="78">
        <v>12.1795395592702</v>
      </c>
      <c r="AM123" s="78">
        <v>16.4500995325864</v>
      </c>
      <c r="AN123" s="78">
        <v>19.725108531869601</v>
      </c>
      <c r="AO123" s="78">
        <v>24.933850207318201</v>
      </c>
      <c r="AP123" s="78">
        <v>27.341849909458301</v>
      </c>
      <c r="AQ123" s="78">
        <v>29.701969993696402</v>
      </c>
      <c r="AR123" s="78">
        <v>31.470496420704698</v>
      </c>
      <c r="AS123" s="78">
        <v>34.041976980365597</v>
      </c>
      <c r="AT123" s="78">
        <v>36.357481381178097</v>
      </c>
      <c r="AU123" s="78">
        <v>38.930264048747503</v>
      </c>
      <c r="AV123" s="78">
        <v>42.857142857142797</v>
      </c>
      <c r="AW123" s="78">
        <v>48.6662153012864</v>
      </c>
      <c r="AX123" s="78">
        <v>55.991875423155101</v>
      </c>
      <c r="AY123" s="78">
        <v>60.785375761678999</v>
      </c>
      <c r="AZ123" s="78">
        <v>66.404874746106898</v>
      </c>
      <c r="BA123" s="78">
        <v>81.029113067027694</v>
      </c>
      <c r="BB123" s="78">
        <v>88.801624915368905</v>
      </c>
      <c r="BC123" s="78">
        <v>100</v>
      </c>
      <c r="BD123" s="78">
        <v>107.555856465809</v>
      </c>
      <c r="BE123" s="78">
        <v>114.949221394719</v>
      </c>
      <c r="BF123" s="78">
        <v>125.687203791469</v>
      </c>
      <c r="BG123" s="78">
        <v>136.08666215301301</v>
      </c>
      <c r="BH123" s="78">
        <v>141.110358835477</v>
      </c>
      <c r="BI123" s="78">
        <v>144.42789438050099</v>
      </c>
      <c r="BJ123" s="78">
        <v>150.75152335815801</v>
      </c>
      <c r="BK123" s="78">
        <v>156.38456330399501</v>
      </c>
      <c r="BL123" s="78">
        <v>162.49153689912001</v>
      </c>
      <c r="BM123" s="78">
        <v>170.98460846516201</v>
      </c>
      <c r="BN123" s="78">
        <v>181.00906404486</v>
      </c>
      <c r="BO123" s="78">
        <v>199.742721733243</v>
      </c>
      <c r="BP123" s="78">
        <v>212.67433987813101</v>
      </c>
    </row>
    <row r="124" spans="1:68" x14ac:dyDescent="0.25">
      <c r="A124" s="78" t="s">
        <v>914</v>
      </c>
      <c r="B124" s="78" t="s">
        <v>915</v>
      </c>
      <c r="C124" s="78" t="s">
        <v>691</v>
      </c>
      <c r="D124" s="78" t="s">
        <v>692</v>
      </c>
      <c r="E124" s="78"/>
      <c r="F124" s="78"/>
      <c r="G124" s="78"/>
      <c r="H124" s="78"/>
      <c r="I124" s="78"/>
      <c r="J124" s="78"/>
      <c r="K124" s="78"/>
      <c r="L124" s="78"/>
      <c r="M124" s="78"/>
      <c r="N124" s="78">
        <v>7.6639022731121402</v>
      </c>
      <c r="O124" s="78">
        <v>8.1160725071491093</v>
      </c>
      <c r="P124" s="78">
        <v>8.5069315231544707</v>
      </c>
      <c r="Q124" s="78">
        <v>9.1583632163690005</v>
      </c>
      <c r="R124" s="78">
        <v>10.1776622186163</v>
      </c>
      <c r="S124" s="78">
        <v>12.1549490050792</v>
      </c>
      <c r="T124" s="78">
        <v>13.611090436970599</v>
      </c>
      <c r="U124" s="78">
        <v>15.1763658372221</v>
      </c>
      <c r="V124" s="78">
        <v>17.387033775625401</v>
      </c>
      <c r="W124" s="78">
        <v>18.590481021760802</v>
      </c>
      <c r="X124" s="78">
        <v>21.2389723692426</v>
      </c>
      <c r="Y124" s="78">
        <v>23.598858188047402</v>
      </c>
      <c r="Z124" s="78">
        <v>25.415970268527001</v>
      </c>
      <c r="AA124" s="78">
        <v>27.303878923570799</v>
      </c>
      <c r="AB124" s="78">
        <v>28.674579269855599</v>
      </c>
      <c r="AC124" s="78">
        <v>29.777825890107302</v>
      </c>
      <c r="AD124" s="78">
        <v>30.666716215269101</v>
      </c>
      <c r="AE124" s="78">
        <v>30.666716215269101</v>
      </c>
      <c r="AF124" s="78">
        <v>30.6053827828386</v>
      </c>
      <c r="AG124" s="78">
        <v>32.629386053046296</v>
      </c>
      <c r="AH124" s="78">
        <v>41.019288497606901</v>
      </c>
      <c r="AI124" s="78">
        <v>47.661188117897602</v>
      </c>
      <c r="AJ124" s="78">
        <v>51.5481943981829</v>
      </c>
      <c r="AK124" s="78">
        <v>53.607975503974899</v>
      </c>
      <c r="AL124" s="78">
        <v>55.385973358190299</v>
      </c>
      <c r="AM124" s="78">
        <v>57.3337298015011</v>
      </c>
      <c r="AN124" s="78">
        <v>58.6828638516848</v>
      </c>
      <c r="AO124" s="78">
        <v>62.497964775050598</v>
      </c>
      <c r="AP124" s="78">
        <v>64.396580574149894</v>
      </c>
      <c r="AQ124" s="78">
        <v>66.3875081902343</v>
      </c>
      <c r="AR124" s="78">
        <v>66.789986818822698</v>
      </c>
      <c r="AS124" s="78">
        <v>67.2353965011268</v>
      </c>
      <c r="AT124" s="78">
        <v>68.426945138466607</v>
      </c>
      <c r="AU124" s="78">
        <v>69.681206861982403</v>
      </c>
      <c r="AV124" s="78">
        <v>70.817010533832701</v>
      </c>
      <c r="AW124" s="78">
        <v>73.1977851016171</v>
      </c>
      <c r="AX124" s="78">
        <v>75.755085393451907</v>
      </c>
      <c r="AY124" s="78">
        <v>80.491084753171293</v>
      </c>
      <c r="AZ124" s="78">
        <v>84.309506466331499</v>
      </c>
      <c r="BA124" s="78">
        <v>96.088582370775796</v>
      </c>
      <c r="BB124" s="78">
        <v>95.378420731856707</v>
      </c>
      <c r="BC124" s="78">
        <v>100</v>
      </c>
      <c r="BD124" s="78">
        <v>104.16244162927801</v>
      </c>
      <c r="BE124" s="78">
        <v>108.86561499113</v>
      </c>
      <c r="BF124" s="78">
        <v>114.11797064643</v>
      </c>
      <c r="BG124" s="78">
        <v>117.426797297677</v>
      </c>
      <c r="BH124" s="78">
        <v>116.397138828916</v>
      </c>
      <c r="BI124" s="78">
        <v>115.491068042148</v>
      </c>
      <c r="BJ124" s="78">
        <v>119.32986927279801</v>
      </c>
      <c r="BK124" s="78">
        <v>124.65473925678199</v>
      </c>
      <c r="BL124" s="78">
        <v>125.604002606804</v>
      </c>
      <c r="BM124" s="78">
        <v>126.02263365165599</v>
      </c>
      <c r="BN124" s="78">
        <v>127.719016475095</v>
      </c>
      <c r="BO124" s="78">
        <v>133.12045252624901</v>
      </c>
      <c r="BP124" s="78">
        <v>135.895840722819</v>
      </c>
    </row>
    <row r="125" spans="1:68" x14ac:dyDescent="0.25">
      <c r="A125" s="78" t="s">
        <v>166</v>
      </c>
      <c r="B125" s="78" t="s">
        <v>165</v>
      </c>
      <c r="C125" s="78" t="s">
        <v>691</v>
      </c>
      <c r="D125" s="78" t="s">
        <v>692</v>
      </c>
      <c r="E125" s="78">
        <v>18.972568602074499</v>
      </c>
      <c r="F125" s="78">
        <v>19.991103697071999</v>
      </c>
      <c r="G125" s="78">
        <v>21.357583665231601</v>
      </c>
      <c r="H125" s="78">
        <v>22.790016632406701</v>
      </c>
      <c r="I125" s="78">
        <v>23.6561260208547</v>
      </c>
      <c r="J125" s="78">
        <v>25.2306756261743</v>
      </c>
      <c r="K125" s="78">
        <v>26.502511611809702</v>
      </c>
      <c r="L125" s="78">
        <v>27.559921564841499</v>
      </c>
      <c r="M125" s="78">
        <v>29.031465099906502</v>
      </c>
      <c r="N125" s="78">
        <v>30.5555650254969</v>
      </c>
      <c r="O125" s="78">
        <v>32.671285464085301</v>
      </c>
      <c r="P125" s="78">
        <v>34.760728139114001</v>
      </c>
      <c r="Q125" s="78">
        <v>36.444369964033797</v>
      </c>
      <c r="R125" s="78">
        <v>40.675059677934897</v>
      </c>
      <c r="S125" s="78">
        <v>50.120722018767303</v>
      </c>
      <c r="T125" s="78">
        <v>56.000517315025697</v>
      </c>
      <c r="U125" s="78">
        <v>61.250026184519399</v>
      </c>
      <c r="V125" s="78">
        <v>66.249147295435193</v>
      </c>
      <c r="W125" s="78">
        <v>69.037948882353604</v>
      </c>
      <c r="X125" s="78">
        <v>71.593630831975503</v>
      </c>
      <c r="Y125" s="78">
        <v>77.162599945171905</v>
      </c>
      <c r="Z125" s="78">
        <v>80.952952566401706</v>
      </c>
      <c r="AA125" s="78">
        <v>83.171906151039593</v>
      </c>
      <c r="AB125" s="78">
        <v>84.751939248271995</v>
      </c>
      <c r="AC125" s="78">
        <v>86.668700710488395</v>
      </c>
      <c r="AD125" s="78">
        <v>88.430049081173806</v>
      </c>
      <c r="AE125" s="78">
        <v>88.956726780251302</v>
      </c>
      <c r="AF125" s="78">
        <v>89.068969568579305</v>
      </c>
      <c r="AG125" s="78">
        <v>89.673353813422295</v>
      </c>
      <c r="AH125" s="78">
        <v>91.710992124607301</v>
      </c>
      <c r="AI125" s="78">
        <v>94.534329954088307</v>
      </c>
      <c r="AJ125" s="78">
        <v>97.608055542147</v>
      </c>
      <c r="AK125" s="78">
        <v>99.326233609629398</v>
      </c>
      <c r="AL125" s="78">
        <v>100.560904281237</v>
      </c>
      <c r="AM125" s="78">
        <v>101.260263193127</v>
      </c>
      <c r="AN125" s="78">
        <v>101.13075228351801</v>
      </c>
      <c r="AO125" s="78">
        <v>101.268897253768</v>
      </c>
      <c r="AP125" s="78">
        <v>103.038879685094</v>
      </c>
      <c r="AQ125" s="78">
        <v>103.720970475702</v>
      </c>
      <c r="AR125" s="78">
        <v>103.366973989437</v>
      </c>
      <c r="AS125" s="78">
        <v>102.667615077547</v>
      </c>
      <c r="AT125" s="78">
        <v>101.90781774117301</v>
      </c>
      <c r="AU125" s="78">
        <v>100.966705131346</v>
      </c>
      <c r="AV125" s="78">
        <v>100.707683312128</v>
      </c>
      <c r="AW125" s="78">
        <v>100.699049251487</v>
      </c>
      <c r="AX125" s="78">
        <v>100.414125250347</v>
      </c>
      <c r="AY125" s="78">
        <v>100.664513008925</v>
      </c>
      <c r="AZ125" s="78">
        <v>100.724951433409</v>
      </c>
      <c r="BA125" s="78">
        <v>102.11503519654801</v>
      </c>
      <c r="BB125" s="78">
        <v>100.73358549405</v>
      </c>
      <c r="BC125" s="78">
        <v>100</v>
      </c>
      <c r="BD125" s="78">
        <v>99.727544383898703</v>
      </c>
      <c r="BE125" s="78">
        <v>99.683599929688896</v>
      </c>
      <c r="BF125" s="78">
        <v>100.017577781684</v>
      </c>
      <c r="BG125" s="78">
        <v>102.77728950606399</v>
      </c>
      <c r="BH125" s="78">
        <v>103.594656354368</v>
      </c>
      <c r="BI125" s="78">
        <v>103.46282299173799</v>
      </c>
      <c r="BJ125" s="78">
        <v>103.96378976973099</v>
      </c>
      <c r="BK125" s="78">
        <v>104.99208999824199</v>
      </c>
      <c r="BL125" s="78">
        <v>105.484267885393</v>
      </c>
      <c r="BM125" s="78">
        <v>105.457901212867</v>
      </c>
      <c r="BN125" s="78">
        <v>105.211812269292</v>
      </c>
      <c r="BO125" s="78">
        <v>107.839690631042</v>
      </c>
      <c r="BP125" s="78">
        <v>111.364035858675</v>
      </c>
    </row>
    <row r="126" spans="1:68" x14ac:dyDescent="0.25">
      <c r="A126" s="78" t="s">
        <v>916</v>
      </c>
      <c r="B126" s="78" t="s">
        <v>917</v>
      </c>
      <c r="C126" s="78" t="s">
        <v>691</v>
      </c>
      <c r="D126" s="78" t="s">
        <v>692</v>
      </c>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c r="AI126" s="78"/>
      <c r="AJ126" s="78"/>
      <c r="AK126" s="78"/>
      <c r="AL126" s="78">
        <v>0.37366349931533299</v>
      </c>
      <c r="AM126" s="78">
        <v>7.3887188863090003</v>
      </c>
      <c r="AN126" s="78">
        <v>20.404338728498001</v>
      </c>
      <c r="AO126" s="78">
        <v>28.399277395173701</v>
      </c>
      <c r="AP126" s="78">
        <v>33.343035265077802</v>
      </c>
      <c r="AQ126" s="78">
        <v>35.725837481653102</v>
      </c>
      <c r="AR126" s="78">
        <v>38.689662838548998</v>
      </c>
      <c r="AS126" s="78">
        <v>43.789304965612203</v>
      </c>
      <c r="AT126" s="78">
        <v>47.447523831671298</v>
      </c>
      <c r="AU126" s="78">
        <v>50.216999984836299</v>
      </c>
      <c r="AV126" s="78">
        <v>53.450079967734297</v>
      </c>
      <c r="AW126" s="78">
        <v>57.128543542515501</v>
      </c>
      <c r="AX126" s="78">
        <v>61.458886738144002</v>
      </c>
      <c r="AY126" s="78">
        <v>66.819142689772804</v>
      </c>
      <c r="AZ126" s="78">
        <v>74.066905652625394</v>
      </c>
      <c r="BA126" s="78">
        <v>86.761899049563894</v>
      </c>
      <c r="BB126" s="78">
        <v>93.109467764033994</v>
      </c>
      <c r="BC126" s="78">
        <v>100</v>
      </c>
      <c r="BD126" s="78">
        <v>108.452904661768</v>
      </c>
      <c r="BE126" s="78">
        <v>114.08777454099101</v>
      </c>
      <c r="BF126" s="78">
        <v>120.867826977188</v>
      </c>
      <c r="BG126" s="78">
        <v>129.14660807412201</v>
      </c>
      <c r="BH126" s="78">
        <v>137.77138773483699</v>
      </c>
      <c r="BI126" s="78">
        <v>157.556866561297</v>
      </c>
      <c r="BJ126" s="78">
        <v>169.283293508518</v>
      </c>
      <c r="BK126" s="78">
        <v>179.717344348262</v>
      </c>
      <c r="BL126" s="78">
        <v>189.30267851718801</v>
      </c>
      <c r="BM126" s="78">
        <v>202.02032502463999</v>
      </c>
      <c r="BN126" s="78">
        <v>218.265731563044</v>
      </c>
      <c r="BO126" s="78">
        <v>251.06640983022899</v>
      </c>
      <c r="BP126" s="78">
        <v>288.03591362138599</v>
      </c>
    </row>
    <row r="127" spans="1:68" x14ac:dyDescent="0.25">
      <c r="A127" s="78" t="s">
        <v>918</v>
      </c>
      <c r="B127" s="78" t="s">
        <v>919</v>
      </c>
      <c r="C127" s="78" t="s">
        <v>691</v>
      </c>
      <c r="D127" s="78" t="s">
        <v>692</v>
      </c>
      <c r="E127" s="78">
        <v>0.74124428382899299</v>
      </c>
      <c r="F127" s="78">
        <v>0.75945667409506201</v>
      </c>
      <c r="G127" s="78">
        <v>0.783132781440951</v>
      </c>
      <c r="H127" s="78">
        <v>0.78859649852077096</v>
      </c>
      <c r="I127" s="78">
        <v>0.78781338381728905</v>
      </c>
      <c r="J127" s="78">
        <v>0.81600551286856404</v>
      </c>
      <c r="K127" s="78">
        <v>0.85692325571438199</v>
      </c>
      <c r="L127" s="78">
        <v>0.87199821360370999</v>
      </c>
      <c r="M127" s="78">
        <v>0.87519593194363299</v>
      </c>
      <c r="N127" s="78">
        <v>0.87369496211095699</v>
      </c>
      <c r="O127" s="78">
        <v>0.89281601259578602</v>
      </c>
      <c r="P127" s="78">
        <v>0.92656629819292202</v>
      </c>
      <c r="Q127" s="78">
        <v>0.98060035301291903</v>
      </c>
      <c r="R127" s="78">
        <v>1.0716117763306201</v>
      </c>
      <c r="S127" s="78">
        <v>1.2624652768125599</v>
      </c>
      <c r="T127" s="78">
        <v>1.5038509608469901</v>
      </c>
      <c r="U127" s="78">
        <v>1.6760273159277801</v>
      </c>
      <c r="V127" s="78">
        <v>1.9244307291282701</v>
      </c>
      <c r="W127" s="78">
        <v>2.2502711537446398</v>
      </c>
      <c r="X127" s="78">
        <v>2.4298282239740399</v>
      </c>
      <c r="Y127" s="78">
        <v>2.7665582283274999</v>
      </c>
      <c r="Z127" s="78">
        <v>3.0875634578738902</v>
      </c>
      <c r="AA127" s="78">
        <v>3.7256613878531</v>
      </c>
      <c r="AB127" s="78">
        <v>4.1503041783513899</v>
      </c>
      <c r="AC127" s="78">
        <v>4.5771255361970198</v>
      </c>
      <c r="AD127" s="78">
        <v>5.17245240927544</v>
      </c>
      <c r="AE127" s="78">
        <v>5.3035366287224797</v>
      </c>
      <c r="AF127" s="78">
        <v>5.7616387902129098</v>
      </c>
      <c r="AG127" s="78">
        <v>6.4683016588008702</v>
      </c>
      <c r="AH127" s="78">
        <v>7.3602362969268098</v>
      </c>
      <c r="AI127" s="78">
        <v>8.6690198568499497</v>
      </c>
      <c r="AJ127" s="78">
        <v>10.410148766435</v>
      </c>
      <c r="AK127" s="78">
        <v>13.255488566812099</v>
      </c>
      <c r="AL127" s="78">
        <v>19.350213921161799</v>
      </c>
      <c r="AM127" s="78">
        <v>24.925859916073701</v>
      </c>
      <c r="AN127" s="78">
        <v>25.313289576008501</v>
      </c>
      <c r="AO127" s="78">
        <v>27.557081691834199</v>
      </c>
      <c r="AP127" s="78">
        <v>30.6880746141217</v>
      </c>
      <c r="AQ127" s="78">
        <v>32.751060945442298</v>
      </c>
      <c r="AR127" s="78">
        <v>34.631627223620796</v>
      </c>
      <c r="AS127" s="78">
        <v>38.087872331607898</v>
      </c>
      <c r="AT127" s="78">
        <v>40.273582266095701</v>
      </c>
      <c r="AU127" s="78">
        <v>41.063471344518597</v>
      </c>
      <c r="AV127" s="78">
        <v>45.094134653551698</v>
      </c>
      <c r="AW127" s="78">
        <v>50.335892894049202</v>
      </c>
      <c r="AX127" s="78">
        <v>55.526921962465103</v>
      </c>
      <c r="AY127" s="78">
        <v>63.552635676898198</v>
      </c>
      <c r="AZ127" s="78">
        <v>69.7546612757899</v>
      </c>
      <c r="BA127" s="78">
        <v>88.058156495553604</v>
      </c>
      <c r="BB127" s="78">
        <v>96.189557552658897</v>
      </c>
      <c r="BC127" s="78">
        <v>100</v>
      </c>
      <c r="BD127" s="78">
        <v>114.02249130147</v>
      </c>
      <c r="BE127" s="78">
        <v>124.715258324443</v>
      </c>
      <c r="BF127" s="78">
        <v>131.84584520042199</v>
      </c>
      <c r="BG127" s="78">
        <v>140.91440678482101</v>
      </c>
      <c r="BH127" s="78">
        <v>150.18961046024901</v>
      </c>
      <c r="BI127" s="78">
        <v>159.64742501130101</v>
      </c>
      <c r="BJ127" s="78">
        <v>172.42823857621599</v>
      </c>
      <c r="BK127" s="78">
        <v>180.51478926121399</v>
      </c>
      <c r="BL127" s="78">
        <v>189.973110678512</v>
      </c>
      <c r="BM127" s="78">
        <v>200.241465217838</v>
      </c>
      <c r="BN127" s="78">
        <v>212.47208583207799</v>
      </c>
      <c r="BO127" s="78">
        <v>228.74715584593099</v>
      </c>
      <c r="BP127" s="78">
        <v>246.29525678802199</v>
      </c>
    </row>
    <row r="128" spans="1:68" x14ac:dyDescent="0.25">
      <c r="A128" s="78" t="s">
        <v>920</v>
      </c>
      <c r="B128" s="78" t="s">
        <v>921</v>
      </c>
      <c r="C128" s="78" t="s">
        <v>691</v>
      </c>
      <c r="D128" s="78" t="s">
        <v>692</v>
      </c>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c r="AM128" s="78"/>
      <c r="AN128" s="78">
        <v>16.740667363799201</v>
      </c>
      <c r="AO128" s="78">
        <v>22.088864903404701</v>
      </c>
      <c r="AP128" s="78">
        <v>27.265484900659899</v>
      </c>
      <c r="AQ128" s="78">
        <v>30.116740970287999</v>
      </c>
      <c r="AR128" s="78">
        <v>41.269248983497</v>
      </c>
      <c r="AS128" s="78">
        <v>48.986901576821502</v>
      </c>
      <c r="AT128" s="78">
        <v>52.376638356039301</v>
      </c>
      <c r="AU128" s="78">
        <v>53.494465737795302</v>
      </c>
      <c r="AV128" s="78">
        <v>55.085719044151297</v>
      </c>
      <c r="AW128" s="78">
        <v>57.350100620744499</v>
      </c>
      <c r="AX128" s="78">
        <v>59.8383344785777</v>
      </c>
      <c r="AY128" s="78">
        <v>63.160632608418801</v>
      </c>
      <c r="AZ128" s="78">
        <v>69.622030547749503</v>
      </c>
      <c r="BA128" s="78">
        <v>86.693423747315606</v>
      </c>
      <c r="BB128" s="78">
        <v>92.620273828765505</v>
      </c>
      <c r="BC128" s="78">
        <v>100</v>
      </c>
      <c r="BD128" s="78">
        <v>116.63632627315</v>
      </c>
      <c r="BE128" s="78">
        <v>119.865335743153</v>
      </c>
      <c r="BF128" s="78">
        <v>127.792931811437</v>
      </c>
      <c r="BG128" s="78">
        <v>137.42116732316799</v>
      </c>
      <c r="BH128" s="78">
        <v>146.358103369357</v>
      </c>
      <c r="BI128" s="78">
        <v>146.92719972586701</v>
      </c>
      <c r="BJ128" s="78">
        <v>151.59259359136701</v>
      </c>
      <c r="BK128" s="78">
        <v>153.93115409737101</v>
      </c>
      <c r="BL128" s="78">
        <v>155.676152413544</v>
      </c>
      <c r="BM128" s="78">
        <v>165.52332750681899</v>
      </c>
      <c r="BN128" s="78">
        <v>185.22894555543601</v>
      </c>
      <c r="BO128" s="78">
        <v>211.018203674728</v>
      </c>
      <c r="BP128" s="78">
        <v>233.709575724236</v>
      </c>
    </row>
    <row r="129" spans="1:68" x14ac:dyDescent="0.25">
      <c r="A129" s="78" t="s">
        <v>922</v>
      </c>
      <c r="B129" s="78" t="s">
        <v>923</v>
      </c>
      <c r="C129" s="78" t="s">
        <v>691</v>
      </c>
      <c r="D129" s="78" t="s">
        <v>692</v>
      </c>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c r="AF129" s="78"/>
      <c r="AG129" s="78"/>
      <c r="AH129" s="78"/>
      <c r="AI129" s="78"/>
      <c r="AJ129" s="78"/>
      <c r="AK129" s="78"/>
      <c r="AL129" s="78"/>
      <c r="AM129" s="78">
        <v>44.868400624124298</v>
      </c>
      <c r="AN129" s="78">
        <v>44.509927077871097</v>
      </c>
      <c r="AO129" s="78">
        <v>47.692770276335501</v>
      </c>
      <c r="AP129" s="78">
        <v>51.489216842260298</v>
      </c>
      <c r="AQ129" s="78">
        <v>59.112969558672198</v>
      </c>
      <c r="AR129" s="78">
        <v>61.482339754778202</v>
      </c>
      <c r="AS129" s="78">
        <v>60.995404216974798</v>
      </c>
      <c r="AT129" s="78">
        <v>60.6290363583919</v>
      </c>
      <c r="AU129" s="78">
        <v>60.7572465008042</v>
      </c>
      <c r="AV129" s="78">
        <v>61.329425511007202</v>
      </c>
      <c r="AW129" s="78">
        <v>63.978449940600399</v>
      </c>
      <c r="AX129" s="78">
        <v>68.210790185140795</v>
      </c>
      <c r="AY129" s="78">
        <v>72.174304683031295</v>
      </c>
      <c r="AZ129" s="78">
        <v>78.459840525649398</v>
      </c>
      <c r="BA129" s="78">
        <v>97.366192122103897</v>
      </c>
      <c r="BB129" s="78">
        <v>96.1571790346472</v>
      </c>
      <c r="BC129" s="78">
        <v>100</v>
      </c>
      <c r="BD129" s="78">
        <v>105.478447496174</v>
      </c>
      <c r="BE129" s="78">
        <v>108.573518555638</v>
      </c>
      <c r="BF129" s="78">
        <v>111.76734442450901</v>
      </c>
      <c r="BG129" s="78">
        <v>116.07674519792501</v>
      </c>
      <c r="BH129" s="78">
        <v>117.497445574856</v>
      </c>
      <c r="BI129" s="78">
        <v>121.044857661075</v>
      </c>
      <c r="BJ129" s="78">
        <v>124.57045324546399</v>
      </c>
      <c r="BK129" s="78">
        <v>127.633746767247</v>
      </c>
      <c r="BL129" s="78">
        <v>130.11312803414401</v>
      </c>
      <c r="BM129" s="78">
        <v>133.93883801766799</v>
      </c>
      <c r="BN129" s="78">
        <v>137.85083623812599</v>
      </c>
      <c r="BO129" s="78">
        <v>145.217175025789</v>
      </c>
      <c r="BP129" s="78">
        <v>148.30662390550799</v>
      </c>
    </row>
    <row r="130" spans="1:68" x14ac:dyDescent="0.25">
      <c r="A130" s="78" t="s">
        <v>924</v>
      </c>
      <c r="B130" s="78" t="s">
        <v>925</v>
      </c>
      <c r="C130" s="78" t="s">
        <v>691</v>
      </c>
      <c r="D130" s="78" t="s">
        <v>692</v>
      </c>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8"/>
      <c r="AI130" s="78"/>
      <c r="AJ130" s="78"/>
      <c r="AK130" s="78"/>
      <c r="AL130" s="78"/>
      <c r="AM130" s="78"/>
      <c r="AN130" s="78"/>
      <c r="AO130" s="78"/>
      <c r="AP130" s="78"/>
      <c r="AQ130" s="78"/>
      <c r="AR130" s="78"/>
      <c r="AS130" s="78"/>
      <c r="AT130" s="78"/>
      <c r="AU130" s="78"/>
      <c r="AV130" s="78"/>
      <c r="AW130" s="78"/>
      <c r="AX130" s="78"/>
      <c r="AY130" s="78">
        <v>80.473064154664002</v>
      </c>
      <c r="AZ130" s="78">
        <v>83.364076135374304</v>
      </c>
      <c r="BA130" s="78">
        <v>94.756110199801896</v>
      </c>
      <c r="BB130" s="78">
        <v>104.05778580954799</v>
      </c>
      <c r="BC130" s="78">
        <v>100</v>
      </c>
      <c r="BD130" s="78">
        <v>101.49740979876</v>
      </c>
      <c r="BE130" s="78">
        <v>98.405937821066999</v>
      </c>
      <c r="BF130" s="78">
        <v>96.941599323455094</v>
      </c>
      <c r="BG130" s="78">
        <v>98.9812362348314</v>
      </c>
      <c r="BH130" s="78">
        <v>99.547424489338397</v>
      </c>
      <c r="BI130" s="78">
        <v>101.45605811206499</v>
      </c>
      <c r="BJ130" s="78">
        <v>101.81675559135</v>
      </c>
      <c r="BK130" s="78">
        <v>102.391033138334</v>
      </c>
      <c r="BL130" s="78">
        <v>100.534601842803</v>
      </c>
      <c r="BM130" s="78">
        <v>103.10149708468001</v>
      </c>
      <c r="BN130" s="78">
        <v>105.21880671660099</v>
      </c>
      <c r="BO130" s="78"/>
      <c r="BP130" s="78"/>
    </row>
    <row r="131" spans="1:68" x14ac:dyDescent="0.25">
      <c r="A131" s="78" t="s">
        <v>926</v>
      </c>
      <c r="B131" s="78" t="s">
        <v>927</v>
      </c>
      <c r="C131" s="78" t="s">
        <v>691</v>
      </c>
      <c r="D131" s="78" t="s">
        <v>692</v>
      </c>
      <c r="E131" s="78"/>
      <c r="F131" s="78"/>
      <c r="G131" s="78"/>
      <c r="H131" s="78"/>
      <c r="I131" s="78"/>
      <c r="J131" s="78"/>
      <c r="K131" s="78"/>
      <c r="L131" s="78"/>
      <c r="M131" s="78"/>
      <c r="N131" s="78"/>
      <c r="O131" s="78"/>
      <c r="P131" s="78"/>
      <c r="Q131" s="78"/>
      <c r="R131" s="78"/>
      <c r="S131" s="78"/>
      <c r="T131" s="78"/>
      <c r="U131" s="78"/>
      <c r="V131" s="78"/>
      <c r="W131" s="78"/>
      <c r="X131" s="78">
        <v>31.6546093069745</v>
      </c>
      <c r="Y131" s="78">
        <v>37.269078089522999</v>
      </c>
      <c r="Z131" s="78">
        <v>41.173522070239102</v>
      </c>
      <c r="AA131" s="78">
        <v>43.613968532893402</v>
      </c>
      <c r="AB131" s="78">
        <v>44.613398048236597</v>
      </c>
      <c r="AC131" s="78">
        <v>45.8246092911264</v>
      </c>
      <c r="AD131" s="78">
        <v>47.025006148098498</v>
      </c>
      <c r="AE131" s="78">
        <v>47.021862275453699</v>
      </c>
      <c r="AF131" s="78">
        <v>47.474688756797804</v>
      </c>
      <c r="AG131" s="78">
        <v>47.585079292969901</v>
      </c>
      <c r="AH131" s="78">
        <v>50.045211216523199</v>
      </c>
      <c r="AI131" s="78">
        <v>52.052516669997303</v>
      </c>
      <c r="AJ131" s="78">
        <v>54.303131864620603</v>
      </c>
      <c r="AK131" s="78">
        <v>55.855357959055802</v>
      </c>
      <c r="AL131" s="78">
        <v>56.8578842548308</v>
      </c>
      <c r="AM131" s="78">
        <v>57.6779282278466</v>
      </c>
      <c r="AN131" s="78">
        <v>59.383349354416602</v>
      </c>
      <c r="AO131" s="78">
        <v>60.622426794304303</v>
      </c>
      <c r="AP131" s="78">
        <v>66.020965076508901</v>
      </c>
      <c r="AQ131" s="78">
        <v>68.296284323543404</v>
      </c>
      <c r="AR131" s="78">
        <v>70.593113159374894</v>
      </c>
      <c r="AS131" s="78">
        <v>72.1100570323037</v>
      </c>
      <c r="AT131" s="78">
        <v>73.771074326359297</v>
      </c>
      <c r="AU131" s="78">
        <v>75.276809104367501</v>
      </c>
      <c r="AV131" s="78">
        <v>76.959574479328893</v>
      </c>
      <c r="AW131" s="78">
        <v>78.740845867804893</v>
      </c>
      <c r="AX131" s="78">
        <v>81.400569151692096</v>
      </c>
      <c r="AY131" s="78">
        <v>88.309430865746293</v>
      </c>
      <c r="AZ131" s="78">
        <v>92.266475866165393</v>
      </c>
      <c r="BA131" s="78">
        <v>97.156872888509</v>
      </c>
      <c r="BB131" s="78">
        <v>99.156300211572301</v>
      </c>
      <c r="BC131" s="78">
        <v>100</v>
      </c>
      <c r="BD131" s="78">
        <v>105.835165195709</v>
      </c>
      <c r="BE131" s="78">
        <v>106.69887463499499</v>
      </c>
      <c r="BF131" s="78">
        <v>107.880015748548</v>
      </c>
      <c r="BG131" s="78">
        <v>108.147412972867</v>
      </c>
      <c r="BH131" s="78">
        <v>105.657994028676</v>
      </c>
      <c r="BI131" s="78">
        <v>104.932084385971</v>
      </c>
      <c r="BJ131" s="78">
        <v>105.66127497621299</v>
      </c>
      <c r="BK131" s="78">
        <v>104.565438498638</v>
      </c>
      <c r="BL131" s="78">
        <v>104.22083048164301</v>
      </c>
      <c r="BM131" s="78">
        <v>103.004318030447</v>
      </c>
      <c r="BN131" s="78">
        <v>104.235929197152</v>
      </c>
      <c r="BO131" s="78">
        <v>107.017126546147</v>
      </c>
      <c r="BP131" s="78">
        <v>110.823845926704</v>
      </c>
    </row>
    <row r="132" spans="1:68" x14ac:dyDescent="0.25">
      <c r="A132" s="78" t="s">
        <v>928</v>
      </c>
      <c r="B132" s="78" t="s">
        <v>929</v>
      </c>
      <c r="C132" s="78" t="s">
        <v>691</v>
      </c>
      <c r="D132" s="78" t="s">
        <v>692</v>
      </c>
      <c r="E132" s="78">
        <v>1.4769538395634401</v>
      </c>
      <c r="F132" s="78">
        <v>1.5979998494894201</v>
      </c>
      <c r="G132" s="78">
        <v>1.70376044890745</v>
      </c>
      <c r="H132" s="78">
        <v>2.0562965521499801</v>
      </c>
      <c r="I132" s="78">
        <v>2.6621397394237398</v>
      </c>
      <c r="J132" s="78">
        <v>3.0228116147855402</v>
      </c>
      <c r="K132" s="78">
        <v>3.3632220648507598</v>
      </c>
      <c r="L132" s="78">
        <v>3.7292226900485499</v>
      </c>
      <c r="M132" s="78">
        <v>4.1309278977145603</v>
      </c>
      <c r="N132" s="78">
        <v>4.6427318827715602</v>
      </c>
      <c r="O132" s="78">
        <v>5.3832635131484503</v>
      </c>
      <c r="P132" s="78">
        <v>6.1106340547549696</v>
      </c>
      <c r="Q132" s="78">
        <v>6.8249052555206502</v>
      </c>
      <c r="R132" s="78">
        <v>7.0447374362259598</v>
      </c>
      <c r="S132" s="78">
        <v>8.7569044798122899</v>
      </c>
      <c r="T132" s="78">
        <v>10.96795774512</v>
      </c>
      <c r="U132" s="78">
        <v>12.6490517833574</v>
      </c>
      <c r="V132" s="78">
        <v>13.9261842095107</v>
      </c>
      <c r="W132" s="78">
        <v>15.9399501385469</v>
      </c>
      <c r="X132" s="78">
        <v>18.860706319128699</v>
      </c>
      <c r="Y132" s="78">
        <v>24.273278004615701</v>
      </c>
      <c r="Z132" s="78">
        <v>29.456021002014499</v>
      </c>
      <c r="AA132" s="78">
        <v>31.574158298535799</v>
      </c>
      <c r="AB132" s="78">
        <v>32.654188439243903</v>
      </c>
      <c r="AC132" s="78">
        <v>33.3967304471322</v>
      </c>
      <c r="AD132" s="78">
        <v>34.2179923818492</v>
      </c>
      <c r="AE132" s="78">
        <v>35.1589806574611</v>
      </c>
      <c r="AF132" s="78">
        <v>36.2312102980109</v>
      </c>
      <c r="AG132" s="78">
        <v>38.820327997283101</v>
      </c>
      <c r="AH132" s="78">
        <v>41.033150919658198</v>
      </c>
      <c r="AI132" s="78">
        <v>44.551034663743899</v>
      </c>
      <c r="AJ132" s="78">
        <v>48.708889386302801</v>
      </c>
      <c r="AK132" s="78">
        <v>51.735309781643899</v>
      </c>
      <c r="AL132" s="78">
        <v>54.219120246374203</v>
      </c>
      <c r="AM132" s="78">
        <v>57.616414143363201</v>
      </c>
      <c r="AN132" s="78">
        <v>60.198056483918499</v>
      </c>
      <c r="AO132" s="78">
        <v>63.162535987465198</v>
      </c>
      <c r="AP132" s="78">
        <v>65.9662779119937</v>
      </c>
      <c r="AQ132" s="78">
        <v>70.922707029229898</v>
      </c>
      <c r="AR132" s="78">
        <v>71.499278321073803</v>
      </c>
      <c r="AS132" s="78">
        <v>73.114565564723407</v>
      </c>
      <c r="AT132" s="78">
        <v>76.087824851997894</v>
      </c>
      <c r="AU132" s="78">
        <v>78.189570002855802</v>
      </c>
      <c r="AV132" s="78">
        <v>80.937835271961006</v>
      </c>
      <c r="AW132" s="78">
        <v>83.844040167028098</v>
      </c>
      <c r="AX132" s="78">
        <v>86.152930325180094</v>
      </c>
      <c r="AY132" s="78">
        <v>88.084772188732501</v>
      </c>
      <c r="AZ132" s="78">
        <v>90.317345765249797</v>
      </c>
      <c r="BA132" s="78">
        <v>94.538685077840995</v>
      </c>
      <c r="BB132" s="78">
        <v>97.144640665642697</v>
      </c>
      <c r="BC132" s="78">
        <v>100</v>
      </c>
      <c r="BD132" s="78">
        <v>104.025965004361</v>
      </c>
      <c r="BE132" s="78">
        <v>106.301086763559</v>
      </c>
      <c r="BF132" s="78">
        <v>107.684433346969</v>
      </c>
      <c r="BG132" s="78">
        <v>109.057167004994</v>
      </c>
      <c r="BH132" s="78">
        <v>109.82747242569</v>
      </c>
      <c r="BI132" s="78">
        <v>110.894650313757</v>
      </c>
      <c r="BJ132" s="78">
        <v>113.05081082749901</v>
      </c>
      <c r="BK132" s="78">
        <v>114.719259179216</v>
      </c>
      <c r="BL132" s="78">
        <v>115.158634290169</v>
      </c>
      <c r="BM132" s="78">
        <v>115.777367840135</v>
      </c>
      <c r="BN132" s="78">
        <v>118.669872413341</v>
      </c>
      <c r="BO132" s="78">
        <v>124.70959176900099</v>
      </c>
      <c r="BP132" s="78">
        <v>129.19596477280601</v>
      </c>
    </row>
    <row r="133" spans="1:68" x14ac:dyDescent="0.25">
      <c r="A133" s="78" t="s">
        <v>930</v>
      </c>
      <c r="B133" s="78" t="s">
        <v>931</v>
      </c>
      <c r="C133" s="78" t="s">
        <v>691</v>
      </c>
      <c r="D133" s="78" t="s">
        <v>692</v>
      </c>
      <c r="E133" s="78"/>
      <c r="F133" s="78"/>
      <c r="G133" s="78"/>
      <c r="H133" s="78"/>
      <c r="I133" s="78"/>
      <c r="J133" s="78"/>
      <c r="K133" s="78"/>
      <c r="L133" s="78"/>
      <c r="M133" s="78"/>
      <c r="N133" s="78"/>
      <c r="O133" s="78"/>
      <c r="P133" s="78"/>
      <c r="Q133" s="78">
        <v>20.0610574734572</v>
      </c>
      <c r="R133" s="78">
        <v>21.7194382244626</v>
      </c>
      <c r="S133" s="78">
        <v>24.541360309062298</v>
      </c>
      <c r="T133" s="78">
        <v>26.600962209653801</v>
      </c>
      <c r="U133" s="78">
        <v>27.993533949336499</v>
      </c>
      <c r="V133" s="78">
        <v>30.7619598806235</v>
      </c>
      <c r="W133" s="78">
        <v>33.435095789011797</v>
      </c>
      <c r="X133" s="78">
        <v>35.792270041886397</v>
      </c>
      <c r="Y133" s="78">
        <v>38.272039646321801</v>
      </c>
      <c r="Z133" s="78">
        <v>41.0945189825106</v>
      </c>
      <c r="AA133" s="78">
        <v>44.290356888288102</v>
      </c>
      <c r="AB133" s="78">
        <v>46.380050375157097</v>
      </c>
      <c r="AC133" s="78">
        <v>46.9261569397109</v>
      </c>
      <c r="AD133" s="78">
        <v>47.625507693186101</v>
      </c>
      <c r="AE133" s="78">
        <v>48.079667744599</v>
      </c>
      <c r="AF133" s="78">
        <v>48.3945148966123</v>
      </c>
      <c r="AG133" s="78">
        <v>49.1050106821288</v>
      </c>
      <c r="AH133" s="78">
        <v>50.746116633772601</v>
      </c>
      <c r="AI133" s="78">
        <v>55.736304680282601</v>
      </c>
      <c r="AJ133" s="78">
        <v>60.785004144423397</v>
      </c>
      <c r="AK133" s="78">
        <v>60.453439444515602</v>
      </c>
      <c r="AL133" s="78">
        <v>60.684698857056397</v>
      </c>
      <c r="AM133" s="78">
        <v>62.222713263350897</v>
      </c>
      <c r="AN133" s="78">
        <v>63.8944680528015</v>
      </c>
      <c r="AO133" s="78">
        <v>66.165268308471894</v>
      </c>
      <c r="AP133" s="78">
        <v>66.616642101623597</v>
      </c>
      <c r="AQ133" s="78">
        <v>66.703016099078496</v>
      </c>
      <c r="AR133" s="78">
        <v>68.697976814489706</v>
      </c>
      <c r="AS133" s="78">
        <v>69.943434132630401</v>
      </c>
      <c r="AT133" s="78">
        <v>70.8526987763546</v>
      </c>
      <c r="AU133" s="78">
        <v>71.482189683548199</v>
      </c>
      <c r="AV133" s="78">
        <v>72.169383923901293</v>
      </c>
      <c r="AW133" s="78">
        <v>73.070465185832006</v>
      </c>
      <c r="AX133" s="78">
        <v>76.097756901960494</v>
      </c>
      <c r="AY133" s="78">
        <v>78.424075521211805</v>
      </c>
      <c r="AZ133" s="78">
        <v>82.7255967203686</v>
      </c>
      <c r="BA133" s="78">
        <v>91.480206540447497</v>
      </c>
      <c r="BB133" s="78">
        <v>95.697074010327</v>
      </c>
      <c r="BC133" s="78">
        <v>100</v>
      </c>
      <c r="BD133" s="78">
        <v>104.83940349871</v>
      </c>
      <c r="BE133" s="78">
        <v>108.252079151133</v>
      </c>
      <c r="BF133" s="78">
        <v>111.155721250358</v>
      </c>
      <c r="BG133" s="78">
        <v>114.38915973616299</v>
      </c>
      <c r="BH133" s="78">
        <v>118.131631775165</v>
      </c>
      <c r="BI133" s="78">
        <v>121.90995124749099</v>
      </c>
      <c r="BJ133" s="78">
        <v>124.55763178080301</v>
      </c>
      <c r="BK133" s="78">
        <v>125.23414556761701</v>
      </c>
      <c r="BL133" s="78">
        <v>126.601512114575</v>
      </c>
      <c r="BM133" s="78">
        <v>129.26233350324799</v>
      </c>
      <c r="BN133" s="78">
        <v>133.68779685454999</v>
      </c>
      <c r="BO133" s="78">
        <v>139.00943963189701</v>
      </c>
      <c r="BP133" s="78">
        <v>144.07239144090099</v>
      </c>
    </row>
    <row r="134" spans="1:68" x14ac:dyDescent="0.25">
      <c r="A134" s="78" t="s">
        <v>932</v>
      </c>
      <c r="B134" s="78" t="s">
        <v>933</v>
      </c>
      <c r="C134" s="78" t="s">
        <v>691</v>
      </c>
      <c r="D134" s="78" t="s">
        <v>692</v>
      </c>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c r="AF134" s="78"/>
      <c r="AG134" s="78"/>
      <c r="AH134" s="78"/>
      <c r="AI134" s="78"/>
      <c r="AJ134" s="78"/>
      <c r="AK134" s="78"/>
      <c r="AL134" s="78"/>
      <c r="AM134" s="78"/>
      <c r="AN134" s="78"/>
      <c r="AO134" s="78"/>
      <c r="AP134" s="78"/>
      <c r="AQ134" s="78"/>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row>
    <row r="135" spans="1:68" x14ac:dyDescent="0.25">
      <c r="A135" s="78" t="s">
        <v>934</v>
      </c>
      <c r="B135" s="78" t="s">
        <v>935</v>
      </c>
      <c r="C135" s="78" t="s">
        <v>691</v>
      </c>
      <c r="D135" s="78" t="s">
        <v>692</v>
      </c>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c r="AE135" s="78"/>
      <c r="AF135" s="78"/>
      <c r="AG135" s="78">
        <v>1.6771253827207</v>
      </c>
      <c r="AH135" s="78">
        <v>2.7057499266819498</v>
      </c>
      <c r="AI135" s="78">
        <v>3.6701599122931801</v>
      </c>
      <c r="AJ135" s="78">
        <v>4.1634866018027301</v>
      </c>
      <c r="AK135" s="78">
        <v>4.5741949729403002</v>
      </c>
      <c r="AL135" s="78">
        <v>4.8608699455989202</v>
      </c>
      <c r="AM135" s="78">
        <v>5.1906547331003603</v>
      </c>
      <c r="AN135" s="78">
        <v>6.2077074164434896</v>
      </c>
      <c r="AO135" s="78">
        <v>7.0162250355740001</v>
      </c>
      <c r="AP135" s="78">
        <v>8.9463087297325199</v>
      </c>
      <c r="AQ135" s="78">
        <v>17.085726128253199</v>
      </c>
      <c r="AR135" s="78">
        <v>38.489378901587997</v>
      </c>
      <c r="AS135" s="78">
        <v>48.1443015869663</v>
      </c>
      <c r="AT135" s="78">
        <v>51.905241964766397</v>
      </c>
      <c r="AU135" s="78">
        <v>57.423467120287199</v>
      </c>
      <c r="AV135" s="78">
        <v>66.317990603373801</v>
      </c>
      <c r="AW135" s="78">
        <v>73.256355671217307</v>
      </c>
      <c r="AX135" s="78">
        <v>78.5054794732104</v>
      </c>
      <c r="AY135" s="78">
        <v>83.644129733865896</v>
      </c>
      <c r="AZ135" s="78">
        <v>87.543596222775605</v>
      </c>
      <c r="BA135" s="78">
        <v>94.222129861591498</v>
      </c>
      <c r="BB135" s="78">
        <v>94.355159896060101</v>
      </c>
      <c r="BC135" s="78">
        <v>100</v>
      </c>
      <c r="BD135" s="78">
        <v>107.5689885611</v>
      </c>
      <c r="BE135" s="78">
        <v>112.146185398532</v>
      </c>
      <c r="BF135" s="78">
        <v>119.29149793391301</v>
      </c>
      <c r="BG135" s="78">
        <v>124.217333843943</v>
      </c>
      <c r="BH135" s="78">
        <v>125.804029263158</v>
      </c>
      <c r="BI135" s="78">
        <v>127.813009249953</v>
      </c>
      <c r="BJ135" s="78">
        <v>128.86807829899999</v>
      </c>
      <c r="BK135" s="78">
        <v>131.49749312116799</v>
      </c>
      <c r="BL135" s="78">
        <v>135.86657466717301</v>
      </c>
      <c r="BM135" s="78">
        <v>142.80130331753401</v>
      </c>
      <c r="BN135" s="78">
        <v>148.16437814868101</v>
      </c>
      <c r="BO135" s="78">
        <v>182.17732248179999</v>
      </c>
      <c r="BP135" s="78">
        <v>239.071544726127</v>
      </c>
    </row>
    <row r="136" spans="1:68" x14ac:dyDescent="0.25">
      <c r="A136" s="78" t="s">
        <v>936</v>
      </c>
      <c r="B136" s="78" t="s">
        <v>937</v>
      </c>
      <c r="C136" s="78" t="s">
        <v>691</v>
      </c>
      <c r="D136" s="78" t="s">
        <v>692</v>
      </c>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c r="AJ136" s="78"/>
      <c r="AK136" s="78"/>
      <c r="AL136" s="78"/>
      <c r="AM136" s="78"/>
      <c r="AN136" s="78"/>
      <c r="AO136" s="78"/>
      <c r="AP136" s="78"/>
      <c r="AQ136" s="78"/>
      <c r="AR136" s="78"/>
      <c r="AS136" s="78"/>
      <c r="AT136" s="78"/>
      <c r="AU136" s="78"/>
      <c r="AV136" s="78"/>
      <c r="AW136" s="78"/>
      <c r="AX136" s="78"/>
      <c r="AY136" s="78"/>
      <c r="AZ136" s="78"/>
      <c r="BA136" s="78">
        <v>95.033381963954298</v>
      </c>
      <c r="BB136" s="78">
        <v>96.169122786780505</v>
      </c>
      <c r="BC136" s="78">
        <v>100</v>
      </c>
      <c r="BD136" s="78">
        <v>104.97148571692399</v>
      </c>
      <c r="BE136" s="78">
        <v>111.88015725734</v>
      </c>
      <c r="BF136" s="78">
        <v>117.273921525802</v>
      </c>
      <c r="BG136" s="78">
        <v>119.448888615649</v>
      </c>
      <c r="BH136" s="78">
        <v>114.970576284332</v>
      </c>
      <c r="BI136" s="78">
        <v>114.069943209824</v>
      </c>
      <c r="BJ136" s="78">
        <v>118.999307190905</v>
      </c>
      <c r="BK136" s="78">
        <v>126.23088209285901</v>
      </c>
      <c r="BL136" s="78">
        <v>130.024611761339</v>
      </c>
      <c r="BM136" s="78">
        <v>240.36913132981701</v>
      </c>
      <c r="BN136" s="78">
        <v>612.35501502118404</v>
      </c>
      <c r="BO136" s="78">
        <v>1660.7404272127701</v>
      </c>
      <c r="BP136" s="78">
        <v>5336.6505917661598</v>
      </c>
    </row>
    <row r="137" spans="1:68" x14ac:dyDescent="0.25">
      <c r="A137" s="78" t="s">
        <v>938</v>
      </c>
      <c r="B137" s="78" t="s">
        <v>939</v>
      </c>
      <c r="C137" s="78" t="s">
        <v>691</v>
      </c>
      <c r="D137" s="78" t="s">
        <v>692</v>
      </c>
      <c r="E137" s="78"/>
      <c r="F137" s="78"/>
      <c r="G137" s="78"/>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8"/>
      <c r="AJ137" s="78"/>
      <c r="AK137" s="78"/>
      <c r="AL137" s="78"/>
      <c r="AM137" s="78"/>
      <c r="AN137" s="78"/>
      <c r="AO137" s="78"/>
      <c r="AP137" s="78"/>
      <c r="AQ137" s="78"/>
      <c r="AR137" s="78"/>
      <c r="AS137" s="78"/>
      <c r="AT137" s="78">
        <v>41.0286645662338</v>
      </c>
      <c r="AU137" s="78">
        <v>46.8381786423992</v>
      </c>
      <c r="AV137" s="78">
        <v>51.676697448044102</v>
      </c>
      <c r="AW137" s="78">
        <v>55.722511075213198</v>
      </c>
      <c r="AX137" s="78">
        <v>61.759687884297101</v>
      </c>
      <c r="AY137" s="78">
        <v>66.293742071219498</v>
      </c>
      <c r="AZ137" s="78">
        <v>73.845856673749296</v>
      </c>
      <c r="BA137" s="78">
        <v>86.761089851682897</v>
      </c>
      <c r="BB137" s="78">
        <v>93.205393920093599</v>
      </c>
      <c r="BC137" s="78">
        <v>100</v>
      </c>
      <c r="BD137" s="78">
        <v>108.488167518494</v>
      </c>
      <c r="BE137" s="78">
        <v>115.899848080648</v>
      </c>
      <c r="BF137" s="78">
        <v>124.681935170635</v>
      </c>
      <c r="BG137" s="78">
        <v>136.97696150854401</v>
      </c>
      <c r="BH137" s="78">
        <v>147.59089104608799</v>
      </c>
      <c r="BI137" s="78">
        <v>160.62943739509399</v>
      </c>
      <c r="BJ137" s="78">
        <v>180.579023030836</v>
      </c>
      <c r="BK137" s="78">
        <v>223.12978802062801</v>
      </c>
      <c r="BL137" s="78"/>
      <c r="BM137" s="78"/>
      <c r="BN137" s="78"/>
      <c r="BO137" s="78"/>
      <c r="BP137" s="78"/>
    </row>
    <row r="138" spans="1:68" x14ac:dyDescent="0.25">
      <c r="A138" s="78" t="s">
        <v>940</v>
      </c>
      <c r="B138" s="78" t="s">
        <v>941</v>
      </c>
      <c r="C138" s="78" t="s">
        <v>691</v>
      </c>
      <c r="D138" s="78" t="s">
        <v>692</v>
      </c>
      <c r="E138" s="78"/>
      <c r="F138" s="78"/>
      <c r="G138" s="78"/>
      <c r="H138" s="78"/>
      <c r="I138" s="78">
        <v>10.781985707180899</v>
      </c>
      <c r="J138" s="78">
        <v>12.013827574190501</v>
      </c>
      <c r="K138" s="78">
        <v>13.4846701243758</v>
      </c>
      <c r="L138" s="78">
        <v>14.4685263201919</v>
      </c>
      <c r="M138" s="78">
        <v>14.525131745118699</v>
      </c>
      <c r="N138" s="78">
        <v>15.946556860839801</v>
      </c>
      <c r="O138" s="78">
        <v>15.101967980461801</v>
      </c>
      <c r="P138" s="78">
        <v>14.6332256366875</v>
      </c>
      <c r="Q138" s="78">
        <v>14.596492846588699</v>
      </c>
      <c r="R138" s="78">
        <v>15.759964047278199</v>
      </c>
      <c r="S138" s="78">
        <v>16.935413331748499</v>
      </c>
      <c r="T138" s="78">
        <v>18.479787595350199</v>
      </c>
      <c r="U138" s="78">
        <v>19.4923349409286</v>
      </c>
      <c r="V138" s="78">
        <v>20.716495099254502</v>
      </c>
      <c r="W138" s="78">
        <v>26.802958717445801</v>
      </c>
      <c r="X138" s="78">
        <v>25.184320334602798</v>
      </c>
      <c r="Y138" s="78">
        <v>27.635834806958901</v>
      </c>
      <c r="Z138" s="78">
        <v>30.730971645602299</v>
      </c>
      <c r="AA138" s="78">
        <v>33.883603286202003</v>
      </c>
      <c r="AB138" s="78">
        <v>37.477028408466097</v>
      </c>
      <c r="AC138" s="78">
        <v>42.153272300905698</v>
      </c>
      <c r="AD138" s="78">
        <v>46.005424031972801</v>
      </c>
      <c r="AE138" s="78">
        <v>47.519453816820103</v>
      </c>
      <c r="AF138" s="78">
        <v>49.589266687244198</v>
      </c>
      <c r="AG138" s="78">
        <v>52.607743789945999</v>
      </c>
      <c r="AH138" s="78">
        <v>53.403088550340399</v>
      </c>
      <c r="AI138" s="78">
        <v>57.916430503904103</v>
      </c>
      <c r="AJ138" s="78">
        <v>64.806224271658394</v>
      </c>
      <c r="AK138" s="78">
        <v>70.871925878040201</v>
      </c>
      <c r="AL138" s="78">
        <v>78.719966345064904</v>
      </c>
      <c r="AM138" s="78">
        <v>82.744602482000701</v>
      </c>
      <c r="AN138" s="78">
        <v>88.733644352440805</v>
      </c>
      <c r="AO138" s="78">
        <v>92.307904540719406</v>
      </c>
      <c r="AP138" s="78">
        <v>95.585108252224302</v>
      </c>
      <c r="AQ138" s="78">
        <v>99.130621039524797</v>
      </c>
      <c r="AR138" s="78">
        <v>101.756216995526</v>
      </c>
      <c r="AS138" s="78">
        <v>98.805286702655494</v>
      </c>
      <c r="AT138" s="78">
        <v>90.096650464788496</v>
      </c>
      <c r="AU138" s="78">
        <v>81.269298640426598</v>
      </c>
      <c r="AV138" s="78">
        <v>79.488564843004895</v>
      </c>
      <c r="AW138" s="78">
        <v>77.7417497845817</v>
      </c>
      <c r="AX138" s="78">
        <v>79.802066116321001</v>
      </c>
      <c r="AY138" s="78">
        <v>80.966592738608796</v>
      </c>
      <c r="AZ138" s="78">
        <v>86.027804597012704</v>
      </c>
      <c r="BA138" s="78">
        <v>94.940912206059494</v>
      </c>
      <c r="BB138" s="78">
        <v>97.276363948559606</v>
      </c>
      <c r="BC138" s="78">
        <v>100</v>
      </c>
      <c r="BD138" s="78">
        <v>115.518481531756</v>
      </c>
      <c r="BE138" s="78">
        <v>122.51867500575401</v>
      </c>
      <c r="BF138" s="78">
        <v>125.711288725735</v>
      </c>
      <c r="BG138" s="78">
        <v>128.769770733721</v>
      </c>
      <c r="BH138" s="78">
        <v>142.16478004291599</v>
      </c>
      <c r="BI138" s="78">
        <v>178.919883449612</v>
      </c>
      <c r="BJ138" s="78">
        <v>225.087687557724</v>
      </c>
      <c r="BK138" s="78">
        <v>254.732194858593</v>
      </c>
      <c r="BL138" s="78">
        <v>249.22442925617801</v>
      </c>
      <c r="BM138" s="78">
        <v>252.83079788885701</v>
      </c>
      <c r="BN138" s="78">
        <v>260.08282021557397</v>
      </c>
      <c r="BO138" s="78">
        <v>271.81333953712198</v>
      </c>
      <c r="BP138" s="78">
        <v>278.26394661213101</v>
      </c>
    </row>
    <row r="139" spans="1:68" x14ac:dyDescent="0.25">
      <c r="A139" s="78" t="s">
        <v>942</v>
      </c>
      <c r="B139" s="78" t="s">
        <v>943</v>
      </c>
      <c r="C139" s="78" t="s">
        <v>691</v>
      </c>
      <c r="D139" s="78" t="s">
        <v>692</v>
      </c>
      <c r="E139" s="78"/>
      <c r="F139" s="78"/>
      <c r="G139" s="78"/>
      <c r="H139" s="78"/>
      <c r="I139" s="78"/>
      <c r="J139" s="78">
        <v>8.2009285123206208</v>
      </c>
      <c r="K139" s="78">
        <v>8.4042302187383502</v>
      </c>
      <c r="L139" s="78">
        <v>8.6737689327526404</v>
      </c>
      <c r="M139" s="78">
        <v>9.0180702097418308</v>
      </c>
      <c r="N139" s="78">
        <v>9.2213719161792298</v>
      </c>
      <c r="O139" s="78">
        <v>10.4569216416805</v>
      </c>
      <c r="P139" s="78">
        <v>11.3343980390728</v>
      </c>
      <c r="Q139" s="78">
        <v>12.227613923447</v>
      </c>
      <c r="R139" s="78">
        <v>13.871078685689501</v>
      </c>
      <c r="S139" s="78">
        <v>18.617845624718299</v>
      </c>
      <c r="T139" s="78">
        <v>21.921170448161099</v>
      </c>
      <c r="U139" s="78">
        <v>24.040754690590401</v>
      </c>
      <c r="V139" s="78">
        <v>26.1721435482578</v>
      </c>
      <c r="W139" s="78">
        <v>29.019023250154</v>
      </c>
      <c r="X139" s="78">
        <v>31.743921928202202</v>
      </c>
      <c r="Y139" s="78">
        <v>37.926917051312003</v>
      </c>
      <c r="Z139" s="78">
        <v>43.663304232329899</v>
      </c>
      <c r="AA139" s="78">
        <v>45.6779585617859</v>
      </c>
      <c r="AB139" s="78">
        <v>46.350821628821798</v>
      </c>
      <c r="AC139" s="78">
        <v>46.909573415471201</v>
      </c>
      <c r="AD139" s="78">
        <v>47.577189986962402</v>
      </c>
      <c r="AE139" s="78">
        <v>48.619253317830697</v>
      </c>
      <c r="AF139" s="78">
        <v>52.0331772152281</v>
      </c>
      <c r="AG139" s="78">
        <v>52.464778072416202</v>
      </c>
      <c r="AH139" s="78">
        <v>54.758872718730601</v>
      </c>
      <c r="AI139" s="78">
        <v>57.095738621163399</v>
      </c>
      <c r="AJ139" s="78">
        <v>60.606869918828302</v>
      </c>
      <c r="AK139" s="78">
        <v>63.721395023401399</v>
      </c>
      <c r="AL139" s="78">
        <v>64.261868168888896</v>
      </c>
      <c r="AM139" s="78">
        <v>66.071428815247103</v>
      </c>
      <c r="AN139" s="78">
        <v>69.791025096108697</v>
      </c>
      <c r="AO139" s="78">
        <v>70.436482233885201</v>
      </c>
      <c r="AP139" s="78">
        <v>70.432593937874699</v>
      </c>
      <c r="AQ139" s="78">
        <v>72.687805742743507</v>
      </c>
      <c r="AR139" s="78">
        <v>75.234639511093107</v>
      </c>
      <c r="AS139" s="78">
        <v>78.026436046777704</v>
      </c>
      <c r="AT139" s="78">
        <v>82.167471298176395</v>
      </c>
      <c r="AU139" s="78">
        <v>81.957503313598394</v>
      </c>
      <c r="AV139" s="78">
        <v>82.805151843931597</v>
      </c>
      <c r="AW139" s="78">
        <v>84.014411903260296</v>
      </c>
      <c r="AX139" s="78">
        <v>87.289523633075405</v>
      </c>
      <c r="AY139" s="78">
        <v>89.380649639527306</v>
      </c>
      <c r="AZ139" s="78">
        <v>91.9039580999858</v>
      </c>
      <c r="BA139" s="78">
        <v>97.004212087270602</v>
      </c>
      <c r="BB139" s="78">
        <v>96.851977472432097</v>
      </c>
      <c r="BC139" s="78">
        <v>100</v>
      </c>
      <c r="BD139" s="78">
        <v>102.769407941441</v>
      </c>
      <c r="BE139" s="78">
        <v>107.062739592043</v>
      </c>
      <c r="BF139" s="78">
        <v>108.63502563188101</v>
      </c>
      <c r="BG139" s="78">
        <v>112.455671155643</v>
      </c>
      <c r="BH139" s="78">
        <v>111.349556102794</v>
      </c>
      <c r="BI139" s="78">
        <v>107.921974406103</v>
      </c>
      <c r="BJ139" s="78">
        <v>108.03449610027199</v>
      </c>
      <c r="BK139" s="78">
        <v>110.12563225934601</v>
      </c>
      <c r="BL139" s="78">
        <v>110.719305842338</v>
      </c>
      <c r="BM139" s="78">
        <v>108.77528704170901</v>
      </c>
      <c r="BN139" s="78">
        <v>111.397536282109</v>
      </c>
      <c r="BO139" s="78">
        <v>118.50263484634699</v>
      </c>
      <c r="BP139" s="78">
        <v>123.326412840445</v>
      </c>
    </row>
    <row r="140" spans="1:68" x14ac:dyDescent="0.25">
      <c r="A140" s="78" t="s">
        <v>944</v>
      </c>
      <c r="B140" s="78" t="s">
        <v>945</v>
      </c>
      <c r="C140" s="78" t="s">
        <v>691</v>
      </c>
      <c r="D140" s="78" t="s">
        <v>692</v>
      </c>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row>
    <row r="141" spans="1:68" x14ac:dyDescent="0.25">
      <c r="A141" s="78" t="s">
        <v>946</v>
      </c>
      <c r="B141" s="78" t="s">
        <v>947</v>
      </c>
      <c r="C141" s="78" t="s">
        <v>691</v>
      </c>
      <c r="D141" s="78" t="s">
        <v>692</v>
      </c>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row>
    <row r="142" spans="1:68" x14ac:dyDescent="0.25">
      <c r="A142" s="78" t="s">
        <v>948</v>
      </c>
      <c r="B142" s="78" t="s">
        <v>949</v>
      </c>
      <c r="C142" s="78" t="s">
        <v>691</v>
      </c>
      <c r="D142" s="78" t="s">
        <v>692</v>
      </c>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row>
    <row r="143" spans="1:68" x14ac:dyDescent="0.25">
      <c r="A143" s="78" t="s">
        <v>950</v>
      </c>
      <c r="B143" s="78" t="s">
        <v>951</v>
      </c>
      <c r="C143" s="78" t="s">
        <v>691</v>
      </c>
      <c r="D143" s="78" t="s">
        <v>692</v>
      </c>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row>
    <row r="144" spans="1:68" x14ac:dyDescent="0.25">
      <c r="A144" s="78" t="s">
        <v>952</v>
      </c>
      <c r="B144" s="78" t="s">
        <v>953</v>
      </c>
      <c r="C144" s="78" t="s">
        <v>691</v>
      </c>
      <c r="D144" s="78" t="s">
        <v>692</v>
      </c>
      <c r="E144" s="78">
        <v>1.4876690344772701</v>
      </c>
      <c r="F144" s="78">
        <v>1.50454580122017</v>
      </c>
      <c r="G144" s="78">
        <v>1.52716785026373</v>
      </c>
      <c r="H144" s="78">
        <v>1.5618789307988601</v>
      </c>
      <c r="I144" s="78">
        <v>1.61179107074419</v>
      </c>
      <c r="J144" s="78">
        <v>1.6153818721815001</v>
      </c>
      <c r="K144" s="78">
        <v>1.6128683111734701</v>
      </c>
      <c r="L144" s="78">
        <v>1.6481778586156099</v>
      </c>
      <c r="M144" s="78">
        <v>1.74477041721725</v>
      </c>
      <c r="N144" s="78">
        <v>1.87487712254117</v>
      </c>
      <c r="O144" s="78">
        <v>1.9848753398307499</v>
      </c>
      <c r="P144" s="78">
        <v>2.0377798143039798</v>
      </c>
      <c r="Q144" s="78">
        <v>2.1671683593457001</v>
      </c>
      <c r="R144" s="78">
        <v>2.37579392271312</v>
      </c>
      <c r="S144" s="78">
        <v>2.6680851595128798</v>
      </c>
      <c r="T144" s="78">
        <v>2.8448722834955</v>
      </c>
      <c r="U144" s="78">
        <v>2.8826953919432801</v>
      </c>
      <c r="V144" s="78">
        <v>2.9180049393842298</v>
      </c>
      <c r="W144" s="78">
        <v>3.2722973476316501</v>
      </c>
      <c r="X144" s="78">
        <v>3.62347772796402</v>
      </c>
      <c r="Y144" s="78">
        <v>4.5708508398747902</v>
      </c>
      <c r="Z144" s="78">
        <v>5.3921868214212303</v>
      </c>
      <c r="AA144" s="78">
        <v>5.97593144135499</v>
      </c>
      <c r="AB144" s="78">
        <v>6.8104336948282302</v>
      </c>
      <c r="AC144" s="78">
        <v>7.9435709343077097</v>
      </c>
      <c r="AD144" s="78">
        <v>8.0612295279917898</v>
      </c>
      <c r="AE144" s="78">
        <v>8.7042223716124401</v>
      </c>
      <c r="AF144" s="78">
        <v>9.3759416267088191</v>
      </c>
      <c r="AG144" s="78">
        <v>10.687781084264699</v>
      </c>
      <c r="AH144" s="78">
        <v>11.924094018306301</v>
      </c>
      <c r="AI144" s="78">
        <v>14.4872080825492</v>
      </c>
      <c r="AJ144" s="78">
        <v>16.252565761335099</v>
      </c>
      <c r="AK144" s="78">
        <v>18.102666353984901</v>
      </c>
      <c r="AL144" s="78">
        <v>20.229138963741999</v>
      </c>
      <c r="AM144" s="78">
        <v>21.938240753380899</v>
      </c>
      <c r="AN144" s="78">
        <v>23.6219675462129</v>
      </c>
      <c r="AO144" s="78">
        <v>27.386324383816302</v>
      </c>
      <c r="AP144" s="78">
        <v>30.008207898210799</v>
      </c>
      <c r="AQ144" s="78">
        <v>32.818249407794703</v>
      </c>
      <c r="AR144" s="78">
        <v>34.357985063086602</v>
      </c>
      <c r="AS144" s="78">
        <v>36.480029017740797</v>
      </c>
      <c r="AT144" s="78">
        <v>41.645037801723802</v>
      </c>
      <c r="AU144" s="78">
        <v>45.622568551180102</v>
      </c>
      <c r="AV144" s="78">
        <v>48.503468542413103</v>
      </c>
      <c r="AW144" s="78">
        <v>52.178055344143601</v>
      </c>
      <c r="AX144" s="78">
        <v>58.251417197779197</v>
      </c>
      <c r="AY144" s="78">
        <v>64.088316153920999</v>
      </c>
      <c r="AZ144" s="78">
        <v>74.241258652680997</v>
      </c>
      <c r="BA144" s="78">
        <v>90.993424142790303</v>
      </c>
      <c r="BB144" s="78">
        <v>94.1463128229218</v>
      </c>
      <c r="BC144" s="78">
        <v>100</v>
      </c>
      <c r="BD144" s="78">
        <v>106.716768435885</v>
      </c>
      <c r="BE144" s="78">
        <v>114.76632221700299</v>
      </c>
      <c r="BF144" s="78">
        <v>122.694896603917</v>
      </c>
      <c r="BG144" s="78">
        <v>126.595370167296</v>
      </c>
      <c r="BH144" s="78">
        <v>131.36594937173601</v>
      </c>
      <c r="BI144" s="78">
        <v>136.566580789574</v>
      </c>
      <c r="BJ144" s="78">
        <v>147.08785819643001</v>
      </c>
      <c r="BK144" s="78">
        <v>150.228239475663</v>
      </c>
      <c r="BL144" s="78">
        <v>155.528883036152</v>
      </c>
      <c r="BM144" s="78">
        <v>165.100045087827</v>
      </c>
      <c r="BN144" s="78">
        <v>176.68145120678199</v>
      </c>
      <c r="BO144" s="78">
        <v>264.52941597326702</v>
      </c>
      <c r="BP144" s="78">
        <v>308.28568755367201</v>
      </c>
    </row>
    <row r="145" spans="1:68" x14ac:dyDescent="0.25">
      <c r="A145" s="78" t="s">
        <v>954</v>
      </c>
      <c r="B145" s="78" t="s">
        <v>955</v>
      </c>
      <c r="C145" s="78" t="s">
        <v>691</v>
      </c>
      <c r="D145" s="78" t="s">
        <v>692</v>
      </c>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row>
    <row r="146" spans="1:68" x14ac:dyDescent="0.25">
      <c r="A146" s="78" t="s">
        <v>956</v>
      </c>
      <c r="B146" s="78" t="s">
        <v>957</v>
      </c>
      <c r="C146" s="78" t="s">
        <v>691</v>
      </c>
      <c r="D146" s="78" t="s">
        <v>692</v>
      </c>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8"/>
      <c r="AI146" s="78"/>
      <c r="AJ146" s="78"/>
      <c r="AK146" s="78"/>
      <c r="AL146" s="78"/>
      <c r="AM146" s="78"/>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row>
    <row r="147" spans="1:68" x14ac:dyDescent="0.25">
      <c r="A147" s="78" t="s">
        <v>958</v>
      </c>
      <c r="B147" s="78" t="s">
        <v>959</v>
      </c>
      <c r="C147" s="78" t="s">
        <v>691</v>
      </c>
      <c r="D147" s="78" t="s">
        <v>692</v>
      </c>
      <c r="E147" s="78"/>
      <c r="F147" s="78"/>
      <c r="G147" s="78"/>
      <c r="H147" s="78"/>
      <c r="I147" s="78"/>
      <c r="J147" s="78"/>
      <c r="K147" s="78"/>
      <c r="L147" s="78"/>
      <c r="M147" s="78"/>
      <c r="N147" s="78"/>
      <c r="O147" s="78"/>
      <c r="P147" s="78"/>
      <c r="Q147" s="78"/>
      <c r="R147" s="78">
        <v>5.7291505502425597</v>
      </c>
      <c r="S147" s="78">
        <v>6.4981649478080596</v>
      </c>
      <c r="T147" s="78">
        <v>7.4216802306236804</v>
      </c>
      <c r="U147" s="78">
        <v>8.2686833460995803</v>
      </c>
      <c r="V147" s="78">
        <v>9.6485869954363395</v>
      </c>
      <c r="W147" s="78">
        <v>10.949561846492999</v>
      </c>
      <c r="X147" s="78">
        <v>12.7018807139203</v>
      </c>
      <c r="Y147" s="78">
        <v>14.7690916826503</v>
      </c>
      <c r="Z147" s="78">
        <v>16.602417635546701</v>
      </c>
      <c r="AA147" s="78">
        <v>18.6179374719609</v>
      </c>
      <c r="AB147" s="78">
        <v>21.874653139839101</v>
      </c>
      <c r="AC147" s="78">
        <v>24.277334978728199</v>
      </c>
      <c r="AD147" s="78">
        <v>27.511276411166602</v>
      </c>
      <c r="AE147" s="78">
        <v>32.464672619303002</v>
      </c>
      <c r="AF147" s="78">
        <v>36.279357055454</v>
      </c>
      <c r="AG147" s="78">
        <v>40.435655023200702</v>
      </c>
      <c r="AH147" s="78">
        <v>46.391117590684203</v>
      </c>
      <c r="AI147" s="78">
        <v>51.788611389894903</v>
      </c>
      <c r="AJ147" s="78">
        <v>60.943854036657299</v>
      </c>
      <c r="AK147" s="78">
        <v>71.431389456642506</v>
      </c>
      <c r="AL147" s="78">
        <v>80.814374457802003</v>
      </c>
      <c r="AM147" s="78">
        <v>87.453064088476793</v>
      </c>
      <c r="AN147" s="78">
        <v>95.560691905012604</v>
      </c>
      <c r="AO147" s="78">
        <v>104.47680507965801</v>
      </c>
      <c r="AP147" s="78"/>
      <c r="AQ147" s="78"/>
      <c r="AR147" s="78">
        <v>65.34307054029</v>
      </c>
      <c r="AS147" s="78">
        <v>69.349891543078897</v>
      </c>
      <c r="AT147" s="78">
        <v>62.681099493454496</v>
      </c>
      <c r="AU147" s="78">
        <v>83.875195362877406</v>
      </c>
      <c r="AV147" s="78">
        <v>89.435419259370605</v>
      </c>
      <c r="AW147" s="78">
        <v>93.928136611202305</v>
      </c>
      <c r="AX147" s="78">
        <v>97.157277207831299</v>
      </c>
      <c r="AY147" s="78">
        <v>103.057365443818</v>
      </c>
      <c r="AZ147" s="78">
        <v>111.314771604833</v>
      </c>
      <c r="BA147" s="78">
        <v>123.242890884457</v>
      </c>
      <c r="BB147" s="78">
        <v>102.46452023524</v>
      </c>
      <c r="BC147" s="78">
        <v>100</v>
      </c>
      <c r="BD147" s="78">
        <v>105.03663052101599</v>
      </c>
      <c r="BE147" s="78">
        <v>111.392855646249</v>
      </c>
      <c r="BF147" s="78">
        <v>116.812250625327</v>
      </c>
      <c r="BG147" s="78">
        <v>123.08540678396599</v>
      </c>
      <c r="BH147" s="78">
        <v>127.04684307241899</v>
      </c>
      <c r="BI147" s="78">
        <v>135.42749430983599</v>
      </c>
      <c r="BJ147" s="78">
        <v>141.45090212615699</v>
      </c>
      <c r="BK147" s="78">
        <v>148.172370359897</v>
      </c>
      <c r="BL147" s="78">
        <v>155.858195070683</v>
      </c>
      <c r="BM147" s="78">
        <v>163.61696683362399</v>
      </c>
      <c r="BN147" s="78">
        <v>173.51210526892501</v>
      </c>
      <c r="BO147" s="78">
        <v>187.864686358543</v>
      </c>
      <c r="BP147" s="78">
        <v>199.77947324393699</v>
      </c>
    </row>
    <row r="148" spans="1:68" x14ac:dyDescent="0.25">
      <c r="A148" s="78" t="s">
        <v>960</v>
      </c>
      <c r="B148" s="78" t="s">
        <v>961</v>
      </c>
      <c r="C148" s="78" t="s">
        <v>691</v>
      </c>
      <c r="D148" s="78" t="s">
        <v>692</v>
      </c>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c r="AF148" s="78"/>
      <c r="AG148" s="78"/>
      <c r="AH148" s="78"/>
      <c r="AI148" s="78"/>
      <c r="AJ148" s="78"/>
      <c r="AK148" s="78"/>
      <c r="AL148" s="78"/>
      <c r="AM148" s="78"/>
      <c r="AN148" s="78"/>
      <c r="AO148" s="78"/>
      <c r="AP148" s="78"/>
      <c r="AQ148" s="78"/>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row>
    <row r="149" spans="1:68" x14ac:dyDescent="0.25">
      <c r="A149" s="78" t="s">
        <v>962</v>
      </c>
      <c r="B149" s="78" t="s">
        <v>963</v>
      </c>
      <c r="C149" s="78" t="s">
        <v>691</v>
      </c>
      <c r="D149" s="78" t="s">
        <v>692</v>
      </c>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c r="AF149" s="78"/>
      <c r="AG149" s="78"/>
      <c r="AH149" s="78"/>
      <c r="AI149" s="78"/>
      <c r="AJ149" s="78">
        <v>0.37287540616064602</v>
      </c>
      <c r="AK149" s="78">
        <v>4.1785184841715601</v>
      </c>
      <c r="AL149" s="78">
        <v>21.3293252627819</v>
      </c>
      <c r="AM149" s="78">
        <v>36.740761322340397</v>
      </c>
      <c r="AN149" s="78">
        <v>51.307602075258998</v>
      </c>
      <c r="AO149" s="78">
        <v>63.942199334393798</v>
      </c>
      <c r="AP149" s="78">
        <v>69.620937059438603</v>
      </c>
      <c r="AQ149" s="78">
        <v>73.149015541662095</v>
      </c>
      <c r="AR149" s="78">
        <v>73.681211662556095</v>
      </c>
      <c r="AS149" s="78">
        <v>74.404477841245594</v>
      </c>
      <c r="AT149" s="78">
        <v>75.4216765680072</v>
      </c>
      <c r="AU149" s="78">
        <v>75.633993573179595</v>
      </c>
      <c r="AV149" s="78">
        <v>74.776070717446302</v>
      </c>
      <c r="AW149" s="78">
        <v>75.646540841807806</v>
      </c>
      <c r="AX149" s="78">
        <v>77.657592662565307</v>
      </c>
      <c r="AY149" s="78">
        <v>80.561303272863995</v>
      </c>
      <c r="AZ149" s="78">
        <v>85.183245279729107</v>
      </c>
      <c r="BA149" s="78">
        <v>94.490269229944701</v>
      </c>
      <c r="BB149" s="78">
        <v>98.697963028517805</v>
      </c>
      <c r="BC149" s="78">
        <v>99.999999999999901</v>
      </c>
      <c r="BD149" s="78">
        <v>104.130275626451</v>
      </c>
      <c r="BE149" s="78">
        <v>107.347883202239</v>
      </c>
      <c r="BF149" s="78">
        <v>108.472330133615</v>
      </c>
      <c r="BG149" s="78">
        <v>108.584878864148</v>
      </c>
      <c r="BH149" s="78">
        <v>107.624882767344</v>
      </c>
      <c r="BI149" s="78">
        <v>108.599453068237</v>
      </c>
      <c r="BJ149" s="78">
        <v>112.642489751195</v>
      </c>
      <c r="BK149" s="78">
        <v>115.68150278788799</v>
      </c>
      <c r="BL149" s="78">
        <v>118.382098321258</v>
      </c>
      <c r="BM149" s="78">
        <v>119.802558548614</v>
      </c>
      <c r="BN149" s="78">
        <v>125.413564341792</v>
      </c>
      <c r="BO149" s="78">
        <v>150.12636507600999</v>
      </c>
      <c r="BP149" s="78">
        <v>163.813865619739</v>
      </c>
    </row>
    <row r="150" spans="1:68" x14ac:dyDescent="0.25">
      <c r="A150" s="78" t="s">
        <v>964</v>
      </c>
      <c r="B150" s="78" t="s">
        <v>965</v>
      </c>
      <c r="C150" s="78" t="s">
        <v>691</v>
      </c>
      <c r="D150" s="78" t="s">
        <v>692</v>
      </c>
      <c r="E150" s="78">
        <v>17.089057239057201</v>
      </c>
      <c r="F150" s="78">
        <v>17.1715005915006</v>
      </c>
      <c r="G150" s="78">
        <v>17.325348075348099</v>
      </c>
      <c r="H150" s="78">
        <v>17.823680953680899</v>
      </c>
      <c r="I150" s="78">
        <v>18.375570115570099</v>
      </c>
      <c r="J150" s="78">
        <v>18.9881526981527</v>
      </c>
      <c r="K150" s="78">
        <v>19.620777140777101</v>
      </c>
      <c r="L150" s="78">
        <v>20.045793975793998</v>
      </c>
      <c r="M150" s="78">
        <v>20.572082082082101</v>
      </c>
      <c r="N150" s="78">
        <v>21.044095004094999</v>
      </c>
      <c r="O150" s="78">
        <v>22.020404950404998</v>
      </c>
      <c r="P150" s="78">
        <v>23.049245609245599</v>
      </c>
      <c r="Q150" s="78">
        <v>24.253725543725601</v>
      </c>
      <c r="R150" s="78">
        <v>25.725465465465501</v>
      </c>
      <c r="S150" s="78">
        <v>28.179843479843498</v>
      </c>
      <c r="T150" s="78">
        <v>31.2000664300664</v>
      </c>
      <c r="U150" s="78">
        <v>34.256845026844999</v>
      </c>
      <c r="V150" s="78">
        <v>36.553935753935797</v>
      </c>
      <c r="W150" s="78">
        <v>37.6851560651561</v>
      </c>
      <c r="X150" s="78">
        <v>39.398522158522198</v>
      </c>
      <c r="Y150" s="78">
        <v>41.880589680589701</v>
      </c>
      <c r="Z150" s="78">
        <v>45.2615861315861</v>
      </c>
      <c r="AA150" s="78">
        <v>49.496735826735801</v>
      </c>
      <c r="AB150" s="78">
        <v>53.787742287742297</v>
      </c>
      <c r="AC150" s="78">
        <v>57.249444899444903</v>
      </c>
      <c r="AD150" s="78">
        <v>59.593001183001199</v>
      </c>
      <c r="AE150" s="78">
        <v>59.768540358540299</v>
      </c>
      <c r="AF150" s="78">
        <v>59.734673764673801</v>
      </c>
      <c r="AG150" s="78">
        <v>60.5928164528165</v>
      </c>
      <c r="AH150" s="78">
        <v>62.635375375375403</v>
      </c>
      <c r="AI150" s="78">
        <v>64.673384293384302</v>
      </c>
      <c r="AJ150" s="78">
        <v>66.690131040131007</v>
      </c>
      <c r="AK150" s="78">
        <v>68.793653653653607</v>
      </c>
      <c r="AL150" s="78">
        <v>71.262037492037507</v>
      </c>
      <c r="AM150" s="78">
        <v>72.826071526071502</v>
      </c>
      <c r="AN150" s="78">
        <v>74.186239876239895</v>
      </c>
      <c r="AO150" s="78">
        <v>75.0645008645009</v>
      </c>
      <c r="AP150" s="78">
        <v>76.091017381017394</v>
      </c>
      <c r="AQ150" s="78">
        <v>76.820403130403093</v>
      </c>
      <c r="AR150" s="78">
        <v>77.607963417963404</v>
      </c>
      <c r="AS150" s="78">
        <v>80.0532095732096</v>
      </c>
      <c r="AT150" s="78">
        <v>82.185683865683899</v>
      </c>
      <c r="AU150" s="78">
        <v>83.890285740285705</v>
      </c>
      <c r="AV150" s="78">
        <v>85.609902629902606</v>
      </c>
      <c r="AW150" s="78">
        <v>87.515304395304398</v>
      </c>
      <c r="AX150" s="78">
        <v>89.692419692419705</v>
      </c>
      <c r="AY150" s="78">
        <v>92.083902083902103</v>
      </c>
      <c r="AZ150" s="78">
        <v>94.213304213304198</v>
      </c>
      <c r="BA150" s="78">
        <v>97.418327418327394</v>
      </c>
      <c r="BB150" s="78">
        <v>97.776867776867803</v>
      </c>
      <c r="BC150" s="78">
        <v>100</v>
      </c>
      <c r="BD150" s="78">
        <v>103.41068341068301</v>
      </c>
      <c r="BE150" s="78">
        <v>106.164346164346</v>
      </c>
      <c r="BF150" s="78">
        <v>108.005278005278</v>
      </c>
      <c r="BG150" s="78">
        <v>108.684138684139</v>
      </c>
      <c r="BH150" s="78">
        <v>109.200109200109</v>
      </c>
      <c r="BI150" s="78">
        <v>109.517699517699</v>
      </c>
      <c r="BJ150" s="78">
        <v>111.413231413231</v>
      </c>
      <c r="BK150" s="78">
        <v>113.11584311584301</v>
      </c>
      <c r="BL150" s="78">
        <v>115.087815087815</v>
      </c>
      <c r="BM150" s="78">
        <v>116.031486031486</v>
      </c>
      <c r="BN150" s="78">
        <v>118.963508963509</v>
      </c>
      <c r="BO150" s="78">
        <v>126.501046501047</v>
      </c>
      <c r="BP150" s="78">
        <v>131.233961233961</v>
      </c>
    </row>
    <row r="151" spans="1:68" x14ac:dyDescent="0.25">
      <c r="A151" s="78" t="s">
        <v>966</v>
      </c>
      <c r="B151" s="78" t="s">
        <v>967</v>
      </c>
      <c r="C151" s="78" t="s">
        <v>691</v>
      </c>
      <c r="D151" s="78" t="s">
        <v>692</v>
      </c>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c r="AF151" s="78"/>
      <c r="AG151" s="78"/>
      <c r="AH151" s="78"/>
      <c r="AI151" s="78"/>
      <c r="AJ151" s="78">
        <v>1.1299904270725101</v>
      </c>
      <c r="AK151" s="78">
        <v>11.8840663239259</v>
      </c>
      <c r="AL151" s="78">
        <v>24.836455617862701</v>
      </c>
      <c r="AM151" s="78">
        <v>33.758879128634199</v>
      </c>
      <c r="AN151" s="78">
        <v>42.190475016017899</v>
      </c>
      <c r="AO151" s="78">
        <v>49.6204158953758</v>
      </c>
      <c r="AP151" s="78">
        <v>53.812042681118001</v>
      </c>
      <c r="AQ151" s="78">
        <v>56.311189222942801</v>
      </c>
      <c r="AR151" s="78">
        <v>57.642846565050903</v>
      </c>
      <c r="AS151" s="78">
        <v>59.172834574156198</v>
      </c>
      <c r="AT151" s="78">
        <v>60.644486660187901</v>
      </c>
      <c r="AU151" s="78">
        <v>61.820307898815898</v>
      </c>
      <c r="AV151" s="78">
        <v>63.639461661920301</v>
      </c>
      <c r="AW151" s="78">
        <v>67.580262440315806</v>
      </c>
      <c r="AX151" s="78">
        <v>72.140882849471595</v>
      </c>
      <c r="AY151" s="78">
        <v>76.856154576107798</v>
      </c>
      <c r="AZ151" s="78">
        <v>84.613229030103398</v>
      </c>
      <c r="BA151" s="78">
        <v>97.6456285716324</v>
      </c>
      <c r="BB151" s="78">
        <v>101.096529301156</v>
      </c>
      <c r="BC151" s="78">
        <v>100</v>
      </c>
      <c r="BD151" s="78">
        <v>104.37073559939201</v>
      </c>
      <c r="BE151" s="78">
        <v>106.727206841374</v>
      </c>
      <c r="BF151" s="78">
        <v>106.695770579258</v>
      </c>
      <c r="BG151" s="78">
        <v>107.357807845492</v>
      </c>
      <c r="BH151" s="78">
        <v>107.544870498588</v>
      </c>
      <c r="BI151" s="78">
        <v>107.69611443606</v>
      </c>
      <c r="BJ151" s="78">
        <v>110.852001659202</v>
      </c>
      <c r="BK151" s="78">
        <v>113.661494917447</v>
      </c>
      <c r="BL151" s="78">
        <v>116.85698464327299</v>
      </c>
      <c r="BM151" s="78">
        <v>117.11297728548401</v>
      </c>
      <c r="BN151" s="78">
        <v>120.94939859653201</v>
      </c>
      <c r="BO151" s="78">
        <v>141.886081804437</v>
      </c>
      <c r="BP151" s="78">
        <v>154.567925394545</v>
      </c>
    </row>
    <row r="152" spans="1:68" x14ac:dyDescent="0.25">
      <c r="A152" s="78" t="s">
        <v>968</v>
      </c>
      <c r="B152" s="78" t="s">
        <v>969</v>
      </c>
      <c r="C152" s="78" t="s">
        <v>691</v>
      </c>
      <c r="D152" s="78" t="s">
        <v>692</v>
      </c>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v>45.608115156576503</v>
      </c>
      <c r="AH152" s="78">
        <v>49.608378099506297</v>
      </c>
      <c r="AI152" s="78">
        <v>53.562013954828501</v>
      </c>
      <c r="AJ152" s="78">
        <v>58.687297542049102</v>
      </c>
      <c r="AK152" s="78">
        <v>63.214389712644198</v>
      </c>
      <c r="AL152" s="78">
        <v>67.453474323808507</v>
      </c>
      <c r="AM152" s="78">
        <v>71.670712015395196</v>
      </c>
      <c r="AN152" s="78">
        <v>77.804768907493695</v>
      </c>
      <c r="AO152" s="78">
        <v>81.556893592802098</v>
      </c>
      <c r="AP152" s="78">
        <v>84.403993490751603</v>
      </c>
      <c r="AQ152" s="78">
        <v>84.549700429306</v>
      </c>
      <c r="AR152" s="78">
        <v>81.840590649620097</v>
      </c>
      <c r="AS152" s="78">
        <v>80.523187243477807</v>
      </c>
      <c r="AT152" s="78">
        <v>78.925083738264703</v>
      </c>
      <c r="AU152" s="78">
        <v>76.843421238854503</v>
      </c>
      <c r="AV152" s="78">
        <v>75.642779638628099</v>
      </c>
      <c r="AW152" s="78">
        <v>76.384629900457497</v>
      </c>
      <c r="AX152" s="78">
        <v>79.7424163796763</v>
      </c>
      <c r="AY152" s="78">
        <v>83.849129593810403</v>
      </c>
      <c r="AZ152" s="78">
        <v>88.520781242628601</v>
      </c>
      <c r="BA152" s="78">
        <v>96.143322168231293</v>
      </c>
      <c r="BB152" s="78">
        <v>97.267301976694696</v>
      </c>
      <c r="BC152" s="78">
        <v>100</v>
      </c>
      <c r="BD152" s="78">
        <v>105.80624616691</v>
      </c>
      <c r="BE152" s="78">
        <v>112.268245506439</v>
      </c>
      <c r="BF152" s="78">
        <v>118.443647685993</v>
      </c>
      <c r="BG152" s="78">
        <v>125.607397273199</v>
      </c>
      <c r="BH152" s="78">
        <v>131.33580223616499</v>
      </c>
      <c r="BI152" s="78">
        <v>134.44709156956199</v>
      </c>
      <c r="BJ152" s="78">
        <v>136.098268622918</v>
      </c>
      <c r="BK152" s="78">
        <v>140.187290654338</v>
      </c>
      <c r="BL152" s="78">
        <v>144.04514789828701</v>
      </c>
      <c r="BM152" s="78">
        <v>145.213945369627</v>
      </c>
      <c r="BN152" s="78">
        <v>145.25236079633899</v>
      </c>
      <c r="BO152" s="78">
        <v>146.77028867174599</v>
      </c>
      <c r="BP152" s="78"/>
    </row>
    <row r="153" spans="1:68" x14ac:dyDescent="0.25">
      <c r="A153" s="78" t="s">
        <v>970</v>
      </c>
      <c r="B153" s="78" t="s">
        <v>971</v>
      </c>
      <c r="C153" s="78" t="s">
        <v>691</v>
      </c>
      <c r="D153" s="78" t="s">
        <v>692</v>
      </c>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c r="AI153" s="78"/>
      <c r="AJ153" s="78"/>
      <c r="AK153" s="78"/>
      <c r="AL153" s="78"/>
      <c r="AM153" s="78"/>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row>
    <row r="154" spans="1:68" x14ac:dyDescent="0.25">
      <c r="A154" s="78" t="s">
        <v>972</v>
      </c>
      <c r="B154" s="78" t="s">
        <v>973</v>
      </c>
      <c r="C154" s="78" t="s">
        <v>691</v>
      </c>
      <c r="D154" s="78" t="s">
        <v>692</v>
      </c>
      <c r="E154" s="78">
        <v>9.9428060716900593</v>
      </c>
      <c r="F154" s="78">
        <v>10.118110131961</v>
      </c>
      <c r="G154" s="78">
        <v>10.633802793542801</v>
      </c>
      <c r="H154" s="78">
        <v>11.239898894187</v>
      </c>
      <c r="I154" s="78">
        <v>11.6919160898762</v>
      </c>
      <c r="J154" s="78">
        <v>12.099124624481</v>
      </c>
      <c r="K154" s="78">
        <v>11.9764903939784</v>
      </c>
      <c r="L154" s="78">
        <v>11.886873071683899</v>
      </c>
      <c r="M154" s="78">
        <v>11.9387567846056</v>
      </c>
      <c r="N154" s="78">
        <v>12.2909371388167</v>
      </c>
      <c r="O154" s="78">
        <v>12.4481605112121</v>
      </c>
      <c r="P154" s="78">
        <v>12.9654254064867</v>
      </c>
      <c r="Q154" s="78">
        <v>13.452817860986</v>
      </c>
      <c r="R154" s="78">
        <v>14.0023135475908</v>
      </c>
      <c r="S154" s="78">
        <v>16.460674917374799</v>
      </c>
      <c r="T154" s="78">
        <v>17.7640787726375</v>
      </c>
      <c r="U154" s="78">
        <v>19.2744078300694</v>
      </c>
      <c r="V154" s="78">
        <v>21.702405175626701</v>
      </c>
      <c r="W154" s="78">
        <v>23.8110179699292</v>
      </c>
      <c r="X154" s="78">
        <v>25.794800886786401</v>
      </c>
      <c r="Y154" s="78">
        <v>28.221673638875899</v>
      </c>
      <c r="Z154" s="78">
        <v>31.747274230938299</v>
      </c>
      <c r="AA154" s="78">
        <v>35.089566084116299</v>
      </c>
      <c r="AB154" s="78">
        <v>37.267903674794603</v>
      </c>
      <c r="AC154" s="78">
        <v>41.906851822248598</v>
      </c>
      <c r="AD154" s="78">
        <v>45.1456810743083</v>
      </c>
      <c r="AE154" s="78">
        <v>49.088505851337501</v>
      </c>
      <c r="AF154" s="78">
        <v>50.413276982927101</v>
      </c>
      <c r="AG154" s="78">
        <v>51.6075952696199</v>
      </c>
      <c r="AH154" s="78">
        <v>53.289987131100602</v>
      </c>
      <c r="AI154" s="78">
        <v>56.904430608907496</v>
      </c>
      <c r="AJ154" s="78">
        <v>61.448912903188102</v>
      </c>
      <c r="AK154" s="78">
        <v>64.976232054478402</v>
      </c>
      <c r="AL154" s="78">
        <v>68.344024208976194</v>
      </c>
      <c r="AM154" s="78">
        <v>71.858049443866705</v>
      </c>
      <c r="AN154" s="78">
        <v>76.258335772046195</v>
      </c>
      <c r="AO154" s="78">
        <v>78.536026781799094</v>
      </c>
      <c r="AP154" s="78">
        <v>79.351386987624807</v>
      </c>
      <c r="AQ154" s="78">
        <v>81.536020582581799</v>
      </c>
      <c r="AR154" s="78">
        <v>82.094365071353806</v>
      </c>
      <c r="AS154" s="78">
        <v>83.649753290075907</v>
      </c>
      <c r="AT154" s="78">
        <v>84.168216029649898</v>
      </c>
      <c r="AU154" s="78">
        <v>86.521239232332107</v>
      </c>
      <c r="AV154" s="78">
        <v>87.531576878681506</v>
      </c>
      <c r="AW154" s="78">
        <v>88.838811991282697</v>
      </c>
      <c r="AX154" s="78">
        <v>89.711779168172299</v>
      </c>
      <c r="AY154" s="78">
        <v>92.658597303358107</v>
      </c>
      <c r="AZ154" s="78">
        <v>94.550764737529803</v>
      </c>
      <c r="BA154" s="78">
        <v>98.063177311505697</v>
      </c>
      <c r="BB154" s="78">
        <v>99.016217047113997</v>
      </c>
      <c r="BC154" s="78">
        <v>100</v>
      </c>
      <c r="BD154" s="78">
        <v>100.90692490969199</v>
      </c>
      <c r="BE154" s="78">
        <v>102.205720544155</v>
      </c>
      <c r="BF154" s="78">
        <v>104.127857197756</v>
      </c>
      <c r="BG154" s="78">
        <v>104.588425178695</v>
      </c>
      <c r="BH154" s="78">
        <v>106.217815694412</v>
      </c>
      <c r="BI154" s="78">
        <v>107.95480747060201</v>
      </c>
      <c r="BJ154" s="78">
        <v>108.76950272846</v>
      </c>
      <c r="BK154" s="78">
        <v>110.731613965107</v>
      </c>
      <c r="BL154" s="78">
        <v>111.06755821996801</v>
      </c>
      <c r="BM154" s="78">
        <v>111.851660373914</v>
      </c>
      <c r="BN154" s="78">
        <v>113.41977461378799</v>
      </c>
      <c r="BO154" s="78">
        <v>120.97017667742701</v>
      </c>
      <c r="BP154" s="78">
        <v>128.33864134194101</v>
      </c>
    </row>
    <row r="155" spans="1:68" x14ac:dyDescent="0.25">
      <c r="A155" s="78" t="s">
        <v>974</v>
      </c>
      <c r="B155" s="78" t="s">
        <v>975</v>
      </c>
      <c r="C155" s="78" t="s">
        <v>691</v>
      </c>
      <c r="D155" s="78" t="s">
        <v>692</v>
      </c>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row>
    <row r="156" spans="1:68" x14ac:dyDescent="0.25">
      <c r="A156" s="78" t="s">
        <v>976</v>
      </c>
      <c r="B156" s="78" t="s">
        <v>170</v>
      </c>
      <c r="C156" s="78" t="s">
        <v>691</v>
      </c>
      <c r="D156" s="78" t="s">
        <v>692</v>
      </c>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v>1.0014185884712199E-2</v>
      </c>
      <c r="AK156" s="78">
        <v>0.112842476699455</v>
      </c>
      <c r="AL156" s="78">
        <v>1.93367318173962</v>
      </c>
      <c r="AM156" s="78">
        <v>11.339555018190399</v>
      </c>
      <c r="AN156" s="78">
        <v>14.7261823421022</v>
      </c>
      <c r="AO156" s="78">
        <v>18.187671241506902</v>
      </c>
      <c r="AP156" s="78">
        <v>20.328875303225701</v>
      </c>
      <c r="AQ156" s="78">
        <v>21.893337809315501</v>
      </c>
      <c r="AR156" s="78">
        <v>30.4877822719561</v>
      </c>
      <c r="AS156" s="78">
        <v>40.030245190851701</v>
      </c>
      <c r="AT156" s="78">
        <v>43.939063674799499</v>
      </c>
      <c r="AU156" s="78">
        <v>46.268380608726297</v>
      </c>
      <c r="AV156" s="78">
        <v>51.703101242278997</v>
      </c>
      <c r="AW156" s="78">
        <v>58.178540778186999</v>
      </c>
      <c r="AX156" s="78">
        <v>65.136219356752804</v>
      </c>
      <c r="AY156" s="78">
        <v>73.459166392460602</v>
      </c>
      <c r="AZ156" s="78">
        <v>82.543984060540097</v>
      </c>
      <c r="BA156" s="78">
        <v>93.0956205548393</v>
      </c>
      <c r="BB156" s="78">
        <v>93.037232288027994</v>
      </c>
      <c r="BC156" s="78">
        <v>100</v>
      </c>
      <c r="BD156" s="78">
        <v>107.68725103356201</v>
      </c>
      <c r="BE156" s="78">
        <v>112.583073435548</v>
      </c>
      <c r="BF156" s="78">
        <v>117.759506896909</v>
      </c>
      <c r="BG156" s="78">
        <v>123.75203566322401</v>
      </c>
      <c r="BH156" s="78">
        <v>135.72658004852599</v>
      </c>
      <c r="BI156" s="78">
        <v>144.35785264231299</v>
      </c>
      <c r="BJ156" s="78">
        <v>153.842495547244</v>
      </c>
      <c r="BK156" s="78">
        <v>158.52708257063799</v>
      </c>
      <c r="BL156" s="78">
        <v>166.19627963692099</v>
      </c>
      <c r="BM156" s="78">
        <v>172.45518370083499</v>
      </c>
      <c r="BN156" s="78">
        <v>181.261454671574</v>
      </c>
      <c r="BO156" s="78">
        <v>233.351098473522</v>
      </c>
      <c r="BP156" s="78">
        <v>264.659839713206</v>
      </c>
    </row>
    <row r="157" spans="1:68" x14ac:dyDescent="0.25">
      <c r="A157" s="78" t="s">
        <v>977</v>
      </c>
      <c r="B157" s="78" t="s">
        <v>978</v>
      </c>
      <c r="C157" s="78" t="s">
        <v>691</v>
      </c>
      <c r="D157" s="78" t="s">
        <v>692</v>
      </c>
      <c r="E157" s="78"/>
      <c r="F157" s="78"/>
      <c r="G157" s="78"/>
      <c r="H157" s="78"/>
      <c r="I157" s="78">
        <v>0.56625749247499102</v>
      </c>
      <c r="J157" s="78">
        <v>0.59005084162020505</v>
      </c>
      <c r="K157" s="78">
        <v>0.60900076091240596</v>
      </c>
      <c r="L157" s="78">
        <v>0.61396527650927701</v>
      </c>
      <c r="M157" s="78">
        <v>0.61983793520445796</v>
      </c>
      <c r="N157" s="78">
        <v>0.64357074147592697</v>
      </c>
      <c r="O157" s="78">
        <v>0.66209686065554296</v>
      </c>
      <c r="P157" s="78">
        <v>0.697756612935583</v>
      </c>
      <c r="Q157" s="78">
        <v>0.73698839472906696</v>
      </c>
      <c r="R157" s="78">
        <v>0.78209283521711903</v>
      </c>
      <c r="S157" s="78">
        <v>0.95494273803169905</v>
      </c>
      <c r="T157" s="78">
        <v>1.0331641301291301</v>
      </c>
      <c r="U157" s="78">
        <v>1.08468611517062</v>
      </c>
      <c r="V157" s="78">
        <v>1.1184084955095801</v>
      </c>
      <c r="W157" s="78">
        <v>1.19142320051697</v>
      </c>
      <c r="X157" s="78">
        <v>1.3588847876196799</v>
      </c>
      <c r="Y157" s="78">
        <v>1.60644459589138</v>
      </c>
      <c r="Z157" s="78">
        <v>2.0970234969438502</v>
      </c>
      <c r="AA157" s="78">
        <v>2.7636610730854998</v>
      </c>
      <c r="AB157" s="78">
        <v>3.29783084280175</v>
      </c>
      <c r="AC157" s="78">
        <v>3.6228855286920001</v>
      </c>
      <c r="AD157" s="78">
        <v>4.0053348583219499</v>
      </c>
      <c r="AE157" s="78">
        <v>4.5860015546066801</v>
      </c>
      <c r="AF157" s="78">
        <v>5.2735869648559497</v>
      </c>
      <c r="AG157" s="78">
        <v>6.6897453104726896</v>
      </c>
      <c r="AH157" s="78">
        <v>7.2926917840735497</v>
      </c>
      <c r="AI157" s="78">
        <v>8.1520978682951899</v>
      </c>
      <c r="AJ157" s="78">
        <v>8.8525789105245103</v>
      </c>
      <c r="AK157" s="78">
        <v>10.1372986785544</v>
      </c>
      <c r="AL157" s="78">
        <v>11.1518761466338</v>
      </c>
      <c r="AM157" s="78">
        <v>15.4946164369629</v>
      </c>
      <c r="AN157" s="78">
        <v>23.099406732072801</v>
      </c>
      <c r="AO157" s="78">
        <v>27.663007423616602</v>
      </c>
      <c r="AP157" s="78">
        <v>28.904075780112599</v>
      </c>
      <c r="AQ157" s="78">
        <v>30.698445454234601</v>
      </c>
      <c r="AR157" s="78">
        <v>33.746658031085197</v>
      </c>
      <c r="AS157" s="78">
        <v>37.7489052028752</v>
      </c>
      <c r="AT157" s="78">
        <v>40.737465207489898</v>
      </c>
      <c r="AU157" s="78">
        <v>47.458546305668001</v>
      </c>
      <c r="AV157" s="78">
        <v>46.649850400430203</v>
      </c>
      <c r="AW157" s="78">
        <v>53.160211063859997</v>
      </c>
      <c r="AX157" s="78">
        <v>62.922459005545598</v>
      </c>
      <c r="AY157" s="78">
        <v>69.696462631392393</v>
      </c>
      <c r="AZ157" s="78">
        <v>76.866811232282203</v>
      </c>
      <c r="BA157" s="78">
        <v>84.012740790545806</v>
      </c>
      <c r="BB157" s="78">
        <v>91.535424768810103</v>
      </c>
      <c r="BC157" s="78">
        <v>100</v>
      </c>
      <c r="BD157" s="78">
        <v>109.48254048583</v>
      </c>
      <c r="BE157" s="78">
        <v>115.738202430759</v>
      </c>
      <c r="BF157" s="78">
        <v>122.481607135743</v>
      </c>
      <c r="BG157" s="78">
        <v>129.92898871036499</v>
      </c>
      <c r="BH157" s="78">
        <v>139.549180162949</v>
      </c>
      <c r="BI157" s="78">
        <v>147.97203178011301</v>
      </c>
      <c r="BJ157" s="78">
        <v>160.711019098127</v>
      </c>
      <c r="BK157" s="78">
        <v>174.52289305376701</v>
      </c>
      <c r="BL157" s="78">
        <v>184.31452512589101</v>
      </c>
      <c r="BM157" s="78">
        <v>192.059040165303</v>
      </c>
      <c r="BN157" s="78">
        <v>203.221994008737</v>
      </c>
      <c r="BO157" s="78">
        <v>219.806108379759</v>
      </c>
      <c r="BP157" s="78">
        <v>241.51048173862199</v>
      </c>
    </row>
    <row r="158" spans="1:68" x14ac:dyDescent="0.25">
      <c r="A158" s="78" t="s">
        <v>979</v>
      </c>
      <c r="B158" s="78" t="s">
        <v>980</v>
      </c>
      <c r="C158" s="78" t="s">
        <v>691</v>
      </c>
      <c r="D158" s="78" t="s">
        <v>692</v>
      </c>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v>24.8035203541275</v>
      </c>
      <c r="AE158" s="78">
        <v>27.214966542402699</v>
      </c>
      <c r="AF158" s="78">
        <v>29.855926580108498</v>
      </c>
      <c r="AG158" s="78">
        <v>31.783532761475598</v>
      </c>
      <c r="AH158" s="78">
        <v>34.061095870916198</v>
      </c>
      <c r="AI158" s="78">
        <v>35.304295888665699</v>
      </c>
      <c r="AJ158" s="78">
        <v>40.49885596283</v>
      </c>
      <c r="AK158" s="78">
        <v>47.3253422141401</v>
      </c>
      <c r="AL158" s="78">
        <v>56.850683888597899</v>
      </c>
      <c r="AM158" s="78">
        <v>58.775705454543498</v>
      </c>
      <c r="AN158" s="78">
        <v>62.0018224236807</v>
      </c>
      <c r="AO158" s="78">
        <v>65.871508632775601</v>
      </c>
      <c r="AP158" s="78">
        <v>70.859849076648601</v>
      </c>
      <c r="AQ158" s="78">
        <v>69.864797989167499</v>
      </c>
      <c r="AR158" s="78">
        <v>71.928400368553696</v>
      </c>
      <c r="AS158" s="78">
        <v>71.083416585634495</v>
      </c>
      <c r="AT158" s="78">
        <v>71.5615075594567</v>
      </c>
      <c r="AU158" s="78">
        <v>74.551828524186305</v>
      </c>
      <c r="AV158" s="78">
        <v>73.611990052102996</v>
      </c>
      <c r="AW158" s="78">
        <v>72.371324646609395</v>
      </c>
      <c r="AX158" s="78">
        <v>73.3123508948959</v>
      </c>
      <c r="AY158" s="78">
        <v>75.319951939077797</v>
      </c>
      <c r="AZ158" s="78">
        <v>80.437772103249003</v>
      </c>
      <c r="BA158" s="78">
        <v>90.123652929140505</v>
      </c>
      <c r="BB158" s="78">
        <v>94.206413557386099</v>
      </c>
      <c r="BC158" s="78">
        <v>100</v>
      </c>
      <c r="BD158" s="78">
        <v>111.273414605594</v>
      </c>
      <c r="BE158" s="78">
        <v>123.385187134304</v>
      </c>
      <c r="BF158" s="78">
        <v>128.08077084278699</v>
      </c>
      <c r="BG158" s="78">
        <v>130.79608543526601</v>
      </c>
      <c r="BH158" s="78">
        <v>132.04284243105499</v>
      </c>
      <c r="BI158" s="78">
        <v>132.70637014427101</v>
      </c>
      <c r="BJ158" s="78">
        <v>136.445336799763</v>
      </c>
      <c r="BK158" s="78">
        <v>136.26335503387301</v>
      </c>
      <c r="BL158" s="78">
        <v>136.563174927495</v>
      </c>
      <c r="BM158" s="78">
        <v>134.69256771457401</v>
      </c>
      <c r="BN158" s="78">
        <v>135.42414997686799</v>
      </c>
      <c r="BO158" s="78">
        <v>138.58378956189</v>
      </c>
      <c r="BP158" s="78">
        <v>142.64078208493001</v>
      </c>
    </row>
    <row r="159" spans="1:68" x14ac:dyDescent="0.25">
      <c r="A159" s="78" t="s">
        <v>981</v>
      </c>
      <c r="B159" s="78" t="s">
        <v>173</v>
      </c>
      <c r="C159" s="78" t="s">
        <v>691</v>
      </c>
      <c r="D159" s="78" t="s">
        <v>692</v>
      </c>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row>
    <row r="160" spans="1:68" x14ac:dyDescent="0.25">
      <c r="A160" s="78" t="s">
        <v>177</v>
      </c>
      <c r="B160" s="78" t="s">
        <v>176</v>
      </c>
      <c r="C160" s="78" t="s">
        <v>691</v>
      </c>
      <c r="D160" s="78" t="s">
        <v>692</v>
      </c>
      <c r="E160" s="78">
        <v>1.2904548190088801E-2</v>
      </c>
      <c r="F160" s="78">
        <v>1.3112151359653299E-2</v>
      </c>
      <c r="G160" s="78">
        <v>1.32693639798707E-2</v>
      </c>
      <c r="H160" s="78">
        <v>1.33481913011842E-2</v>
      </c>
      <c r="I160" s="78">
        <v>1.36602590890651E-2</v>
      </c>
      <c r="J160" s="78">
        <v>1.41476624140679E-2</v>
      </c>
      <c r="K160" s="78">
        <v>1.47440979217918E-2</v>
      </c>
      <c r="L160" s="78">
        <v>1.51889197591989E-2</v>
      </c>
      <c r="M160" s="78">
        <v>1.55434216938851E-2</v>
      </c>
      <c r="N160" s="78">
        <v>1.60667692256833E-2</v>
      </c>
      <c r="O160" s="78">
        <v>1.6870655893943601E-2</v>
      </c>
      <c r="P160" s="78">
        <v>1.7793316956222299E-2</v>
      </c>
      <c r="Q160" s="78">
        <v>1.8672963807849999E-2</v>
      </c>
      <c r="R160" s="78">
        <v>2.0929019990743699E-2</v>
      </c>
      <c r="S160" s="78">
        <v>2.5906781337322601E-2</v>
      </c>
      <c r="T160" s="78">
        <v>2.9778429248627902E-2</v>
      </c>
      <c r="U160" s="78">
        <v>3.4490783038909803E-2</v>
      </c>
      <c r="V160" s="78">
        <v>4.4515227234913503E-2</v>
      </c>
      <c r="W160" s="78">
        <v>5.2286380690545101E-2</v>
      </c>
      <c r="X160" s="78">
        <v>6.1797924982671698E-2</v>
      </c>
      <c r="Y160" s="78">
        <v>7.8082698719522906E-2</v>
      </c>
      <c r="Z160" s="78">
        <v>9.9894134410133395E-2</v>
      </c>
      <c r="AA160" s="78">
        <v>0.15874518522379999</v>
      </c>
      <c r="AB160" s="78">
        <v>0.32046674494064797</v>
      </c>
      <c r="AC160" s="78">
        <v>0.53020840674546399</v>
      </c>
      <c r="AD160" s="78">
        <v>0.83639553493194396</v>
      </c>
      <c r="AE160" s="78">
        <v>1.5576471478797</v>
      </c>
      <c r="AF160" s="78">
        <v>3.61105263368212</v>
      </c>
      <c r="AG160" s="78">
        <v>7.7335118776891596</v>
      </c>
      <c r="AH160" s="78">
        <v>9.2808233998395799</v>
      </c>
      <c r="AI160" s="78">
        <v>11.7543180636708</v>
      </c>
      <c r="AJ160" s="78">
        <v>14.418123874751</v>
      </c>
      <c r="AK160" s="78">
        <v>16.6540715669279</v>
      </c>
      <c r="AL160" s="78">
        <v>18.278086769687</v>
      </c>
      <c r="AM160" s="78">
        <v>19.551303999238598</v>
      </c>
      <c r="AN160" s="78">
        <v>26.394117926461199</v>
      </c>
      <c r="AO160" s="78">
        <v>35.467988935687004</v>
      </c>
      <c r="AP160" s="78">
        <v>42.783484650113799</v>
      </c>
      <c r="AQ160" s="78">
        <v>49.598207085054703</v>
      </c>
      <c r="AR160" s="78">
        <v>57.824375736543097</v>
      </c>
      <c r="AS160" s="78">
        <v>63.312811918303503</v>
      </c>
      <c r="AT160" s="78">
        <v>67.344405941169597</v>
      </c>
      <c r="AU160" s="78">
        <v>70.732319377096999</v>
      </c>
      <c r="AV160" s="78">
        <v>73.948447292572695</v>
      </c>
      <c r="AW160" s="78">
        <v>77.415452838715396</v>
      </c>
      <c r="AX160" s="78">
        <v>80.502825337738201</v>
      </c>
      <c r="AY160" s="78">
        <v>83.424649320091703</v>
      </c>
      <c r="AZ160" s="78">
        <v>86.733979232934402</v>
      </c>
      <c r="BA160" s="78">
        <v>91.179080703332403</v>
      </c>
      <c r="BB160" s="78">
        <v>96.009161061915407</v>
      </c>
      <c r="BC160" s="78">
        <v>100</v>
      </c>
      <c r="BD160" s="78">
        <v>103.40737824605699</v>
      </c>
      <c r="BE160" s="78">
        <v>107.65898274763499</v>
      </c>
      <c r="BF160" s="78">
        <v>111.756904251934</v>
      </c>
      <c r="BG160" s="78">
        <v>116.247985177591</v>
      </c>
      <c r="BH160" s="78">
        <v>119.41067511672099</v>
      </c>
      <c r="BI160" s="78">
        <v>122.780095507214</v>
      </c>
      <c r="BJ160" s="78">
        <v>130.197802476747</v>
      </c>
      <c r="BK160" s="78">
        <v>136.57664871233001</v>
      </c>
      <c r="BL160" s="78">
        <v>141.54252296997399</v>
      </c>
      <c r="BM160" s="78">
        <v>146.35048773505801</v>
      </c>
      <c r="BN160" s="78">
        <v>154.67667208917399</v>
      </c>
      <c r="BO160" s="78">
        <v>166.89036932144299</v>
      </c>
      <c r="BP160" s="78">
        <v>176.11600363857801</v>
      </c>
    </row>
    <row r="161" spans="1:68" x14ac:dyDescent="0.25">
      <c r="A161" s="78" t="s">
        <v>982</v>
      </c>
      <c r="B161" s="78" t="s">
        <v>983</v>
      </c>
      <c r="C161" s="78" t="s">
        <v>691</v>
      </c>
      <c r="D161" s="78" t="s">
        <v>692</v>
      </c>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c r="AF161" s="78"/>
      <c r="AG161" s="78"/>
      <c r="AH161" s="78"/>
      <c r="AI161" s="78"/>
      <c r="AJ161" s="78"/>
      <c r="AK161" s="78"/>
      <c r="AL161" s="78"/>
      <c r="AM161" s="78"/>
      <c r="AN161" s="78"/>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c r="BN161" s="78"/>
      <c r="BO161" s="78"/>
      <c r="BP161" s="78"/>
    </row>
    <row r="162" spans="1:68" x14ac:dyDescent="0.25">
      <c r="A162" s="78" t="s">
        <v>984</v>
      </c>
      <c r="B162" s="78" t="s">
        <v>985</v>
      </c>
      <c r="C162" s="78" t="s">
        <v>691</v>
      </c>
      <c r="D162" s="78" t="s">
        <v>692</v>
      </c>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c r="BD162" s="78"/>
      <c r="BE162" s="78"/>
      <c r="BF162" s="78"/>
      <c r="BG162" s="78"/>
      <c r="BH162" s="78"/>
      <c r="BI162" s="78"/>
      <c r="BJ162" s="78"/>
      <c r="BK162" s="78"/>
      <c r="BL162" s="78"/>
      <c r="BM162" s="78"/>
      <c r="BN162" s="78"/>
      <c r="BO162" s="78"/>
      <c r="BP162" s="78"/>
    </row>
    <row r="163" spans="1:68" x14ac:dyDescent="0.25">
      <c r="A163" s="78" t="s">
        <v>986</v>
      </c>
      <c r="B163" s="78" t="s">
        <v>987</v>
      </c>
      <c r="C163" s="78" t="s">
        <v>691</v>
      </c>
      <c r="D163" s="78" t="s">
        <v>692</v>
      </c>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c r="AI163" s="78"/>
      <c r="AJ163" s="78"/>
      <c r="AK163" s="78"/>
      <c r="AL163" s="78">
        <v>27.5915658594425</v>
      </c>
      <c r="AM163" s="78">
        <v>62.517899301038298</v>
      </c>
      <c r="AN163" s="78">
        <v>72.754323166742296</v>
      </c>
      <c r="AO163" s="78">
        <v>74.548881364417596</v>
      </c>
      <c r="AP163" s="78">
        <v>75.5138158969324</v>
      </c>
      <c r="AQ163" s="78">
        <v>75.924761820650403</v>
      </c>
      <c r="AR163" s="78">
        <v>74.953466535026706</v>
      </c>
      <c r="AS163" s="78">
        <v>79.905959054990106</v>
      </c>
      <c r="AT163" s="78">
        <v>84.060178180116395</v>
      </c>
      <c r="AU163" s="78">
        <v>86.0058333333333</v>
      </c>
      <c r="AV163" s="78">
        <v>86.741666666666603</v>
      </c>
      <c r="AW163" s="78">
        <v>86.352499999999907</v>
      </c>
      <c r="AX163" s="78">
        <v>86.806296161340498</v>
      </c>
      <c r="AY163" s="78">
        <v>89.5959287256089</v>
      </c>
      <c r="AZ163" s="78">
        <v>91.613412203179706</v>
      </c>
      <c r="BA163" s="78">
        <v>99.246547043517495</v>
      </c>
      <c r="BB163" s="78">
        <v>98.512485874418203</v>
      </c>
      <c r="BC163" s="78">
        <v>100</v>
      </c>
      <c r="BD163" s="78">
        <v>103.904754220697</v>
      </c>
      <c r="BE163" s="78">
        <v>107.35029371118701</v>
      </c>
      <c r="BF163" s="78">
        <v>110.34</v>
      </c>
      <c r="BG163" s="78">
        <v>110.029166666667</v>
      </c>
      <c r="BH163" s="78">
        <v>109.699166666666</v>
      </c>
      <c r="BI163" s="78">
        <v>109.43666666666699</v>
      </c>
      <c r="BJ163" s="78">
        <v>110.915833333333</v>
      </c>
      <c r="BK163" s="78">
        <v>112.533333333333</v>
      </c>
      <c r="BL163" s="78">
        <v>113.395833333333</v>
      </c>
      <c r="BM163" s="78">
        <v>114.756666666667</v>
      </c>
      <c r="BN163" s="78">
        <v>118.464166666667</v>
      </c>
      <c r="BO163" s="78">
        <v>135.291666666667</v>
      </c>
      <c r="BP163" s="78">
        <v>147.95750000000001</v>
      </c>
    </row>
    <row r="164" spans="1:68" x14ac:dyDescent="0.25">
      <c r="A164" s="78" t="s">
        <v>988</v>
      </c>
      <c r="B164" s="78" t="s">
        <v>989</v>
      </c>
      <c r="C164" s="78" t="s">
        <v>691</v>
      </c>
      <c r="D164" s="78" t="s">
        <v>692</v>
      </c>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v>52.594061990904002</v>
      </c>
      <c r="AH164" s="78">
        <v>52.553726028030603</v>
      </c>
      <c r="AI164" s="78">
        <v>52.872380134731998</v>
      </c>
      <c r="AJ164" s="78">
        <v>53.824308858549401</v>
      </c>
      <c r="AK164" s="78">
        <v>50.464323151177197</v>
      </c>
      <c r="AL164" s="78">
        <v>50.331214473694303</v>
      </c>
      <c r="AM164" s="78">
        <v>61.996374936743301</v>
      </c>
      <c r="AN164" s="78">
        <v>70.329784866431893</v>
      </c>
      <c r="AO164" s="78">
        <v>75.116050221014703</v>
      </c>
      <c r="AP164" s="78">
        <v>74.843379111989194</v>
      </c>
      <c r="AQ164" s="78">
        <v>77.864499064394707</v>
      </c>
      <c r="AR164" s="78">
        <v>76.928642779762299</v>
      </c>
      <c r="AS164" s="78">
        <v>76.407326862818806</v>
      </c>
      <c r="AT164" s="78">
        <v>80.370584014519196</v>
      </c>
      <c r="AU164" s="78">
        <v>84.415493056825696</v>
      </c>
      <c r="AV164" s="78">
        <v>83.278647503009793</v>
      </c>
      <c r="AW164" s="78">
        <v>80.697191576941705</v>
      </c>
      <c r="AX164" s="78">
        <v>85.860103429077895</v>
      </c>
      <c r="AY164" s="78">
        <v>87.185376422752796</v>
      </c>
      <c r="AZ164" s="78">
        <v>88.416435696498198</v>
      </c>
      <c r="BA164" s="78">
        <v>96.525096525096501</v>
      </c>
      <c r="BB164" s="78">
        <v>98.903235410929497</v>
      </c>
      <c r="BC164" s="78">
        <v>100</v>
      </c>
      <c r="BD164" s="78">
        <v>102.955643952294</v>
      </c>
      <c r="BE164" s="78">
        <v>108.43610514765</v>
      </c>
      <c r="BF164" s="78">
        <v>107.778183874308</v>
      </c>
      <c r="BG164" s="78">
        <v>108.73074314202999</v>
      </c>
      <c r="BH164" s="78">
        <v>110.30808978607099</v>
      </c>
      <c r="BI164" s="78">
        <v>108.32293347934301</v>
      </c>
      <c r="BJ164" s="78">
        <v>110.229262671784</v>
      </c>
      <c r="BK164" s="78">
        <v>110.559450578237</v>
      </c>
      <c r="BL164" s="78">
        <v>108.726079750895</v>
      </c>
      <c r="BM164" s="78">
        <v>109.202396681528</v>
      </c>
      <c r="BN164" s="78">
        <v>113.489249057224</v>
      </c>
      <c r="BO164" s="78">
        <v>124.408590014187</v>
      </c>
      <c r="BP164" s="78">
        <v>126.969916905327</v>
      </c>
    </row>
    <row r="165" spans="1:68" x14ac:dyDescent="0.25">
      <c r="A165" s="78" t="s">
        <v>990</v>
      </c>
      <c r="B165" s="78" t="s">
        <v>991</v>
      </c>
      <c r="C165" s="78" t="s">
        <v>691</v>
      </c>
      <c r="D165" s="78" t="s">
        <v>692</v>
      </c>
      <c r="E165" s="78">
        <v>20.900782695204299</v>
      </c>
      <c r="F165" s="78">
        <v>21.425668551177999</v>
      </c>
      <c r="G165" s="78">
        <v>21.4618082331063</v>
      </c>
      <c r="H165" s="78">
        <v>21.86450754562</v>
      </c>
      <c r="I165" s="78">
        <v>22.3412071592061</v>
      </c>
      <c r="J165" s="78">
        <v>22.699162103626801</v>
      </c>
      <c r="K165" s="78">
        <v>22.8179067727581</v>
      </c>
      <c r="L165" s="78">
        <v>22.976232998163201</v>
      </c>
      <c r="M165" s="78">
        <v>23.444327925566899</v>
      </c>
      <c r="N165" s="78">
        <v>23.991585965673298</v>
      </c>
      <c r="O165" s="78">
        <v>24.883031452404602</v>
      </c>
      <c r="P165" s="78">
        <v>25.4612663626711</v>
      </c>
      <c r="Q165" s="78">
        <v>26.320014041923098</v>
      </c>
      <c r="R165" s="78">
        <v>28.343836228028401</v>
      </c>
      <c r="S165" s="78">
        <v>30.4003562215096</v>
      </c>
      <c r="T165" s="78">
        <v>33.073054205832101</v>
      </c>
      <c r="U165" s="78">
        <v>33.255456343135599</v>
      </c>
      <c r="V165" s="78">
        <v>36.594428801515399</v>
      </c>
      <c r="W165" s="78">
        <v>38.317115654042503</v>
      </c>
      <c r="X165" s="78">
        <v>41.055681076971602</v>
      </c>
      <c r="Y165" s="78">
        <v>47.520823500079103</v>
      </c>
      <c r="Z165" s="78">
        <v>52.990354257008399</v>
      </c>
      <c r="AA165" s="78">
        <v>56.073457050371701</v>
      </c>
      <c r="AB165" s="78">
        <v>55.579451261772299</v>
      </c>
      <c r="AC165" s="78">
        <v>55.333512189521997</v>
      </c>
      <c r="AD165" s="78">
        <v>55.203363641150801</v>
      </c>
      <c r="AE165" s="78">
        <v>56.322826422259503</v>
      </c>
      <c r="AF165" s="78">
        <v>56.565986521668599</v>
      </c>
      <c r="AG165" s="78">
        <v>57.096770281218603</v>
      </c>
      <c r="AH165" s="78">
        <v>57.580774669289703</v>
      </c>
      <c r="AI165" s="78">
        <v>59.2986428753727</v>
      </c>
      <c r="AJ165" s="78">
        <v>60.8061287334342</v>
      </c>
      <c r="AK165" s="78">
        <v>61.799221784775597</v>
      </c>
      <c r="AL165" s="78">
        <v>64.360688005994305</v>
      </c>
      <c r="AM165" s="78">
        <v>67.018734101127805</v>
      </c>
      <c r="AN165" s="78">
        <v>69.985415880293502</v>
      </c>
      <c r="AO165" s="78">
        <v>71.422916322474805</v>
      </c>
      <c r="AP165" s="78">
        <v>73.645653130832798</v>
      </c>
      <c r="AQ165" s="78">
        <v>75.402287069428198</v>
      </c>
      <c r="AR165" s="78">
        <v>77.011951634675</v>
      </c>
      <c r="AS165" s="78">
        <v>78.836821353753606</v>
      </c>
      <c r="AT165" s="78">
        <v>81.146340077803302</v>
      </c>
      <c r="AU165" s="78">
        <v>82.922220005765794</v>
      </c>
      <c r="AV165" s="78">
        <v>84.003391233593604</v>
      </c>
      <c r="AW165" s="78">
        <v>86.347781800875694</v>
      </c>
      <c r="AX165" s="78">
        <v>88.945094172097001</v>
      </c>
      <c r="AY165" s="78">
        <v>91.412235462873397</v>
      </c>
      <c r="AZ165" s="78">
        <v>92.554174694139704</v>
      </c>
      <c r="BA165" s="78">
        <v>96.495706879478504</v>
      </c>
      <c r="BB165" s="78">
        <v>98.506993396483196</v>
      </c>
      <c r="BC165" s="78">
        <v>100</v>
      </c>
      <c r="BD165" s="78">
        <v>102.96298528192899</v>
      </c>
      <c r="BE165" s="78">
        <v>105.40920107357201</v>
      </c>
      <c r="BF165" s="78">
        <v>106.653329391708</v>
      </c>
      <c r="BG165" s="78">
        <v>106.98428157560799</v>
      </c>
      <c r="BH165" s="78">
        <v>108.161695229016</v>
      </c>
      <c r="BI165" s="78">
        <v>108.856853441984</v>
      </c>
      <c r="BJ165" s="78">
        <v>110.34204680034701</v>
      </c>
      <c r="BK165" s="78">
        <v>111.619613085975</v>
      </c>
      <c r="BL165" s="78">
        <v>113.452474124359</v>
      </c>
      <c r="BM165" s="78">
        <v>114.176919176219</v>
      </c>
      <c r="BN165" s="78">
        <v>115.887166319179</v>
      </c>
      <c r="BO165" s="78">
        <v>123.018580023951</v>
      </c>
      <c r="BP165" s="78">
        <v>129.28510661979001</v>
      </c>
    </row>
    <row r="166" spans="1:68" x14ac:dyDescent="0.25">
      <c r="A166" s="78" t="s">
        <v>992</v>
      </c>
      <c r="B166" s="78" t="s">
        <v>993</v>
      </c>
      <c r="C166" s="78" t="s">
        <v>691</v>
      </c>
      <c r="D166" s="78" t="s">
        <v>692</v>
      </c>
      <c r="E166" s="78">
        <v>0.155438056879804</v>
      </c>
      <c r="F166" s="78">
        <v>0.15521047553964601</v>
      </c>
      <c r="G166" s="78">
        <v>0.15270708077060199</v>
      </c>
      <c r="H166" s="78">
        <v>0.148610616606799</v>
      </c>
      <c r="I166" s="78">
        <v>0.14792787258177401</v>
      </c>
      <c r="J166" s="78">
        <v>0.17409972696162601</v>
      </c>
      <c r="K166" s="78">
        <v>0.21847808873615901</v>
      </c>
      <c r="L166" s="78">
        <v>0.22029873947335099</v>
      </c>
      <c r="M166" s="78">
        <v>0.225533110349321</v>
      </c>
      <c r="N166" s="78">
        <v>0.21574711262468099</v>
      </c>
      <c r="O166" s="78">
        <v>0.20709902161448401</v>
      </c>
      <c r="P166" s="78">
        <v>0.21142306712072001</v>
      </c>
      <c r="Q166" s="78">
        <v>0.22758134243349801</v>
      </c>
      <c r="R166" s="78">
        <v>0.28493184072503303</v>
      </c>
      <c r="S166" s="78">
        <v>0.35676789146473598</v>
      </c>
      <c r="T166" s="78">
        <v>0.46970513264641101</v>
      </c>
      <c r="U166" s="78">
        <v>0.57484581633988097</v>
      </c>
      <c r="V166" s="78">
        <v>0.56819664811806803</v>
      </c>
      <c r="W166" s="78">
        <v>0.53385083052323801</v>
      </c>
      <c r="X166" s="78">
        <v>0.56413242464463298</v>
      </c>
      <c r="Y166" s="78">
        <v>0.56756321338238702</v>
      </c>
      <c r="Z166" s="78">
        <v>0.56937058854335798</v>
      </c>
      <c r="AA166" s="78">
        <v>0.59957422021016704</v>
      </c>
      <c r="AB166" s="78">
        <v>0.63345066347782297</v>
      </c>
      <c r="AC166" s="78">
        <v>0.66414965613087096</v>
      </c>
      <c r="AD166" s="78">
        <v>0.70936208601460504</v>
      </c>
      <c r="AE166" s="78">
        <v>0.77551337707948498</v>
      </c>
      <c r="AF166" s="78">
        <v>0.96753048924436502</v>
      </c>
      <c r="AG166" s="78">
        <v>1.1227494916668199</v>
      </c>
      <c r="AH166" s="78">
        <v>1.4281208091148301</v>
      </c>
      <c r="AI166" s="78">
        <v>1.6798524513148301</v>
      </c>
      <c r="AJ166" s="78">
        <v>2.2219750775622402</v>
      </c>
      <c r="AK166" s="78">
        <v>2.7088811513616</v>
      </c>
      <c r="AL166" s="78">
        <v>3.5711615501133198</v>
      </c>
      <c r="AM166" s="78">
        <v>4.4317681324928504</v>
      </c>
      <c r="AN166" s="78">
        <v>5.5483393675889401</v>
      </c>
      <c r="AO166" s="78">
        <v>6.4513536064717698</v>
      </c>
      <c r="AP166" s="78">
        <v>8.3672270914892604</v>
      </c>
      <c r="AQ166" s="78">
        <v>12.675307302949401</v>
      </c>
      <c r="AR166" s="78">
        <v>15.0076960975733</v>
      </c>
      <c r="AS166" s="78">
        <v>14.9913128688885</v>
      </c>
      <c r="AT166" s="78">
        <v>18.1546755773626</v>
      </c>
      <c r="AU166" s="78">
        <v>28.516367934374902</v>
      </c>
      <c r="AV166" s="78">
        <v>38.950426412060402</v>
      </c>
      <c r="AW166" s="78">
        <v>40.716521998729803</v>
      </c>
      <c r="AX166" s="78">
        <v>44.531097465480798</v>
      </c>
      <c r="AY166" s="78">
        <v>53.435752730712501</v>
      </c>
      <c r="AZ166" s="78">
        <v>72.151409816911794</v>
      </c>
      <c r="BA166" s="78">
        <v>91.487653726359099</v>
      </c>
      <c r="BB166" s="78">
        <v>92.834665896028</v>
      </c>
      <c r="BC166" s="78">
        <v>100</v>
      </c>
      <c r="BD166" s="78">
        <v>105.021460146207</v>
      </c>
      <c r="BE166" s="78">
        <v>106.562737479798</v>
      </c>
      <c r="BF166" s="78">
        <v>112.576114138628</v>
      </c>
      <c r="BG166" s="78">
        <v>118.152345882585</v>
      </c>
      <c r="BH166" s="78">
        <v>129.32267176060799</v>
      </c>
      <c r="BI166" s="78">
        <v>138.28321370608501</v>
      </c>
      <c r="BJ166" s="78">
        <v>144.606264199701</v>
      </c>
      <c r="BK166" s="78">
        <v>154.54408193357801</v>
      </c>
      <c r="BL166" s="78">
        <v>168.18270065936801</v>
      </c>
      <c r="BM166" s="78"/>
      <c r="BN166" s="78"/>
      <c r="BO166" s="78"/>
      <c r="BP166" s="78"/>
    </row>
    <row r="167" spans="1:68" x14ac:dyDescent="0.25">
      <c r="A167" s="78" t="s">
        <v>994</v>
      </c>
      <c r="B167" s="78" t="s">
        <v>995</v>
      </c>
      <c r="C167" s="78" t="s">
        <v>691</v>
      </c>
      <c r="D167" s="78" t="s">
        <v>692</v>
      </c>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78"/>
      <c r="AH167" s="78"/>
      <c r="AI167" s="78"/>
      <c r="AJ167" s="78"/>
      <c r="AK167" s="78"/>
      <c r="AL167" s="78"/>
      <c r="AM167" s="78"/>
      <c r="AN167" s="78"/>
      <c r="AO167" s="78"/>
      <c r="AP167" s="78"/>
      <c r="AQ167" s="78"/>
      <c r="AR167" s="78"/>
      <c r="AS167" s="78"/>
      <c r="AT167" s="78"/>
      <c r="AU167" s="78"/>
      <c r="AV167" s="78"/>
      <c r="AW167" s="78"/>
      <c r="AX167" s="78"/>
      <c r="AY167" s="78"/>
      <c r="AZ167" s="78"/>
      <c r="BA167" s="78"/>
      <c r="BB167" s="78"/>
      <c r="BC167" s="78"/>
      <c r="BD167" s="78"/>
      <c r="BE167" s="78"/>
      <c r="BF167" s="78"/>
      <c r="BG167" s="78"/>
      <c r="BH167" s="78"/>
      <c r="BI167" s="78"/>
      <c r="BJ167" s="78"/>
      <c r="BK167" s="78"/>
      <c r="BL167" s="78"/>
      <c r="BM167" s="78"/>
      <c r="BN167" s="78"/>
      <c r="BO167" s="78"/>
      <c r="BP167" s="78"/>
    </row>
    <row r="168" spans="1:68" x14ac:dyDescent="0.25">
      <c r="A168" s="78" t="s">
        <v>996</v>
      </c>
      <c r="B168" s="78" t="s">
        <v>997</v>
      </c>
      <c r="C168" s="78" t="s">
        <v>691</v>
      </c>
      <c r="D168" s="78" t="s">
        <v>692</v>
      </c>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v>82.205479452054803</v>
      </c>
      <c r="AY168" s="78">
        <v>84.609589041095902</v>
      </c>
      <c r="AZ168" s="78">
        <v>88.287671232876704</v>
      </c>
      <c r="BA168" s="78">
        <v>96.020547945205195</v>
      </c>
      <c r="BB168" s="78">
        <v>99.349315068492899</v>
      </c>
      <c r="BC168" s="78">
        <v>100</v>
      </c>
      <c r="BD168" s="78">
        <v>103.450143112487</v>
      </c>
      <c r="BE168" s="78">
        <v>107.738407324783</v>
      </c>
      <c r="BF168" s="78">
        <v>110.11500096703</v>
      </c>
      <c r="BG168" s="78">
        <v>109.33261841211799</v>
      </c>
      <c r="BH168" s="78">
        <v>111.02584347009299</v>
      </c>
      <c r="BI168" s="78">
        <v>110.724535958828</v>
      </c>
      <c r="BJ168" s="78">
        <v>113.360041214069</v>
      </c>
      <c r="BK168" s="78">
        <v>116.32012557025899</v>
      </c>
      <c r="BL168" s="78">
        <v>116.740696925397</v>
      </c>
      <c r="BM168" s="78">
        <v>116.44224267966401</v>
      </c>
      <c r="BN168" s="78">
        <v>119.249434576437</v>
      </c>
      <c r="BO168" s="78">
        <v>134.79992292786699</v>
      </c>
      <c r="BP168" s="78">
        <v>146.37218506434201</v>
      </c>
    </row>
    <row r="169" spans="1:68" x14ac:dyDescent="0.25">
      <c r="A169" s="78" t="s">
        <v>998</v>
      </c>
      <c r="B169" s="78" t="s">
        <v>999</v>
      </c>
      <c r="C169" s="78" t="s">
        <v>691</v>
      </c>
      <c r="D169" s="78" t="s">
        <v>692</v>
      </c>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v>2.2886632031108101</v>
      </c>
      <c r="AL169" s="78">
        <v>8.42572477113284</v>
      </c>
      <c r="AM169" s="78">
        <v>15.8049753117949</v>
      </c>
      <c r="AN169" s="78">
        <v>15.8118530208079</v>
      </c>
      <c r="AO169" s="78">
        <v>23.226023336784799</v>
      </c>
      <c r="AP169" s="78">
        <v>31.716555113290902</v>
      </c>
      <c r="AQ169" s="78">
        <v>34.684286552385402</v>
      </c>
      <c r="AR169" s="78">
        <v>37.308132540831799</v>
      </c>
      <c r="AS169" s="78">
        <v>41.634211509987203</v>
      </c>
      <c r="AT169" s="78">
        <v>44.247740934914098</v>
      </c>
      <c r="AU169" s="78">
        <v>44.653525766679103</v>
      </c>
      <c r="AV169" s="78">
        <v>46.943802867996702</v>
      </c>
      <c r="AW169" s="78">
        <v>50.812514187789802</v>
      </c>
      <c r="AX169" s="78">
        <v>57.274121805470898</v>
      </c>
      <c r="AY169" s="78">
        <v>60.1923337396722</v>
      </c>
      <c r="AZ169" s="78">
        <v>65.989435188947596</v>
      </c>
      <c r="BA169" s="78">
        <v>84.437220642015504</v>
      </c>
      <c r="BB169" s="78">
        <v>90.870919680346802</v>
      </c>
      <c r="BC169" s="78">
        <v>100</v>
      </c>
      <c r="BD169" s="78">
        <v>108.411214953271</v>
      </c>
      <c r="BE169" s="78">
        <v>123.946905052147</v>
      </c>
      <c r="BF169" s="78">
        <v>136.949749424353</v>
      </c>
      <c r="BG169" s="78">
        <v>153.731545442232</v>
      </c>
      <c r="BH169" s="78">
        <v>162.54909928213499</v>
      </c>
      <c r="BI169" s="78">
        <v>163.74102668291999</v>
      </c>
      <c r="BJ169" s="78">
        <v>170.78423405119901</v>
      </c>
      <c r="BK169" s="78">
        <v>182.43897355945401</v>
      </c>
      <c r="BL169" s="78">
        <v>195.75896987889499</v>
      </c>
      <c r="BM169" s="78">
        <v>203.19005919023701</v>
      </c>
      <c r="BN169" s="78">
        <v>218.13024312662699</v>
      </c>
      <c r="BO169" s="78">
        <v>251.17251657385401</v>
      </c>
      <c r="BP169" s="78">
        <v>277.16280152964799</v>
      </c>
    </row>
    <row r="170" spans="1:68" x14ac:dyDescent="0.25">
      <c r="A170" s="78" t="s">
        <v>1000</v>
      </c>
      <c r="B170" s="78" t="s">
        <v>1001</v>
      </c>
      <c r="C170" s="78" t="s">
        <v>691</v>
      </c>
      <c r="D170" s="78" t="s">
        <v>692</v>
      </c>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row>
    <row r="171" spans="1:68" x14ac:dyDescent="0.25">
      <c r="A171" s="78" t="s">
        <v>1002</v>
      </c>
      <c r="B171" s="78" t="s">
        <v>1003</v>
      </c>
      <c r="C171" s="78" t="s">
        <v>691</v>
      </c>
      <c r="D171" s="78" t="s">
        <v>692</v>
      </c>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v>57.241112924067302</v>
      </c>
      <c r="AX171" s="78">
        <v>60.920315669522303</v>
      </c>
      <c r="AY171" s="78">
        <v>68.989265033233295</v>
      </c>
      <c r="AZ171" s="78">
        <v>74.846099550583901</v>
      </c>
      <c r="BA171" s="78">
        <v>85.700883643219001</v>
      </c>
      <c r="BB171" s="78">
        <v>88.947758726982002</v>
      </c>
      <c r="BC171" s="78">
        <v>100</v>
      </c>
      <c r="BD171" s="78">
        <v>111.166605612788</v>
      </c>
      <c r="BE171" s="78">
        <v>114.059666020389</v>
      </c>
      <c r="BF171" s="78">
        <v>118.92015046058501</v>
      </c>
      <c r="BG171" s="78">
        <v>121.96420753553799</v>
      </c>
      <c r="BH171" s="78">
        <v>126.29486343289599</v>
      </c>
      <c r="BI171" s="78">
        <v>148.29295556184599</v>
      </c>
      <c r="BJ171" s="78">
        <v>170.70477748057701</v>
      </c>
      <c r="BK171" s="78">
        <v>177.38161216445999</v>
      </c>
      <c r="BL171" s="78">
        <v>182.35309207067201</v>
      </c>
      <c r="BM171" s="78">
        <v>188.70615649966399</v>
      </c>
      <c r="BN171" s="78">
        <v>200.799346249151</v>
      </c>
      <c r="BO171" s="78">
        <v>221.44031788063299</v>
      </c>
      <c r="BP171" s="78">
        <v>237.22231358023399</v>
      </c>
    </row>
    <row r="172" spans="1:68" x14ac:dyDescent="0.25">
      <c r="A172" s="78" t="s">
        <v>1004</v>
      </c>
      <c r="B172" s="78" t="s">
        <v>1005</v>
      </c>
      <c r="C172" s="78" t="s">
        <v>691</v>
      </c>
      <c r="D172" s="78" t="s">
        <v>692</v>
      </c>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v>20.895154387434602</v>
      </c>
      <c r="AE172" s="78">
        <v>22.448360863567199</v>
      </c>
      <c r="AF172" s="78">
        <v>24.278428135333499</v>
      </c>
      <c r="AG172" s="78">
        <v>24.598820502607399</v>
      </c>
      <c r="AH172" s="78">
        <v>27.780107758094299</v>
      </c>
      <c r="AI172" s="78">
        <v>29.613657555591701</v>
      </c>
      <c r="AJ172" s="78">
        <v>31.280511627204199</v>
      </c>
      <c r="AK172" s="78">
        <v>34.452924048942698</v>
      </c>
      <c r="AL172" s="78">
        <v>37.681281605413702</v>
      </c>
      <c r="AM172" s="78">
        <v>39.236862358760803</v>
      </c>
      <c r="AN172" s="78">
        <v>41.804440502974501</v>
      </c>
      <c r="AO172" s="78">
        <v>43.761434384487899</v>
      </c>
      <c r="AP172" s="78">
        <v>45.785552556460402</v>
      </c>
      <c r="AQ172" s="78">
        <v>49.462895513939898</v>
      </c>
      <c r="AR172" s="78">
        <v>51.478100999127399</v>
      </c>
      <c r="AS172" s="78">
        <v>53.153233131908102</v>
      </c>
      <c r="AT172" s="78">
        <v>55.659352979101598</v>
      </c>
      <c r="AU172" s="78">
        <v>57.827677319446202</v>
      </c>
      <c r="AV172" s="78">
        <v>60.806902299132197</v>
      </c>
      <c r="AW172" s="78">
        <v>67.1111328986714</v>
      </c>
      <c r="AX172" s="78">
        <v>75.248793125006301</v>
      </c>
      <c r="AY172" s="78">
        <v>79.945095347811005</v>
      </c>
      <c r="AZ172" s="78">
        <v>85.744399235256495</v>
      </c>
      <c r="BA172" s="78">
        <v>92.043727633707405</v>
      </c>
      <c r="BB172" s="78">
        <v>94.087945487523896</v>
      </c>
      <c r="BC172" s="78">
        <v>100</v>
      </c>
      <c r="BD172" s="78">
        <v>105.686319595759</v>
      </c>
      <c r="BE172" s="78">
        <v>110.867514550585</v>
      </c>
      <c r="BF172" s="78">
        <v>115.44534702058699</v>
      </c>
      <c r="BG172" s="78">
        <v>119.525611071366</v>
      </c>
      <c r="BH172" s="78">
        <v>123.415843264796</v>
      </c>
      <c r="BI172" s="78">
        <v>125.232167135102</v>
      </c>
      <c r="BJ172" s="78">
        <v>128.05524647349901</v>
      </c>
      <c r="BK172" s="78">
        <v>131.98316183125399</v>
      </c>
      <c r="BL172" s="78">
        <v>135.01889679773399</v>
      </c>
      <c r="BM172" s="78">
        <v>138.24003571183101</v>
      </c>
      <c r="BN172" s="78">
        <v>143.16852086882099</v>
      </c>
      <c r="BO172" s="78">
        <v>156.80570371963</v>
      </c>
      <c r="BP172" s="78">
        <v>164.57236916880299</v>
      </c>
    </row>
    <row r="173" spans="1:68" x14ac:dyDescent="0.25">
      <c r="A173" s="78" t="s">
        <v>1006</v>
      </c>
      <c r="B173" s="78" t="s">
        <v>1007</v>
      </c>
      <c r="C173" s="78" t="s">
        <v>691</v>
      </c>
      <c r="D173" s="78" t="s">
        <v>692</v>
      </c>
      <c r="E173" s="78"/>
      <c r="F173" s="78"/>
      <c r="G173" s="78"/>
      <c r="H173" s="78">
        <v>2.9132076266063698</v>
      </c>
      <c r="I173" s="78">
        <v>2.9684296379766502</v>
      </c>
      <c r="J173" s="78">
        <v>3.02143290782112</v>
      </c>
      <c r="K173" s="78">
        <v>3.0971166466064699</v>
      </c>
      <c r="L173" s="78">
        <v>3.1552969800169102</v>
      </c>
      <c r="M173" s="78">
        <v>3.3754454449935198</v>
      </c>
      <c r="N173" s="78">
        <v>3.4535944521559299</v>
      </c>
      <c r="O173" s="78">
        <v>3.5068442488319298</v>
      </c>
      <c r="P173" s="78">
        <v>3.5179379564634301</v>
      </c>
      <c r="Q173" s="78">
        <v>3.7077636205561699</v>
      </c>
      <c r="R173" s="78">
        <v>4.2064874107538497</v>
      </c>
      <c r="S173" s="78">
        <v>5.4312327343515596</v>
      </c>
      <c r="T173" s="78">
        <v>6.2317053723816702</v>
      </c>
      <c r="U173" s="78">
        <v>7.0390682429242704</v>
      </c>
      <c r="V173" s="78">
        <v>7.6847267050567503</v>
      </c>
      <c r="W173" s="78">
        <v>8.3413972953642901</v>
      </c>
      <c r="X173" s="78">
        <v>9.5480947084508099</v>
      </c>
      <c r="Y173" s="78">
        <v>13.5582481191699</v>
      </c>
      <c r="Z173" s="78">
        <v>15.518986518991101</v>
      </c>
      <c r="AA173" s="78">
        <v>17.2905863966315</v>
      </c>
      <c r="AB173" s="78">
        <v>18.257043380647801</v>
      </c>
      <c r="AC173" s="78">
        <v>19.606085995002999</v>
      </c>
      <c r="AD173" s="78">
        <v>20.919439651321099</v>
      </c>
      <c r="AE173" s="78">
        <v>21.260981523179399</v>
      </c>
      <c r="AF173" s="78">
        <v>21.371271085967098</v>
      </c>
      <c r="AG173" s="78">
        <v>23.328732939055001</v>
      </c>
      <c r="AH173" s="78">
        <v>26.284493221761899</v>
      </c>
      <c r="AI173" s="78">
        <v>29.829769006207901</v>
      </c>
      <c r="AJ173" s="78">
        <v>31.9181552435081</v>
      </c>
      <c r="AK173" s="78">
        <v>33.400280942073202</v>
      </c>
      <c r="AL173" s="78">
        <v>36.913268532501299</v>
      </c>
      <c r="AM173" s="78">
        <v>39.616601249484702</v>
      </c>
      <c r="AN173" s="78">
        <v>42.005217620311903</v>
      </c>
      <c r="AO173" s="78">
        <v>44.756968236703997</v>
      </c>
      <c r="AP173" s="78">
        <v>47.815365549351</v>
      </c>
      <c r="AQ173" s="78">
        <v>51.071971232897702</v>
      </c>
      <c r="AR173" s="78">
        <v>54.600608417456101</v>
      </c>
      <c r="AS173" s="78">
        <v>56.893445354559397</v>
      </c>
      <c r="AT173" s="78">
        <v>59.959628987397402</v>
      </c>
      <c r="AU173" s="78">
        <v>63.808637670698303</v>
      </c>
      <c r="AV173" s="78">
        <v>66.310608539615302</v>
      </c>
      <c r="AW173" s="78">
        <v>69.434083949648596</v>
      </c>
      <c r="AX173" s="78">
        <v>72.862162746776093</v>
      </c>
      <c r="AY173" s="78">
        <v>79.356732392999703</v>
      </c>
      <c r="AZ173" s="78">
        <v>86.361783457477998</v>
      </c>
      <c r="BA173" s="78">
        <v>94.766756775490407</v>
      </c>
      <c r="BB173" s="78">
        <v>97.151174880432507</v>
      </c>
      <c r="BC173" s="78">
        <v>100</v>
      </c>
      <c r="BD173" s="78">
        <v>106.52249254869299</v>
      </c>
      <c r="BE173" s="78">
        <v>110.625909752547</v>
      </c>
      <c r="BF173" s="78">
        <v>114.545712899425</v>
      </c>
      <c r="BG173" s="78">
        <v>118.23144104803499</v>
      </c>
      <c r="BH173" s="78">
        <v>119.752547307133</v>
      </c>
      <c r="BI173" s="78">
        <v>120.92333818534701</v>
      </c>
      <c r="BJ173" s="78">
        <v>125.357593401261</v>
      </c>
      <c r="BK173" s="78">
        <v>129.389161086851</v>
      </c>
      <c r="BL173" s="78">
        <v>129.91403493449801</v>
      </c>
      <c r="BM173" s="78">
        <v>133.26685735080099</v>
      </c>
      <c r="BN173" s="78">
        <v>138.63555118874299</v>
      </c>
      <c r="BO173" s="78">
        <v>153.57180058224199</v>
      </c>
      <c r="BP173" s="78">
        <v>164.40319262493901</v>
      </c>
    </row>
    <row r="174" spans="1:68" x14ac:dyDescent="0.25">
      <c r="A174" s="78" t="s">
        <v>1008</v>
      </c>
      <c r="B174" s="78" t="s">
        <v>1009</v>
      </c>
      <c r="C174" s="78" t="s">
        <v>691</v>
      </c>
      <c r="D174" s="78" t="s">
        <v>692</v>
      </c>
      <c r="E174" s="78"/>
      <c r="F174" s="78"/>
      <c r="G174" s="78"/>
      <c r="H174" s="78"/>
      <c r="I174" s="78"/>
      <c r="J174" s="78"/>
      <c r="K174" s="78"/>
      <c r="L174" s="78"/>
      <c r="M174" s="78"/>
      <c r="N174" s="78"/>
      <c r="O174" s="78"/>
      <c r="P174" s="78"/>
      <c r="Q174" s="78"/>
      <c r="R174" s="78"/>
      <c r="S174" s="78"/>
      <c r="T174" s="78"/>
      <c r="U174" s="78"/>
      <c r="V174" s="78"/>
      <c r="W174" s="78"/>
      <c r="X174" s="78"/>
      <c r="Y174" s="78">
        <v>0.47155663952601001</v>
      </c>
      <c r="Z174" s="78">
        <v>0.52726963026305196</v>
      </c>
      <c r="AA174" s="78">
        <v>0.57905363717075597</v>
      </c>
      <c r="AB174" s="78">
        <v>0.65724041542891198</v>
      </c>
      <c r="AC174" s="78">
        <v>0.788861373803463</v>
      </c>
      <c r="AD174" s="78">
        <v>0.87184151233755203</v>
      </c>
      <c r="AE174" s="78">
        <v>0.99430793838530296</v>
      </c>
      <c r="AF174" s="78">
        <v>1.2444270491372</v>
      </c>
      <c r="AG174" s="78">
        <v>1.66643920254176</v>
      </c>
      <c r="AH174" s="78">
        <v>1.87385025903768</v>
      </c>
      <c r="AI174" s="78">
        <v>2.0954056573291102</v>
      </c>
      <c r="AJ174" s="78">
        <v>2.3597476895519902</v>
      </c>
      <c r="AK174" s="78">
        <v>2.9202196937505098</v>
      </c>
      <c r="AL174" s="78">
        <v>3.5852328627946601</v>
      </c>
      <c r="AM174" s="78">
        <v>4.8275030049130798</v>
      </c>
      <c r="AN174" s="78">
        <v>8.8500572850462298</v>
      </c>
      <c r="AO174" s="78">
        <v>12.177859809975001</v>
      </c>
      <c r="AP174" s="78">
        <v>13.290593779248001</v>
      </c>
      <c r="AQ174" s="78">
        <v>17.2443661760535</v>
      </c>
      <c r="AR174" s="78">
        <v>24.970560327680801</v>
      </c>
      <c r="AS174" s="78">
        <v>32.357223750202202</v>
      </c>
      <c r="AT174" s="78">
        <v>39.7023135414981</v>
      </c>
      <c r="AU174" s="78">
        <v>45.556274604972202</v>
      </c>
      <c r="AV174" s="78">
        <v>49.919106940624502</v>
      </c>
      <c r="AW174" s="78">
        <v>55.624764061910099</v>
      </c>
      <c r="AX174" s="78">
        <v>64.196731920401206</v>
      </c>
      <c r="AY174" s="78">
        <v>73.1677722051448</v>
      </c>
      <c r="AZ174" s="78">
        <v>78.986227036373705</v>
      </c>
      <c r="BA174" s="78">
        <v>85.867982527099201</v>
      </c>
      <c r="BB174" s="78">
        <v>93.099822035269398</v>
      </c>
      <c r="BC174" s="78">
        <v>100</v>
      </c>
      <c r="BD174" s="78">
        <v>107.622822628485</v>
      </c>
      <c r="BE174" s="78">
        <v>130.51555843175299</v>
      </c>
      <c r="BF174" s="78">
        <v>166.12455329055001</v>
      </c>
      <c r="BG174" s="78">
        <v>205.649014902299</v>
      </c>
      <c r="BH174" s="78">
        <v>250.618999732887</v>
      </c>
      <c r="BI174" s="78">
        <v>305.03117449981102</v>
      </c>
      <c r="BJ174" s="78">
        <v>340.24212454770202</v>
      </c>
      <c r="BK174" s="78">
        <v>382.50080241810298</v>
      </c>
      <c r="BL174" s="78">
        <v>418.344325525805</v>
      </c>
      <c r="BM174" s="78">
        <v>454.42867680603001</v>
      </c>
      <c r="BN174" s="78">
        <v>496.82752722171102</v>
      </c>
      <c r="BO174" s="78">
        <v>600.93261688590098</v>
      </c>
      <c r="BP174" s="78">
        <v>773.93957183727105</v>
      </c>
    </row>
    <row r="175" spans="1:68" x14ac:dyDescent="0.25">
      <c r="A175" s="78" t="s">
        <v>1010</v>
      </c>
      <c r="B175" s="78" t="s">
        <v>1011</v>
      </c>
      <c r="C175" s="78" t="s">
        <v>691</v>
      </c>
      <c r="D175" s="78" t="s">
        <v>692</v>
      </c>
      <c r="E175" s="78">
        <v>21.309241279733399</v>
      </c>
      <c r="F175" s="78">
        <v>21.2707977630436</v>
      </c>
      <c r="G175" s="78">
        <v>21.293863873111299</v>
      </c>
      <c r="H175" s="78">
        <v>21.955092359552498</v>
      </c>
      <c r="I175" s="78">
        <v>21.866672271177599</v>
      </c>
      <c r="J175" s="78">
        <v>21.843606161148401</v>
      </c>
      <c r="K175" s="78">
        <v>22.0550455027883</v>
      </c>
      <c r="L175" s="78">
        <v>23.064187814847099</v>
      </c>
      <c r="M175" s="78">
        <v>23.027666474047699</v>
      </c>
      <c r="N175" s="78">
        <v>22.9334798581942</v>
      </c>
      <c r="O175" s="78">
        <v>23.356358541454799</v>
      </c>
      <c r="P175" s="78">
        <v>23.733105004599501</v>
      </c>
      <c r="Q175" s="78">
        <v>24.500053161754799</v>
      </c>
      <c r="R175" s="78">
        <v>27.087301832350601</v>
      </c>
      <c r="S175" s="78">
        <v>31.781255215535001</v>
      </c>
      <c r="T175" s="78">
        <v>33.207509683260803</v>
      </c>
      <c r="U175" s="78">
        <v>34.082099687078497</v>
      </c>
      <c r="V175" s="78">
        <v>35.7140269689273</v>
      </c>
      <c r="W175" s="78">
        <v>37.449751745715197</v>
      </c>
      <c r="X175" s="78">
        <v>38.818340938579396</v>
      </c>
      <c r="Y175" s="78">
        <v>41.409433960859502</v>
      </c>
      <c r="Z175" s="78">
        <v>45.426149055062901</v>
      </c>
      <c r="AA175" s="78">
        <v>48.069451255955101</v>
      </c>
      <c r="AB175" s="78">
        <v>49.850056916340797</v>
      </c>
      <c r="AC175" s="78">
        <v>51.792849526372301</v>
      </c>
      <c r="AD175" s="78">
        <v>51.972290406800496</v>
      </c>
      <c r="AE175" s="78">
        <v>52.355327671111198</v>
      </c>
      <c r="AF175" s="78">
        <v>52.507162262369803</v>
      </c>
      <c r="AG175" s="78">
        <v>53.849518079934498</v>
      </c>
      <c r="AH175" s="78">
        <v>55.364413205669102</v>
      </c>
      <c r="AI175" s="78">
        <v>56.813743394299202</v>
      </c>
      <c r="AJ175" s="78">
        <v>59.289875710567202</v>
      </c>
      <c r="AK175" s="78">
        <v>62.116359444433598</v>
      </c>
      <c r="AL175" s="78">
        <v>64.3131575223467</v>
      </c>
      <c r="AM175" s="78">
        <v>66.708803702139903</v>
      </c>
      <c r="AN175" s="78">
        <v>69.010641069424693</v>
      </c>
      <c r="AO175" s="78">
        <v>71.418118315885096</v>
      </c>
      <c r="AP175" s="78">
        <v>73.319636141033598</v>
      </c>
      <c r="AQ175" s="78">
        <v>77.183831721378795</v>
      </c>
      <c r="AR175" s="78">
        <v>79.302189298518002</v>
      </c>
      <c r="AS175" s="78">
        <v>80.519271906485997</v>
      </c>
      <c r="AT175" s="78">
        <v>81.660056657223706</v>
      </c>
      <c r="AU175" s="78">
        <v>83.136366334649097</v>
      </c>
      <c r="AV175" s="78">
        <v>84.042283636705605</v>
      </c>
      <c r="AW175" s="78">
        <v>85.236752375713394</v>
      </c>
      <c r="AX175" s="78">
        <v>87.772606214629704</v>
      </c>
      <c r="AY175" s="78">
        <v>90.940526402254505</v>
      </c>
      <c r="AZ175" s="78">
        <v>92.784212054174702</v>
      </c>
      <c r="BA175" s="78">
        <v>97.832398958241896</v>
      </c>
      <c r="BB175" s="78">
        <v>98.403063564788596</v>
      </c>
      <c r="BC175" s="78">
        <v>100</v>
      </c>
      <c r="BD175" s="78">
        <v>103.17447092151301</v>
      </c>
      <c r="BE175" s="78">
        <v>104.890851524746</v>
      </c>
      <c r="BF175" s="78">
        <v>107.098816863856</v>
      </c>
      <c r="BG175" s="78">
        <v>110.464922512914</v>
      </c>
      <c r="BH175" s="78">
        <v>112.789535077487</v>
      </c>
      <c r="BI175" s="78">
        <v>115.147475420763</v>
      </c>
      <c r="BJ175" s="78">
        <v>119.605065822363</v>
      </c>
      <c r="BK175" s="78">
        <v>120.663222796201</v>
      </c>
      <c r="BL175" s="78">
        <v>121.463089485086</v>
      </c>
      <c r="BM175" s="78">
        <v>120.079986668888</v>
      </c>
      <c r="BN175" s="78">
        <v>123.05449091817999</v>
      </c>
      <c r="BO175" s="78">
        <v>127.212131311448</v>
      </c>
      <c r="BP175" s="78">
        <v>130.37827028828499</v>
      </c>
    </row>
    <row r="176" spans="1:68" x14ac:dyDescent="0.25">
      <c r="A176" s="78" t="s">
        <v>1012</v>
      </c>
      <c r="B176" s="78" t="s">
        <v>1013</v>
      </c>
      <c r="C176" s="78" t="s">
        <v>691</v>
      </c>
      <c r="D176" s="78" t="s">
        <v>692</v>
      </c>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row>
    <row r="177" spans="1:68" x14ac:dyDescent="0.25">
      <c r="A177" s="78" t="s">
        <v>1014</v>
      </c>
      <c r="B177" s="78" t="s">
        <v>1015</v>
      </c>
      <c r="C177" s="78" t="s">
        <v>691</v>
      </c>
      <c r="D177" s="78" t="s">
        <v>692</v>
      </c>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v>62.573476964414603</v>
      </c>
      <c r="AV177" s="78">
        <v>67.038816089715596</v>
      </c>
      <c r="AW177" s="78">
        <v>69.811965296624706</v>
      </c>
      <c r="AX177" s="78">
        <v>71.405036695270496</v>
      </c>
      <c r="AY177" s="78">
        <v>74.947559735723004</v>
      </c>
      <c r="AZ177" s="78">
        <v>79.8550370676694</v>
      </c>
      <c r="BA177" s="78">
        <v>87.117567663929805</v>
      </c>
      <c r="BB177" s="78">
        <v>95.351681906233694</v>
      </c>
      <c r="BC177" s="78">
        <v>100</v>
      </c>
      <c r="BD177" s="78">
        <v>105.00559518081199</v>
      </c>
      <c r="BE177" s="78">
        <v>112.064068950758</v>
      </c>
      <c r="BF177" s="78">
        <v>118.340693430305</v>
      </c>
      <c r="BG177" s="78">
        <v>124.67212131581999</v>
      </c>
      <c r="BH177" s="78">
        <v>128.903512292969</v>
      </c>
      <c r="BI177" s="78">
        <v>137.57689126440201</v>
      </c>
      <c r="BJ177" s="78">
        <v>146.03209158786299</v>
      </c>
      <c r="BK177" s="78">
        <v>152.29919176550999</v>
      </c>
      <c r="BL177" s="78">
        <v>157.96836796149401</v>
      </c>
      <c r="BM177" s="78">
        <v>161.45849323236101</v>
      </c>
      <c r="BN177" s="78">
        <v>167.298294033139</v>
      </c>
      <c r="BO177" s="78">
        <v>177.47217363759901</v>
      </c>
      <c r="BP177" s="78">
        <v>187.90742143897501</v>
      </c>
    </row>
    <row r="178" spans="1:68" x14ac:dyDescent="0.25">
      <c r="A178" s="78" t="s">
        <v>1016</v>
      </c>
      <c r="B178" s="78" t="s">
        <v>1017</v>
      </c>
      <c r="C178" s="78" t="s">
        <v>691</v>
      </c>
      <c r="D178" s="78" t="s">
        <v>692</v>
      </c>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c r="AI178" s="78"/>
      <c r="AJ178" s="78"/>
      <c r="AK178" s="78"/>
      <c r="AL178" s="78"/>
      <c r="AM178" s="78"/>
      <c r="AN178" s="78"/>
      <c r="AO178" s="78"/>
      <c r="AP178" s="78"/>
      <c r="AQ178" s="78"/>
      <c r="AR178" s="78"/>
      <c r="AS178" s="78"/>
      <c r="AT178" s="78"/>
      <c r="AU178" s="78"/>
      <c r="AV178" s="78"/>
      <c r="AW178" s="78"/>
      <c r="AX178" s="78"/>
      <c r="AY178" s="78"/>
      <c r="AZ178" s="78"/>
      <c r="BA178" s="78"/>
      <c r="BB178" s="78"/>
      <c r="BC178" s="78">
        <v>100</v>
      </c>
      <c r="BD178" s="78">
        <v>102.428996937534</v>
      </c>
      <c r="BE178" s="78">
        <v>104.221168771238</v>
      </c>
      <c r="BF178" s="78">
        <v>105.552712170155</v>
      </c>
      <c r="BG178" s="78">
        <v>105.74149431556</v>
      </c>
      <c r="BH178" s="78">
        <v>106.34475814909599</v>
      </c>
      <c r="BI178" s="78">
        <v>106.95976842723501</v>
      </c>
      <c r="BJ178" s="78"/>
      <c r="BK178" s="78"/>
      <c r="BL178" s="78"/>
      <c r="BM178" s="78"/>
      <c r="BN178" s="78"/>
      <c r="BO178" s="78"/>
      <c r="BP178" s="78"/>
    </row>
    <row r="179" spans="1:68" x14ac:dyDescent="0.25">
      <c r="A179" s="78" t="s">
        <v>1018</v>
      </c>
      <c r="B179" s="78" t="s">
        <v>1019</v>
      </c>
      <c r="C179" s="78" t="s">
        <v>691</v>
      </c>
      <c r="D179" s="78" t="s">
        <v>692</v>
      </c>
      <c r="E179" s="78"/>
      <c r="F179" s="78"/>
      <c r="G179" s="78"/>
      <c r="H179" s="78">
        <v>11.6668848328589</v>
      </c>
      <c r="I179" s="78">
        <v>11.7840222307803</v>
      </c>
      <c r="J179" s="78">
        <v>12.2994267817518</v>
      </c>
      <c r="K179" s="78">
        <v>13.5996518985627</v>
      </c>
      <c r="L179" s="78">
        <v>13.6582205975234</v>
      </c>
      <c r="M179" s="78">
        <v>13.258977299705499</v>
      </c>
      <c r="N179" s="78">
        <v>14.670482944610001</v>
      </c>
      <c r="O179" s="78">
        <v>14.834475301700101</v>
      </c>
      <c r="P179" s="78">
        <v>15.456279655666499</v>
      </c>
      <c r="Q179" s="78">
        <v>16.963447508941901</v>
      </c>
      <c r="R179" s="78">
        <v>18.962592433438701</v>
      </c>
      <c r="S179" s="78">
        <v>19.606848121996801</v>
      </c>
      <c r="T179" s="78">
        <v>21.394169585310902</v>
      </c>
      <c r="U179" s="78">
        <v>26.428149260965402</v>
      </c>
      <c r="V179" s="78">
        <v>32.572981926927902</v>
      </c>
      <c r="W179" s="78">
        <v>35.8606382285801</v>
      </c>
      <c r="X179" s="78">
        <v>38.466945332351699</v>
      </c>
      <c r="Y179" s="78">
        <v>42.431070106990497</v>
      </c>
      <c r="Z179" s="78">
        <v>52.153474134441197</v>
      </c>
      <c r="AA179" s="78">
        <v>58.2250959267516</v>
      </c>
      <c r="AB179" s="78">
        <v>56.775520627463997</v>
      </c>
      <c r="AC179" s="78">
        <v>61.524465968117802</v>
      </c>
      <c r="AD179" s="78">
        <v>60.9563495883257</v>
      </c>
      <c r="AE179" s="78">
        <v>59.001131188010397</v>
      </c>
      <c r="AF179" s="78">
        <v>55.040910993321901</v>
      </c>
      <c r="AG179" s="78">
        <v>54.273661036936502</v>
      </c>
      <c r="AH179" s="78">
        <v>52.730375819321402</v>
      </c>
      <c r="AI179" s="78">
        <v>52.321371071579101</v>
      </c>
      <c r="AJ179" s="78">
        <v>48.242061188964797</v>
      </c>
      <c r="AK179" s="78">
        <v>46.082930861870103</v>
      </c>
      <c r="AL179" s="78">
        <v>45.523007138985498</v>
      </c>
      <c r="AM179" s="78">
        <v>61.929980687971501</v>
      </c>
      <c r="AN179" s="78">
        <v>68.471823320810202</v>
      </c>
      <c r="AO179" s="78">
        <v>72.093200492560499</v>
      </c>
      <c r="AP179" s="78">
        <v>74.208020309210994</v>
      </c>
      <c r="AQ179" s="78">
        <v>77.583012780812197</v>
      </c>
      <c r="AR179" s="78">
        <v>75.796954817965201</v>
      </c>
      <c r="AS179" s="78">
        <v>77.995180003007704</v>
      </c>
      <c r="AT179" s="78">
        <v>81.119288078490598</v>
      </c>
      <c r="AU179" s="78">
        <v>83.251805445502399</v>
      </c>
      <c r="AV179" s="78">
        <v>81.907781894864499</v>
      </c>
      <c r="AW179" s="78">
        <v>82.122825662966505</v>
      </c>
      <c r="AX179" s="78">
        <v>88.526351202004903</v>
      </c>
      <c r="AY179" s="78">
        <v>88.562191830021902</v>
      </c>
      <c r="AZ179" s="78">
        <v>88.609979334044596</v>
      </c>
      <c r="BA179" s="78">
        <v>98.627434864797806</v>
      </c>
      <c r="BB179" s="78">
        <v>99.202340682962799</v>
      </c>
      <c r="BC179" s="78">
        <v>100</v>
      </c>
      <c r="BD179" s="78">
        <v>102.942385140133</v>
      </c>
      <c r="BE179" s="78">
        <v>103.410865455741</v>
      </c>
      <c r="BF179" s="78">
        <v>105.786452069013</v>
      </c>
      <c r="BG179" s="78">
        <v>104.802334182625</v>
      </c>
      <c r="BH179" s="78">
        <v>104.19857802803899</v>
      </c>
      <c r="BI179" s="78">
        <v>105.92190708147901</v>
      </c>
      <c r="BJ179" s="78">
        <v>108.883878892078</v>
      </c>
      <c r="BK179" s="78">
        <v>112.11512086727799</v>
      </c>
      <c r="BL179" s="78">
        <v>109.323686827592</v>
      </c>
      <c r="BM179" s="78">
        <v>112.492099097718</v>
      </c>
      <c r="BN179" s="78">
        <v>116.809397403471</v>
      </c>
      <c r="BO179" s="78">
        <v>121.74601708780401</v>
      </c>
      <c r="BP179" s="78">
        <v>126.251804508777</v>
      </c>
    </row>
    <row r="180" spans="1:68" x14ac:dyDescent="0.25">
      <c r="A180" s="78" t="s">
        <v>179</v>
      </c>
      <c r="B180" s="78" t="s">
        <v>1020</v>
      </c>
      <c r="C180" s="78" t="s">
        <v>691</v>
      </c>
      <c r="D180" s="78" t="s">
        <v>692</v>
      </c>
      <c r="E180" s="78">
        <v>6.5885964125815405E-2</v>
      </c>
      <c r="F180" s="78">
        <v>7.0023040820326496E-2</v>
      </c>
      <c r="G180" s="78">
        <v>7.3710196707566594E-2</v>
      </c>
      <c r="H180" s="78">
        <v>7.1723960946775203E-2</v>
      </c>
      <c r="I180" s="78">
        <v>7.23384869280186E-2</v>
      </c>
      <c r="J180" s="78">
        <v>7.5306866890887406E-2</v>
      </c>
      <c r="K180" s="78">
        <v>8.2604362917444302E-2</v>
      </c>
      <c r="L180" s="78">
        <v>7.9526246172440099E-2</v>
      </c>
      <c r="M180" s="78">
        <v>7.9147654273205206E-2</v>
      </c>
      <c r="N180" s="78">
        <v>8.7185873580713294E-2</v>
      </c>
      <c r="O180" s="78">
        <v>9.9180103892340998E-2</v>
      </c>
      <c r="P180" s="78">
        <v>0.115048042620664</v>
      </c>
      <c r="Q180" s="78">
        <v>0.119026000981035</v>
      </c>
      <c r="R180" s="78">
        <v>0.12545657642698699</v>
      </c>
      <c r="S180" s="78">
        <v>0.14135743619029001</v>
      </c>
      <c r="T180" s="78">
        <v>0.18936834202536201</v>
      </c>
      <c r="U180" s="78">
        <v>0.235384849137524</v>
      </c>
      <c r="V180" s="78">
        <v>0.27089932457134602</v>
      </c>
      <c r="W180" s="78">
        <v>0.32970952465505399</v>
      </c>
      <c r="X180" s="78">
        <v>0.36831762182463901</v>
      </c>
      <c r="Y180" s="78">
        <v>0.405047220028382</v>
      </c>
      <c r="Z180" s="78">
        <v>0.489348980643658</v>
      </c>
      <c r="AA180" s="78">
        <v>0.52701782833007504</v>
      </c>
      <c r="AB180" s="78">
        <v>0.64935095397575304</v>
      </c>
      <c r="AC180" s="78">
        <v>0.76506875687250797</v>
      </c>
      <c r="AD180" s="78">
        <v>0.82195425711410597</v>
      </c>
      <c r="AE180" s="78">
        <v>0.868946626878904</v>
      </c>
      <c r="AF180" s="78">
        <v>0.96705350410716795</v>
      </c>
      <c r="AG180" s="78">
        <v>1.4942062134716401</v>
      </c>
      <c r="AH180" s="78">
        <v>2.2482826031476999</v>
      </c>
      <c r="AI180" s="78">
        <v>2.4138551340441401</v>
      </c>
      <c r="AJ180" s="78">
        <v>2.7278246220925801</v>
      </c>
      <c r="AK180" s="78">
        <v>3.9441300523791099</v>
      </c>
      <c r="AL180" s="78">
        <v>6.19880196895976</v>
      </c>
      <c r="AM180" s="78">
        <v>9.7340846639260992</v>
      </c>
      <c r="AN180" s="78">
        <v>16.8239541229376</v>
      </c>
      <c r="AO180" s="78">
        <v>21.748038256480299</v>
      </c>
      <c r="AP180" s="78">
        <v>23.603118563735102</v>
      </c>
      <c r="AQ180" s="78">
        <v>25.962575544391001</v>
      </c>
      <c r="AR180" s="78">
        <v>27.6808757368252</v>
      </c>
      <c r="AS180" s="78">
        <v>29.6000717229022</v>
      </c>
      <c r="AT180" s="78">
        <v>35.186684537607299</v>
      </c>
      <c r="AU180" s="78">
        <v>39.717525841040697</v>
      </c>
      <c r="AV180" s="78">
        <v>45.2906031235499</v>
      </c>
      <c r="AW180" s="78">
        <v>52.083303096543403</v>
      </c>
      <c r="AX180" s="78">
        <v>61.387200490071699</v>
      </c>
      <c r="AY180" s="78">
        <v>66.436433715411198</v>
      </c>
      <c r="AZ180" s="78">
        <v>70.016034058042194</v>
      </c>
      <c r="BA180" s="78">
        <v>78.124643596735197</v>
      </c>
      <c r="BB180" s="78">
        <v>87.919776825936694</v>
      </c>
      <c r="BC180" s="78">
        <v>100</v>
      </c>
      <c r="BD180" s="78">
        <v>110.82613718800199</v>
      </c>
      <c r="BE180" s="78">
        <v>124.373791623613</v>
      </c>
      <c r="BF180" s="78">
        <v>134.93998995420401</v>
      </c>
      <c r="BG180" s="78">
        <v>145.79916538681701</v>
      </c>
      <c r="BH180" s="78">
        <v>158.93484639383701</v>
      </c>
      <c r="BI180" s="78">
        <v>183.88255145003799</v>
      </c>
      <c r="BJ180" s="78">
        <v>214.22733961135299</v>
      </c>
      <c r="BK180" s="78">
        <v>240.13836452661599</v>
      </c>
      <c r="BL180" s="78">
        <v>267.505546743183</v>
      </c>
      <c r="BM180" s="78">
        <v>302.939394135074</v>
      </c>
      <c r="BN180" s="78">
        <v>354.29624225444201</v>
      </c>
      <c r="BO180" s="78">
        <v>421.07112034495299</v>
      </c>
      <c r="BP180" s="78">
        <v>524.90536465723005</v>
      </c>
    </row>
    <row r="181" spans="1:68" x14ac:dyDescent="0.25">
      <c r="A181" s="78" t="s">
        <v>1021</v>
      </c>
      <c r="B181" s="78" t="s">
        <v>1022</v>
      </c>
      <c r="C181" s="78" t="s">
        <v>691</v>
      </c>
      <c r="D181" s="78" t="s">
        <v>692</v>
      </c>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c r="AR181" s="78">
        <v>42.6964164952416</v>
      </c>
      <c r="AS181" s="78">
        <v>45.715016218672297</v>
      </c>
      <c r="AT181" s="78">
        <v>48.451536227105599</v>
      </c>
      <c r="AU181" s="78">
        <v>50.268553460001897</v>
      </c>
      <c r="AV181" s="78">
        <v>52.933987071819097</v>
      </c>
      <c r="AW181" s="78">
        <v>57.4176072747509</v>
      </c>
      <c r="AX181" s="78">
        <v>62.929180734646799</v>
      </c>
      <c r="AY181" s="78">
        <v>68.681033503089907</v>
      </c>
      <c r="AZ181" s="78">
        <v>76.323127282903698</v>
      </c>
      <c r="BA181" s="78">
        <v>91.455105532221097</v>
      </c>
      <c r="BB181" s="78">
        <v>94.827056741037595</v>
      </c>
      <c r="BC181" s="78">
        <v>100</v>
      </c>
      <c r="BD181" s="78">
        <v>108.082387980991</v>
      </c>
      <c r="BE181" s="78">
        <v>115.857349178098</v>
      </c>
      <c r="BF181" s="78">
        <v>124.12431308391599</v>
      </c>
      <c r="BG181" s="78">
        <v>131.61641766894999</v>
      </c>
      <c r="BH181" s="78">
        <v>136.87762598205799</v>
      </c>
      <c r="BI181" s="78">
        <v>141.70006178499301</v>
      </c>
      <c r="BJ181" s="78">
        <v>147.15646591038501</v>
      </c>
      <c r="BK181" s="78">
        <v>154.436645452421</v>
      </c>
      <c r="BL181" s="78">
        <v>162.73960723681401</v>
      </c>
      <c r="BM181" s="78">
        <v>168.73137592962101</v>
      </c>
      <c r="BN181" s="78">
        <v>177.04715663184899</v>
      </c>
      <c r="BO181" s="78">
        <v>195.57943398713999</v>
      </c>
      <c r="BP181" s="78">
        <v>211.98396910151101</v>
      </c>
    </row>
    <row r="182" spans="1:68" x14ac:dyDescent="0.25">
      <c r="A182" s="78" t="s">
        <v>1023</v>
      </c>
      <c r="B182" s="78" t="s">
        <v>1024</v>
      </c>
      <c r="C182" s="78" t="s">
        <v>691</v>
      </c>
      <c r="D182" s="78" t="s">
        <v>692</v>
      </c>
      <c r="E182" s="78">
        <v>16.8430929999958</v>
      </c>
      <c r="F182" s="78">
        <v>17.063339914655099</v>
      </c>
      <c r="G182" s="78">
        <v>17.478170635173399</v>
      </c>
      <c r="H182" s="78">
        <v>18.045100857998101</v>
      </c>
      <c r="I182" s="78">
        <v>19.096005713921802</v>
      </c>
      <c r="J182" s="78">
        <v>19.84228484082</v>
      </c>
      <c r="K182" s="78">
        <v>20.985625119419101</v>
      </c>
      <c r="L182" s="78">
        <v>21.710748178005002</v>
      </c>
      <c r="M182" s="78">
        <v>22.518560237291499</v>
      </c>
      <c r="N182" s="78">
        <v>24.189840501514901</v>
      </c>
      <c r="O182" s="78">
        <v>25.077349031453899</v>
      </c>
      <c r="P182" s="78">
        <v>26.9525526126634</v>
      </c>
      <c r="Q182" s="78">
        <v>29.055604283621602</v>
      </c>
      <c r="R182" s="78">
        <v>31.386505864048701</v>
      </c>
      <c r="S182" s="78">
        <v>34.396918303656697</v>
      </c>
      <c r="T182" s="78">
        <v>37.9114151054983</v>
      </c>
      <c r="U182" s="78">
        <v>41.259240084798897</v>
      </c>
      <c r="V182" s="78">
        <v>43.899540520621997</v>
      </c>
      <c r="W182" s="78">
        <v>45.704694878397198</v>
      </c>
      <c r="X182" s="78">
        <v>47.6239720854905</v>
      </c>
      <c r="Y182" s="78">
        <v>50.725938293284301</v>
      </c>
      <c r="Z182" s="78">
        <v>54.144322017705903</v>
      </c>
      <c r="AA182" s="78">
        <v>57.344845187294702</v>
      </c>
      <c r="AB182" s="78">
        <v>58.916575832294598</v>
      </c>
      <c r="AC182" s="78">
        <v>60.861789512951802</v>
      </c>
      <c r="AD182" s="78">
        <v>62.236404414641498</v>
      </c>
      <c r="AE182" s="78">
        <v>62.288276451909297</v>
      </c>
      <c r="AF182" s="78">
        <v>61.8577333563831</v>
      </c>
      <c r="AG182" s="78">
        <v>62.314212925473299</v>
      </c>
      <c r="AH182" s="78">
        <v>62.988551229675998</v>
      </c>
      <c r="AI182" s="78">
        <v>64.534348130692294</v>
      </c>
      <c r="AJ182" s="78">
        <v>66.572472181025702</v>
      </c>
      <c r="AK182" s="78">
        <v>68.691861300918006</v>
      </c>
      <c r="AL182" s="78">
        <v>70.466985724294204</v>
      </c>
      <c r="AM182" s="78">
        <v>72.441135687444799</v>
      </c>
      <c r="AN182" s="78">
        <v>73.834338122230605</v>
      </c>
      <c r="AO182" s="78">
        <v>75.273640441464096</v>
      </c>
      <c r="AP182" s="78">
        <v>76.861346411056601</v>
      </c>
      <c r="AQ182" s="78">
        <v>78.367164966744596</v>
      </c>
      <c r="AR182" s="78">
        <v>80.057685133794905</v>
      </c>
      <c r="AS182" s="78">
        <v>81.947464674679495</v>
      </c>
      <c r="AT182" s="78">
        <v>85.353071232951507</v>
      </c>
      <c r="AU182" s="78">
        <v>88.159079949411804</v>
      </c>
      <c r="AV182" s="78">
        <v>90.003366482571593</v>
      </c>
      <c r="AW182" s="78">
        <v>91.140691675689396</v>
      </c>
      <c r="AX182" s="78">
        <v>92.679265196939198</v>
      </c>
      <c r="AY182" s="78">
        <v>93.700128290281796</v>
      </c>
      <c r="AZ182" s="78">
        <v>95.212315867051203</v>
      </c>
      <c r="BA182" s="78">
        <v>97.579771989045298</v>
      </c>
      <c r="BB182" s="78">
        <v>98.740753546179903</v>
      </c>
      <c r="BC182" s="78">
        <v>100</v>
      </c>
      <c r="BD182" s="78">
        <v>102.341070177514</v>
      </c>
      <c r="BE182" s="78">
        <v>104.854103924227</v>
      </c>
      <c r="BF182" s="78">
        <v>107.48268991056101</v>
      </c>
      <c r="BG182" s="78">
        <v>108.531758668693</v>
      </c>
      <c r="BH182" s="78">
        <v>109.183218539311</v>
      </c>
      <c r="BI182" s="78">
        <v>109.528965398018</v>
      </c>
      <c r="BJ182" s="78">
        <v>111.042062834942</v>
      </c>
      <c r="BK182" s="78">
        <v>112.933662096136</v>
      </c>
      <c r="BL182" s="78">
        <v>115.907994941178</v>
      </c>
      <c r="BM182" s="78">
        <v>117.38287825161299</v>
      </c>
      <c r="BN182" s="78">
        <v>120.523715504927</v>
      </c>
      <c r="BO182" s="78">
        <v>132.57754283166699</v>
      </c>
      <c r="BP182" s="78">
        <v>137.66639067575301</v>
      </c>
    </row>
    <row r="183" spans="1:68" x14ac:dyDescent="0.25">
      <c r="A183" s="78" t="s">
        <v>1025</v>
      </c>
      <c r="B183" s="78" t="s">
        <v>1026</v>
      </c>
      <c r="C183" s="78" t="s">
        <v>691</v>
      </c>
      <c r="D183" s="78" t="s">
        <v>692</v>
      </c>
      <c r="E183" s="78">
        <v>9.0278320513980592</v>
      </c>
      <c r="F183" s="78">
        <v>9.2223974300968194</v>
      </c>
      <c r="G183" s="78">
        <v>9.7088106053750707</v>
      </c>
      <c r="H183" s="78">
        <v>9.9487745905347893</v>
      </c>
      <c r="I183" s="78">
        <v>10.5324707266311</v>
      </c>
      <c r="J183" s="78">
        <v>10.9734889150303</v>
      </c>
      <c r="K183" s="78">
        <v>11.3301891231563</v>
      </c>
      <c r="L183" s="78">
        <v>11.8490290471451</v>
      </c>
      <c r="M183" s="78">
        <v>12.257618315084599</v>
      </c>
      <c r="N183" s="78">
        <v>12.6208053569813</v>
      </c>
      <c r="O183" s="78">
        <v>13.963306488100599</v>
      </c>
      <c r="P183" s="78">
        <v>14.8323635870057</v>
      </c>
      <c r="Q183" s="78">
        <v>15.908961179983701</v>
      </c>
      <c r="R183" s="78">
        <v>17.0893222332821</v>
      </c>
      <c r="S183" s="78">
        <v>18.6977296172292</v>
      </c>
      <c r="T183" s="78">
        <v>20.883349018188401</v>
      </c>
      <c r="U183" s="78">
        <v>22.796571351009</v>
      </c>
      <c r="V183" s="78">
        <v>24.871934666546</v>
      </c>
      <c r="W183" s="78">
        <v>26.901900280517602</v>
      </c>
      <c r="X183" s="78">
        <v>28.115102705637501</v>
      </c>
      <c r="Y183" s="78">
        <v>31.1736494434892</v>
      </c>
      <c r="Z183" s="78">
        <v>35.426658220975497</v>
      </c>
      <c r="AA183" s="78">
        <v>39.444394172473103</v>
      </c>
      <c r="AB183" s="78">
        <v>42.783458510541998</v>
      </c>
      <c r="AC183" s="78">
        <v>45.443851235182301</v>
      </c>
      <c r="AD183" s="78">
        <v>48.040901275902598</v>
      </c>
      <c r="AE183" s="78">
        <v>51.488553072120197</v>
      </c>
      <c r="AF183" s="78">
        <v>55.976834675595001</v>
      </c>
      <c r="AG183" s="78">
        <v>59.714053026875398</v>
      </c>
      <c r="AH183" s="78">
        <v>62.428739480589897</v>
      </c>
      <c r="AI183" s="78">
        <v>65.007691611618796</v>
      </c>
      <c r="AJ183" s="78">
        <v>67.242783458510502</v>
      </c>
      <c r="AK183" s="78">
        <v>68.808252646819298</v>
      </c>
      <c r="AL183" s="78">
        <v>70.382770789973705</v>
      </c>
      <c r="AM183" s="78">
        <v>71.3510089584653</v>
      </c>
      <c r="AN183" s="78">
        <v>73.106506198534007</v>
      </c>
      <c r="AO183" s="78">
        <v>74.029499592796995</v>
      </c>
      <c r="AP183" s="78">
        <v>75.929780110397203</v>
      </c>
      <c r="AQ183" s="78">
        <v>77.640032576237402</v>
      </c>
      <c r="AR183" s="78">
        <v>79.476970409917598</v>
      </c>
      <c r="AS183" s="78">
        <v>81.9292371731065</v>
      </c>
      <c r="AT183" s="78">
        <v>84.390552891141098</v>
      </c>
      <c r="AU183" s="78">
        <v>85.476427472626895</v>
      </c>
      <c r="AV183" s="78">
        <v>87.602931861369996</v>
      </c>
      <c r="AW183" s="78">
        <v>88.001085874581506</v>
      </c>
      <c r="AX183" s="78">
        <v>89.349380146593006</v>
      </c>
      <c r="AY183" s="78">
        <v>91.430639761107599</v>
      </c>
      <c r="AZ183" s="78">
        <v>92.082164509999103</v>
      </c>
      <c r="BA183" s="78">
        <v>95.538865261062298</v>
      </c>
      <c r="BB183" s="78">
        <v>97.638222785268297</v>
      </c>
      <c r="BC183" s="78">
        <v>100</v>
      </c>
      <c r="BD183" s="78">
        <v>101.284951588092</v>
      </c>
      <c r="BE183" s="78">
        <v>101.990770066057</v>
      </c>
      <c r="BF183" s="78">
        <v>104.15347027418299</v>
      </c>
      <c r="BG183" s="78">
        <v>106.27997466292599</v>
      </c>
      <c r="BH183" s="78">
        <v>108.58745814858401</v>
      </c>
      <c r="BI183" s="78">
        <v>112.442312912858</v>
      </c>
      <c r="BJ183" s="78">
        <v>114.55071939190999</v>
      </c>
      <c r="BK183" s="78">
        <v>117.71785358791</v>
      </c>
      <c r="BL183" s="78">
        <v>120.269658854402</v>
      </c>
      <c r="BM183" s="78">
        <v>121.81703013302</v>
      </c>
      <c r="BN183" s="78">
        <v>126.06098995566001</v>
      </c>
      <c r="BO183" s="78">
        <v>133.32730069676899</v>
      </c>
      <c r="BP183" s="78">
        <v>140.68410098633601</v>
      </c>
    </row>
    <row r="184" spans="1:68" x14ac:dyDescent="0.25">
      <c r="A184" s="78" t="s">
        <v>1027</v>
      </c>
      <c r="B184" s="78" t="s">
        <v>1028</v>
      </c>
      <c r="C184" s="78" t="s">
        <v>691</v>
      </c>
      <c r="D184" s="78" t="s">
        <v>692</v>
      </c>
      <c r="E184" s="78"/>
      <c r="F184" s="78"/>
      <c r="G184" s="78"/>
      <c r="H184" s="78"/>
      <c r="I184" s="78">
        <v>2.96946523316725</v>
      </c>
      <c r="J184" s="78">
        <v>3.22103444747537</v>
      </c>
      <c r="K184" s="78">
        <v>3.6845081499364398</v>
      </c>
      <c r="L184" s="78">
        <v>3.5810349512398001</v>
      </c>
      <c r="M184" s="78">
        <v>3.6232865073772</v>
      </c>
      <c r="N184" s="78">
        <v>3.7703046771711399</v>
      </c>
      <c r="O184" s="78">
        <v>4.34479649905792</v>
      </c>
      <c r="P184" s="78">
        <v>4.2579221259927804</v>
      </c>
      <c r="Q184" s="78">
        <v>4.6151202306282402</v>
      </c>
      <c r="R184" s="78">
        <v>5.14261797478399</v>
      </c>
      <c r="S184" s="78">
        <v>6.16118227436277</v>
      </c>
      <c r="T184" s="78">
        <v>6.6285686506745396</v>
      </c>
      <c r="U184" s="78">
        <v>6.4222056828372702</v>
      </c>
      <c r="V184" s="78">
        <v>7.0579303726647797</v>
      </c>
      <c r="W184" s="78">
        <v>7.57641237826099</v>
      </c>
      <c r="X184" s="78">
        <v>7.8465458601842304</v>
      </c>
      <c r="Y184" s="78">
        <v>8.9987721048726694</v>
      </c>
      <c r="Z184" s="78">
        <v>10.0016723632259</v>
      </c>
      <c r="AA184" s="78">
        <v>11.1717226646585</v>
      </c>
      <c r="AB184" s="78">
        <v>12.5544733763075</v>
      </c>
      <c r="AC184" s="78">
        <v>12.9117466911015</v>
      </c>
      <c r="AD184" s="78">
        <v>13.951483333335799</v>
      </c>
      <c r="AE184" s="78">
        <v>16.602118613346398</v>
      </c>
      <c r="AF184" s="78">
        <v>18.3869008266986</v>
      </c>
      <c r="AG184" s="78">
        <v>20.038596749822499</v>
      </c>
      <c r="AH184" s="78">
        <v>21.811388743096199</v>
      </c>
      <c r="AI184" s="78">
        <v>23.608581823051701</v>
      </c>
      <c r="AJ184" s="78">
        <v>27.281475827069301</v>
      </c>
      <c r="AK184" s="78">
        <v>31.9601189691023</v>
      </c>
      <c r="AL184" s="78">
        <v>34.358851881604799</v>
      </c>
      <c r="AM184" s="78">
        <v>37.227570941935298</v>
      </c>
      <c r="AN184" s="78">
        <v>40.065417323029003</v>
      </c>
      <c r="AO184" s="78">
        <v>43.759635754972898</v>
      </c>
      <c r="AP184" s="78">
        <v>45.514392162438298</v>
      </c>
      <c r="AQ184" s="78">
        <v>50.632243325253697</v>
      </c>
      <c r="AR184" s="78">
        <v>54.404908792172698</v>
      </c>
      <c r="AS184" s="78">
        <v>55.753508664962602</v>
      </c>
      <c r="AT184" s="78">
        <v>57.252332321050801</v>
      </c>
      <c r="AU184" s="78">
        <v>58.986734182765503</v>
      </c>
      <c r="AV184" s="78">
        <v>62.353112599400703</v>
      </c>
      <c r="AW184" s="78">
        <v>64.125070406939898</v>
      </c>
      <c r="AX184" s="78">
        <v>68.508873537730594</v>
      </c>
      <c r="AY184" s="78">
        <v>73.249917644186496</v>
      </c>
      <c r="AZ184" s="78">
        <v>74.912118871868799</v>
      </c>
      <c r="BA184" s="78">
        <v>82.3342842988434</v>
      </c>
      <c r="BB184" s="78">
        <v>91.469128018319196</v>
      </c>
      <c r="BC184" s="78">
        <v>100</v>
      </c>
      <c r="BD184" s="78">
        <v>109.22707546126</v>
      </c>
      <c r="BE184" s="78">
        <v>119.559749053898</v>
      </c>
      <c r="BF184" s="78">
        <v>130.368145393248</v>
      </c>
      <c r="BG184" s="78">
        <v>141.272338749022</v>
      </c>
      <c r="BH184" s="78">
        <v>152.38893046506601</v>
      </c>
      <c r="BI184" s="78">
        <v>165.784440634692</v>
      </c>
      <c r="BJ184" s="78">
        <v>171.797601626909</v>
      </c>
      <c r="BK184" s="78">
        <v>178.77458292480199</v>
      </c>
      <c r="BL184" s="78">
        <v>188.72997716222099</v>
      </c>
      <c r="BM184" s="78">
        <v>198.26530740364601</v>
      </c>
      <c r="BN184" s="78">
        <v>206.49268327853599</v>
      </c>
      <c r="BO184" s="78">
        <v>222.29100849230201</v>
      </c>
      <c r="BP184" s="78">
        <v>238.106479175293</v>
      </c>
    </row>
    <row r="185" spans="1:68" x14ac:dyDescent="0.25">
      <c r="A185" s="78" t="s">
        <v>1029</v>
      </c>
      <c r="B185" s="78" t="s">
        <v>1030</v>
      </c>
      <c r="C185" s="78" t="s">
        <v>691</v>
      </c>
      <c r="D185" s="78" t="s">
        <v>692</v>
      </c>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c r="AF185" s="78"/>
      <c r="AG185" s="78"/>
      <c r="AH185" s="78"/>
      <c r="AI185" s="78"/>
      <c r="AJ185" s="78"/>
      <c r="AK185" s="78"/>
      <c r="AL185" s="78"/>
      <c r="AM185" s="78"/>
      <c r="AN185" s="78"/>
      <c r="AO185" s="78"/>
      <c r="AP185" s="78"/>
      <c r="AQ185" s="78"/>
      <c r="AR185" s="78"/>
      <c r="AS185" s="78"/>
      <c r="AT185" s="78"/>
      <c r="AU185" s="78"/>
      <c r="AV185" s="78"/>
      <c r="AW185" s="78"/>
      <c r="AX185" s="78"/>
      <c r="AY185" s="78"/>
      <c r="AZ185" s="78"/>
      <c r="BA185" s="78"/>
      <c r="BB185" s="78"/>
      <c r="BC185" s="78">
        <v>100</v>
      </c>
      <c r="BD185" s="78">
        <v>100.30030030029999</v>
      </c>
      <c r="BE185" s="78">
        <v>100.175175175175</v>
      </c>
      <c r="BF185" s="78"/>
      <c r="BG185" s="78"/>
      <c r="BH185" s="78"/>
      <c r="BI185" s="78"/>
      <c r="BJ185" s="78"/>
      <c r="BK185" s="78"/>
      <c r="BL185" s="78"/>
      <c r="BM185" s="78"/>
      <c r="BN185" s="78"/>
      <c r="BO185" s="78"/>
      <c r="BP185" s="78"/>
    </row>
    <row r="186" spans="1:68" x14ac:dyDescent="0.25">
      <c r="A186" s="78" t="s">
        <v>1031</v>
      </c>
      <c r="B186" s="78" t="s">
        <v>1032</v>
      </c>
      <c r="C186" s="78" t="s">
        <v>691</v>
      </c>
      <c r="D186" s="78" t="s">
        <v>692</v>
      </c>
      <c r="E186" s="78">
        <v>4.9921648004466999</v>
      </c>
      <c r="F186" s="78">
        <v>5.0819091612328</v>
      </c>
      <c r="G186" s="78">
        <v>5.21814772472713</v>
      </c>
      <c r="H186" s="78">
        <v>5.3208668846467502</v>
      </c>
      <c r="I186" s="78">
        <v>5.5057619794327701</v>
      </c>
      <c r="J186" s="78">
        <v>5.6928196786798502</v>
      </c>
      <c r="K186" s="78">
        <v>5.8496842305056598</v>
      </c>
      <c r="L186" s="78">
        <v>6.2039949282663098</v>
      </c>
      <c r="M186" s="78">
        <v>6.4715065344367</v>
      </c>
      <c r="N186" s="78">
        <v>6.7902439199337001</v>
      </c>
      <c r="O186" s="78">
        <v>7.2327764100379701</v>
      </c>
      <c r="P186" s="78">
        <v>7.9840860009777099</v>
      </c>
      <c r="Q186" s="78">
        <v>8.5376070818882006</v>
      </c>
      <c r="R186" s="78">
        <v>9.2348452161169892</v>
      </c>
      <c r="S186" s="78">
        <v>10.2607812963819</v>
      </c>
      <c r="T186" s="78">
        <v>11.7675753338946</v>
      </c>
      <c r="U186" s="78">
        <v>13.757102468663099</v>
      </c>
      <c r="V186" s="78">
        <v>15.7358621009293</v>
      </c>
      <c r="W186" s="78">
        <v>17.617339017147501</v>
      </c>
      <c r="X186" s="78">
        <v>20.0308431150332</v>
      </c>
      <c r="Y186" s="78">
        <v>23.466241962306299</v>
      </c>
      <c r="Z186" s="78">
        <v>27.073040800089199</v>
      </c>
      <c r="AA186" s="78">
        <v>31.4490443048381</v>
      </c>
      <c r="AB186" s="78">
        <v>33.757742504681701</v>
      </c>
      <c r="AC186" s="78">
        <v>35.841018363516199</v>
      </c>
      <c r="AD186" s="78">
        <v>41.366863128297403</v>
      </c>
      <c r="AE186" s="78">
        <v>46.832831420030303</v>
      </c>
      <c r="AF186" s="78">
        <v>54.206333266754903</v>
      </c>
      <c r="AG186" s="78">
        <v>57.662122227016397</v>
      </c>
      <c r="AH186" s="78">
        <v>60.9580842618454</v>
      </c>
      <c r="AI186" s="78">
        <v>64.675578984306995</v>
      </c>
      <c r="AJ186" s="78">
        <v>66.358691633956795</v>
      </c>
      <c r="AK186" s="78">
        <v>67.031940556102995</v>
      </c>
      <c r="AL186" s="78">
        <v>67.895451219875596</v>
      </c>
      <c r="AM186" s="78">
        <v>69.080483425825904</v>
      </c>
      <c r="AN186" s="78">
        <v>71.674416987880207</v>
      </c>
      <c r="AO186" s="78">
        <v>73.312688493366295</v>
      </c>
      <c r="AP186" s="78">
        <v>74.183018851267803</v>
      </c>
      <c r="AQ186" s="78">
        <v>75.121615119857793</v>
      </c>
      <c r="AR186" s="78">
        <v>75.035775806417803</v>
      </c>
      <c r="AS186" s="78">
        <v>76.998137274483895</v>
      </c>
      <c r="AT186" s="78">
        <v>79.019966916758904</v>
      </c>
      <c r="AU186" s="78">
        <v>81.135404585526999</v>
      </c>
      <c r="AV186" s="78">
        <v>82.558174308292095</v>
      </c>
      <c r="AW186" s="78">
        <v>84.448962093315103</v>
      </c>
      <c r="AX186" s="78">
        <v>87.013696770797594</v>
      </c>
      <c r="AY186" s="78">
        <v>89.942057428887097</v>
      </c>
      <c r="AZ186" s="78">
        <v>92.079209423095804</v>
      </c>
      <c r="BA186" s="78">
        <v>95.724578707325904</v>
      </c>
      <c r="BB186" s="78">
        <v>97.749776815026294</v>
      </c>
      <c r="BC186" s="78">
        <v>100</v>
      </c>
      <c r="BD186" s="78">
        <v>104.02790667392</v>
      </c>
      <c r="BE186" s="78">
        <v>105.130512172271</v>
      </c>
      <c r="BF186" s="78">
        <v>106.323136529614</v>
      </c>
      <c r="BG186" s="78">
        <v>107.628261011102</v>
      </c>
      <c r="BH186" s="78">
        <v>107.943293912264</v>
      </c>
      <c r="BI186" s="78">
        <v>108.640866961892</v>
      </c>
      <c r="BJ186" s="78">
        <v>110.651578737121</v>
      </c>
      <c r="BK186" s="78">
        <v>112.420119642595</v>
      </c>
      <c r="BL186" s="78">
        <v>114.24091176441399</v>
      </c>
      <c r="BM186" s="78">
        <v>116.19964268334</v>
      </c>
      <c r="BN186" s="78">
        <v>120.779210747308</v>
      </c>
      <c r="BO186" s="78">
        <v>129.44176720565801</v>
      </c>
      <c r="BP186" s="78">
        <v>136.86287449004001</v>
      </c>
    </row>
    <row r="187" spans="1:68" x14ac:dyDescent="0.25">
      <c r="A187" s="78" t="s">
        <v>1033</v>
      </c>
      <c r="B187" s="78" t="s">
        <v>1034</v>
      </c>
      <c r="C187" s="78" t="s">
        <v>691</v>
      </c>
      <c r="D187" s="78" t="s">
        <v>692</v>
      </c>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row>
    <row r="188" spans="1:68" x14ac:dyDescent="0.25">
      <c r="A188" s="78" t="s">
        <v>1035</v>
      </c>
      <c r="B188" s="78" t="s">
        <v>1036</v>
      </c>
      <c r="C188" s="78" t="s">
        <v>691</v>
      </c>
      <c r="D188" s="78" t="s">
        <v>692</v>
      </c>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c r="AJ188" s="78"/>
      <c r="AK188" s="78"/>
      <c r="AL188" s="78"/>
      <c r="AM188" s="78"/>
      <c r="AN188" s="78"/>
      <c r="AO188" s="78"/>
      <c r="AP188" s="78"/>
      <c r="AQ188" s="78"/>
      <c r="AR188" s="78"/>
      <c r="AS188" s="78">
        <v>74.767612952311595</v>
      </c>
      <c r="AT188" s="78">
        <v>74.157010779867704</v>
      </c>
      <c r="AU188" s="78">
        <v>73.949683482275205</v>
      </c>
      <c r="AV188" s="78">
        <v>74.120750310615506</v>
      </c>
      <c r="AW188" s="78">
        <v>74.583982069047096</v>
      </c>
      <c r="AX188" s="78">
        <v>76.008413462257394</v>
      </c>
      <c r="AY188" s="78">
        <v>78.702901014507802</v>
      </c>
      <c r="AZ188" s="78">
        <v>83.291661208089394</v>
      </c>
      <c r="BA188" s="78">
        <v>93.599345072913593</v>
      </c>
      <c r="BB188" s="78">
        <v>96.8461287370816</v>
      </c>
      <c r="BC188" s="78">
        <v>100</v>
      </c>
      <c r="BD188" s="78">
        <v>104.042188671164</v>
      </c>
      <c r="BE188" s="78">
        <v>107.109076632045</v>
      </c>
      <c r="BF188" s="78">
        <v>108.237522383787</v>
      </c>
      <c r="BG188" s="78">
        <v>109.33506692238601</v>
      </c>
      <c r="BH188" s="78">
        <v>109.40645193302601</v>
      </c>
      <c r="BI188" s="78">
        <v>110.619997113916</v>
      </c>
      <c r="BJ188" s="78">
        <v>112.377853000941</v>
      </c>
      <c r="BK188" s="78">
        <v>113.37724314990901</v>
      </c>
      <c r="BL188" s="78">
        <v>113.933716077231</v>
      </c>
      <c r="BM188" s="78">
        <v>113.470686128837</v>
      </c>
      <c r="BN188" s="78">
        <v>115.37950346711401</v>
      </c>
      <c r="BO188" s="78">
        <v>118.271078246879</v>
      </c>
      <c r="BP188" s="78">
        <v>119.38612995933801</v>
      </c>
    </row>
    <row r="189" spans="1:68" x14ac:dyDescent="0.25">
      <c r="A189" s="78" t="s">
        <v>1037</v>
      </c>
      <c r="B189" s="78" t="s">
        <v>1038</v>
      </c>
      <c r="C189" s="78" t="s">
        <v>691</v>
      </c>
      <c r="D189" s="78" t="s">
        <v>692</v>
      </c>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row>
    <row r="190" spans="1:68" x14ac:dyDescent="0.25">
      <c r="A190" s="78" t="s">
        <v>1039</v>
      </c>
      <c r="B190" s="78" t="s">
        <v>1040</v>
      </c>
      <c r="C190" s="78" t="s">
        <v>691</v>
      </c>
      <c r="D190" s="78" t="s">
        <v>692</v>
      </c>
      <c r="E190" s="78">
        <v>2.0720647777700099</v>
      </c>
      <c r="F190" s="78">
        <v>2.1060553417098</v>
      </c>
      <c r="G190" s="78">
        <v>2.0951783612490802</v>
      </c>
      <c r="H190" s="78">
        <v>2.1256943920451401</v>
      </c>
      <c r="I190" s="78">
        <v>2.2145396359948499</v>
      </c>
      <c r="J190" s="78">
        <v>2.3378592758694299</v>
      </c>
      <c r="K190" s="78">
        <v>2.5068308978201501</v>
      </c>
      <c r="L190" s="78">
        <v>2.6775811684264599</v>
      </c>
      <c r="M190" s="78">
        <v>2.6821498541764202</v>
      </c>
      <c r="N190" s="78">
        <v>2.7676296158709</v>
      </c>
      <c r="O190" s="78">
        <v>2.9156933972933401</v>
      </c>
      <c r="P190" s="78">
        <v>3.0536258564897398</v>
      </c>
      <c r="Q190" s="78">
        <v>3.21190254143578</v>
      </c>
      <c r="R190" s="78">
        <v>3.9528911565488301</v>
      </c>
      <c r="S190" s="78">
        <v>5.0068519033502001</v>
      </c>
      <c r="T190" s="78">
        <v>6.0535097330040504</v>
      </c>
      <c r="U190" s="78">
        <v>6.4868395567912502</v>
      </c>
      <c r="V190" s="78">
        <v>7.1441489130147398</v>
      </c>
      <c r="W190" s="78">
        <v>7.58270625848807</v>
      </c>
      <c r="X190" s="78">
        <v>8.2095721469426994</v>
      </c>
      <c r="Y190" s="78">
        <v>9.1896498266259403</v>
      </c>
      <c r="Z190" s="78">
        <v>10.281372285485</v>
      </c>
      <c r="AA190" s="78">
        <v>10.8883360577857</v>
      </c>
      <c r="AB190" s="78">
        <v>11.5810556453586</v>
      </c>
      <c r="AC190" s="78">
        <v>12.286013812250101</v>
      </c>
      <c r="AD190" s="78">
        <v>12.9758537341009</v>
      </c>
      <c r="AE190" s="78">
        <v>13.4308409181788</v>
      </c>
      <c r="AF190" s="78">
        <v>14.059567934151501</v>
      </c>
      <c r="AG190" s="78">
        <v>15.302143693199699</v>
      </c>
      <c r="AH190" s="78">
        <v>16.502484354991701</v>
      </c>
      <c r="AI190" s="78">
        <v>17.996310948285402</v>
      </c>
      <c r="AJ190" s="78">
        <v>20.1183046225505</v>
      </c>
      <c r="AK190" s="78">
        <v>22.0313625505404</v>
      </c>
      <c r="AL190" s="78">
        <v>24.228696793455899</v>
      </c>
      <c r="AM190" s="78">
        <v>27.2253491119294</v>
      </c>
      <c r="AN190" s="78">
        <v>30.585931456101701</v>
      </c>
      <c r="AO190" s="78">
        <v>33.758857440367599</v>
      </c>
      <c r="AP190" s="78">
        <v>37.599093867064397</v>
      </c>
      <c r="AQ190" s="78">
        <v>39.940766995063797</v>
      </c>
      <c r="AR190" s="78">
        <v>41.595368058906701</v>
      </c>
      <c r="AS190" s="78">
        <v>43.411698234952098</v>
      </c>
      <c r="AT190" s="78">
        <v>44.778411993496199</v>
      </c>
      <c r="AU190" s="78">
        <v>46.251776110969701</v>
      </c>
      <c r="AV190" s="78">
        <v>47.599615168260897</v>
      </c>
      <c r="AW190" s="78">
        <v>51.143227873053597</v>
      </c>
      <c r="AX190" s="78">
        <v>55.778506042929102</v>
      </c>
      <c r="AY190" s="78">
        <v>60.1967685839765</v>
      </c>
      <c r="AZ190" s="78">
        <v>64.770931053996605</v>
      </c>
      <c r="BA190" s="78">
        <v>77.910440560645</v>
      </c>
      <c r="BB190" s="78">
        <v>88.543474448670594</v>
      </c>
      <c r="BC190" s="78">
        <v>100</v>
      </c>
      <c r="BD190" s="78">
        <v>111.916092711628</v>
      </c>
      <c r="BE190" s="78">
        <v>122.752202596554</v>
      </c>
      <c r="BF190" s="78">
        <v>132.19449365978701</v>
      </c>
      <c r="BG190" s="78">
        <v>141.69846347348101</v>
      </c>
      <c r="BH190" s="78">
        <v>145.28248263017599</v>
      </c>
      <c r="BI190" s="78">
        <v>150.75254122498799</v>
      </c>
      <c r="BJ190" s="78">
        <v>156.91134586661701</v>
      </c>
      <c r="BK190" s="78">
        <v>164.87939385510299</v>
      </c>
      <c r="BL190" s="78">
        <v>182.32093267149401</v>
      </c>
      <c r="BM190" s="78">
        <v>200.07897900462501</v>
      </c>
      <c r="BN190" s="78">
        <v>219.078900139702</v>
      </c>
      <c r="BO190" s="78">
        <v>262.61833396559598</v>
      </c>
      <c r="BP190" s="78">
        <v>343.42107928413998</v>
      </c>
    </row>
    <row r="191" spans="1:68" x14ac:dyDescent="0.25">
      <c r="A191" s="78" t="s">
        <v>1041</v>
      </c>
      <c r="B191" s="78" t="s">
        <v>1042</v>
      </c>
      <c r="C191" s="78" t="s">
        <v>691</v>
      </c>
      <c r="D191" s="78" t="s">
        <v>692</v>
      </c>
      <c r="E191" s="78">
        <v>25.7069689396222</v>
      </c>
      <c r="F191" s="78">
        <v>25.864761076402601</v>
      </c>
      <c r="G191" s="78">
        <v>26.068575919659001</v>
      </c>
      <c r="H191" s="78">
        <v>26.185855191480002</v>
      </c>
      <c r="I191" s="78">
        <v>26.817860156163398</v>
      </c>
      <c r="J191" s="78">
        <v>26.941654943085702</v>
      </c>
      <c r="K191" s="78">
        <v>26.993779063960201</v>
      </c>
      <c r="L191" s="78">
        <v>27.365163424727001</v>
      </c>
      <c r="M191" s="78">
        <v>27.808218451737101</v>
      </c>
      <c r="N191" s="78">
        <v>28.316428629628401</v>
      </c>
      <c r="O191" s="78">
        <v>29.189507653120302</v>
      </c>
      <c r="P191" s="78">
        <v>29.7498419518211</v>
      </c>
      <c r="Q191" s="78">
        <v>31.359174181875801</v>
      </c>
      <c r="R191" s="78">
        <v>33.509294165197403</v>
      </c>
      <c r="S191" s="78">
        <v>38.960608466467903</v>
      </c>
      <c r="T191" s="78">
        <v>41.251897943648302</v>
      </c>
      <c r="U191" s="78">
        <v>42.881347912182001</v>
      </c>
      <c r="V191" s="78">
        <v>44.847688380828799</v>
      </c>
      <c r="W191" s="78">
        <v>46.731525053623201</v>
      </c>
      <c r="X191" s="78">
        <v>50.464821817351698</v>
      </c>
      <c r="Y191" s="78">
        <v>57.432954911838102</v>
      </c>
      <c r="Z191" s="78">
        <v>61.626897869373501</v>
      </c>
      <c r="AA191" s="78">
        <v>64.246393388795298</v>
      </c>
      <c r="AB191" s="78">
        <v>65.597393046552895</v>
      </c>
      <c r="AC191" s="78">
        <v>66.635565811330395</v>
      </c>
      <c r="AD191" s="78">
        <v>67.319659785597096</v>
      </c>
      <c r="AE191" s="78">
        <v>67.2749702296978</v>
      </c>
      <c r="AF191" s="78">
        <v>67.945313571350596</v>
      </c>
      <c r="AG191" s="78">
        <v>68.189387300850697</v>
      </c>
      <c r="AH191" s="78">
        <v>68.329766922950597</v>
      </c>
      <c r="AI191" s="78">
        <v>68.855554472498298</v>
      </c>
      <c r="AJ191" s="78">
        <v>69.720559795947906</v>
      </c>
      <c r="AK191" s="78">
        <v>70.992626448079704</v>
      </c>
      <c r="AL191" s="78">
        <v>71.314883333286303</v>
      </c>
      <c r="AM191" s="78">
        <v>72.219464063690793</v>
      </c>
      <c r="AN191" s="78">
        <v>72.937475018449405</v>
      </c>
      <c r="AO191" s="78">
        <v>73.853363007984299</v>
      </c>
      <c r="AP191" s="78">
        <v>74.8314409227346</v>
      </c>
      <c r="AQ191" s="78">
        <v>75.249809510547095</v>
      </c>
      <c r="AR191" s="78">
        <v>76.188312018341804</v>
      </c>
      <c r="AS191" s="78">
        <v>77.330345190477502</v>
      </c>
      <c r="AT191" s="78">
        <v>77.567797632208894</v>
      </c>
      <c r="AU191" s="78">
        <v>78.347998512183196</v>
      </c>
      <c r="AV191" s="78">
        <v>78.6548615063559</v>
      </c>
      <c r="AW191" s="78">
        <v>79.028254286056196</v>
      </c>
      <c r="AX191" s="78">
        <v>81.285208961090007</v>
      </c>
      <c r="AY191" s="78">
        <v>83.283112799685597</v>
      </c>
      <c r="AZ191" s="78">
        <v>86.754880125769702</v>
      </c>
      <c r="BA191" s="78">
        <v>94.353465216821704</v>
      </c>
      <c r="BB191" s="78">
        <v>96.626490239748506</v>
      </c>
      <c r="BC191" s="78">
        <v>100</v>
      </c>
      <c r="BD191" s="78">
        <v>105.87580243678801</v>
      </c>
      <c r="BE191" s="78">
        <v>111.908816978907</v>
      </c>
      <c r="BF191" s="78">
        <v>116.415563998428</v>
      </c>
      <c r="BG191" s="78">
        <v>119.473250218224</v>
      </c>
      <c r="BH191" s="78">
        <v>119.63751644926</v>
      </c>
      <c r="BI191" s="78">
        <v>120.522515865459</v>
      </c>
      <c r="BJ191" s="78">
        <v>121.577794043312</v>
      </c>
      <c r="BK191" s="78">
        <v>122.50370421258199</v>
      </c>
      <c r="BL191" s="78">
        <v>122.06871337877099</v>
      </c>
      <c r="BM191" s="78">
        <v>120.176312134352</v>
      </c>
      <c r="BN191" s="78">
        <v>122.13603130989701</v>
      </c>
      <c r="BO191" s="78">
        <v>125.628695902787</v>
      </c>
      <c r="BP191" s="78">
        <v>127.496057864854</v>
      </c>
    </row>
    <row r="192" spans="1:68" x14ac:dyDescent="0.25">
      <c r="A192" s="78" t="s">
        <v>1043</v>
      </c>
      <c r="B192" s="78" t="s">
        <v>1044</v>
      </c>
      <c r="C192" s="78" t="s">
        <v>691</v>
      </c>
      <c r="D192" s="78" t="s">
        <v>692</v>
      </c>
      <c r="E192" s="80">
        <v>4.0772253335880798E-8</v>
      </c>
      <c r="F192" s="80">
        <v>4.3184628913763301E-8</v>
      </c>
      <c r="G192" s="80">
        <v>4.6052560395464801E-8</v>
      </c>
      <c r="H192" s="80">
        <v>4.8848017073867199E-8</v>
      </c>
      <c r="I192" s="80">
        <v>5.3631354057442703E-8</v>
      </c>
      <c r="J192" s="80">
        <v>6.2421512280092704E-8</v>
      </c>
      <c r="K192" s="80">
        <v>6.7939950835047698E-8</v>
      </c>
      <c r="L192" s="80">
        <v>7.4586925604638995E-8</v>
      </c>
      <c r="M192" s="80">
        <v>8.8823047579566094E-8</v>
      </c>
      <c r="N192" s="80">
        <v>9.4362193221030197E-8</v>
      </c>
      <c r="O192" s="80">
        <v>9.9104116031484197E-8</v>
      </c>
      <c r="P192" s="80">
        <v>1.05833919147008E-7</v>
      </c>
      <c r="Q192" s="80">
        <v>1.13474834068616E-7</v>
      </c>
      <c r="R192" s="80">
        <v>1.2424251905339199E-7</v>
      </c>
      <c r="S192" s="80">
        <v>1.4522915123004099E-7</v>
      </c>
      <c r="T192" s="80">
        <v>1.79530440032175E-7</v>
      </c>
      <c r="U192" s="80">
        <v>2.39643112167965E-7</v>
      </c>
      <c r="V192" s="80">
        <v>3.3083712115332699E-7</v>
      </c>
      <c r="W192" s="80">
        <v>5.2222236821262103E-7</v>
      </c>
      <c r="X192" s="80">
        <v>8.7051556329395504E-7</v>
      </c>
      <c r="Y192" s="80">
        <v>1.38538261339855E-6</v>
      </c>
      <c r="Z192" s="80">
        <v>2.4304220034846298E-6</v>
      </c>
      <c r="AA192" s="80">
        <v>3.9967842294521096E-6</v>
      </c>
      <c r="AB192" s="80">
        <v>8.4392352884275608E-6</v>
      </c>
      <c r="AC192" s="80">
        <v>1.7739991562203301E-5</v>
      </c>
      <c r="AD192" s="80">
        <v>4.67270500051154E-5</v>
      </c>
      <c r="AE192" s="80">
        <v>8.3137246577128806E-5</v>
      </c>
      <c r="AF192" s="78">
        <v>1.5448754893254699E-4</v>
      </c>
      <c r="AG192" s="78">
        <v>1.18494936057133E-3</v>
      </c>
      <c r="AH192" s="78">
        <v>4.1457574558070198E-2</v>
      </c>
      <c r="AI192" s="78">
        <v>3.14317384437408</v>
      </c>
      <c r="AJ192" s="78">
        <v>16.015418926459098</v>
      </c>
      <c r="AK192" s="78">
        <v>27.791283279157501</v>
      </c>
      <c r="AL192" s="78">
        <v>41.292284929588597</v>
      </c>
      <c r="AM192" s="78">
        <v>51.093795398986401</v>
      </c>
      <c r="AN192" s="78">
        <v>56.779872125401297</v>
      </c>
      <c r="AO192" s="78">
        <v>63.331101072563499</v>
      </c>
      <c r="AP192" s="78">
        <v>68.753629952206296</v>
      </c>
      <c r="AQ192" s="78">
        <v>73.736770499264495</v>
      </c>
      <c r="AR192" s="78">
        <v>76.295185703235205</v>
      </c>
      <c r="AS192" s="78">
        <v>79.161853962235696</v>
      </c>
      <c r="AT192" s="78">
        <v>80.726962015122794</v>
      </c>
      <c r="AU192" s="78">
        <v>80.882874036321695</v>
      </c>
      <c r="AV192" s="78">
        <v>82.710323520853194</v>
      </c>
      <c r="AW192" s="78">
        <v>85.739566954200598</v>
      </c>
      <c r="AX192" s="78">
        <v>87.125377237050401</v>
      </c>
      <c r="AY192" s="78">
        <v>88.869852083689807</v>
      </c>
      <c r="AZ192" s="78">
        <v>90.451723406073995</v>
      </c>
      <c r="BA192" s="78">
        <v>95.685147945992199</v>
      </c>
      <c r="BB192" s="78">
        <v>98.494685435219097</v>
      </c>
      <c r="BC192" s="78">
        <v>100</v>
      </c>
      <c r="BD192" s="78">
        <v>103.369310953338</v>
      </c>
      <c r="BE192" s="78">
        <v>107.10219689619301</v>
      </c>
      <c r="BF192" s="78">
        <v>110.066675027747</v>
      </c>
      <c r="BG192" s="78">
        <v>113.822090321437</v>
      </c>
      <c r="BH192" s="78">
        <v>117.68986960708401</v>
      </c>
      <c r="BI192" s="78">
        <v>121.87630615117099</v>
      </c>
      <c r="BJ192" s="78">
        <v>125.526380202401</v>
      </c>
      <c r="BK192" s="78">
        <v>127.42076687930199</v>
      </c>
      <c r="BL192" s="78">
        <v>130.29043789264301</v>
      </c>
      <c r="BM192" s="78">
        <v>132.89938933089601</v>
      </c>
      <c r="BN192" s="78">
        <v>138.576404455789</v>
      </c>
      <c r="BO192" s="78">
        <v>150.12495500556801</v>
      </c>
      <c r="BP192" s="78">
        <v>159.8164418433</v>
      </c>
    </row>
    <row r="193" spans="1:68" x14ac:dyDescent="0.25">
      <c r="A193" s="78" t="s">
        <v>1045</v>
      </c>
      <c r="B193" s="78" t="s">
        <v>1046</v>
      </c>
      <c r="C193" s="78" t="s">
        <v>691</v>
      </c>
      <c r="D193" s="78" t="s">
        <v>692</v>
      </c>
      <c r="E193" s="78">
        <v>1.1289570744394</v>
      </c>
      <c r="F193" s="78">
        <v>1.1469710861261</v>
      </c>
      <c r="G193" s="78">
        <v>1.21345701083502</v>
      </c>
      <c r="H193" s="78">
        <v>1.2817206340643399</v>
      </c>
      <c r="I193" s="78">
        <v>1.38660484683975</v>
      </c>
      <c r="J193" s="78">
        <v>1.42215881727406</v>
      </c>
      <c r="K193" s="78">
        <v>1.4989553934023201</v>
      </c>
      <c r="L193" s="78">
        <v>1.5926993621043</v>
      </c>
      <c r="M193" s="78">
        <v>1.63026805752857</v>
      </c>
      <c r="N193" s="78">
        <v>1.6621481176837301</v>
      </c>
      <c r="O193" s="78">
        <v>1.90118931222233</v>
      </c>
      <c r="P193" s="78">
        <v>2.3081073919986701</v>
      </c>
      <c r="Q193" s="78">
        <v>2.4974653103104298</v>
      </c>
      <c r="R193" s="78">
        <v>2.9115458645382701</v>
      </c>
      <c r="S193" s="78">
        <v>3.90623450399154</v>
      </c>
      <c r="T193" s="78">
        <v>4.1703507493909102</v>
      </c>
      <c r="U193" s="78">
        <v>4.55399078719985</v>
      </c>
      <c r="V193" s="78">
        <v>5.0047790229916798</v>
      </c>
      <c r="W193" s="78">
        <v>5.3718558386314896</v>
      </c>
      <c r="X193" s="78">
        <v>6.3137212289735496</v>
      </c>
      <c r="Y193" s="78">
        <v>7.4628507238053698</v>
      </c>
      <c r="Z193" s="78">
        <v>8.4391855224587609</v>
      </c>
      <c r="AA193" s="78">
        <v>9.3018160392078606</v>
      </c>
      <c r="AB193" s="78">
        <v>10.2347283365258</v>
      </c>
      <c r="AC193" s="78">
        <v>15.386785740408699</v>
      </c>
      <c r="AD193" s="78">
        <v>18.9416113416321</v>
      </c>
      <c r="AE193" s="78">
        <v>19.1590871369295</v>
      </c>
      <c r="AF193" s="78">
        <v>19.938817427385899</v>
      </c>
      <c r="AG193" s="78">
        <v>22.702351313969601</v>
      </c>
      <c r="AH193" s="78">
        <v>25.481798063623799</v>
      </c>
      <c r="AI193" s="78">
        <v>28.584806362378998</v>
      </c>
      <c r="AJ193" s="78">
        <v>34.090656984785603</v>
      </c>
      <c r="AK193" s="78">
        <v>37.0398409405256</v>
      </c>
      <c r="AL193" s="78">
        <v>39.527551867219898</v>
      </c>
      <c r="AM193" s="78">
        <v>43.633070539419101</v>
      </c>
      <c r="AN193" s="78">
        <v>46.6140802213001</v>
      </c>
      <c r="AO193" s="78">
        <v>50.0989972337483</v>
      </c>
      <c r="AP193" s="78">
        <v>52.899661134163203</v>
      </c>
      <c r="AQ193" s="78">
        <v>57.784910096818798</v>
      </c>
      <c r="AR193" s="78">
        <v>61.2167842323652</v>
      </c>
      <c r="AS193" s="78">
        <v>63.651452282157699</v>
      </c>
      <c r="AT193" s="78">
        <v>67.053941908713696</v>
      </c>
      <c r="AU193" s="78">
        <v>68.8796680497925</v>
      </c>
      <c r="AV193" s="78">
        <v>70.456431535269701</v>
      </c>
      <c r="AW193" s="78">
        <v>73.858921161825705</v>
      </c>
      <c r="AX193" s="78">
        <v>78.6721991701245</v>
      </c>
      <c r="AY193" s="78">
        <v>82.987551867219906</v>
      </c>
      <c r="AZ193" s="78">
        <v>85.394190871369304</v>
      </c>
      <c r="BA193" s="78">
        <v>92.448132780083</v>
      </c>
      <c r="BB193" s="78">
        <v>96.348547717842294</v>
      </c>
      <c r="BC193" s="78">
        <v>100</v>
      </c>
      <c r="BD193" s="78">
        <v>104.718417047184</v>
      </c>
      <c r="BE193" s="78">
        <v>107.88820573963299</v>
      </c>
      <c r="BF193" s="78">
        <v>110.67462111739501</v>
      </c>
      <c r="BG193" s="78">
        <v>114.65649857658499</v>
      </c>
      <c r="BH193" s="78">
        <v>115.429504132997</v>
      </c>
      <c r="BI193" s="78">
        <v>116.876642442093</v>
      </c>
      <c r="BJ193" s="78">
        <v>120.211352458706</v>
      </c>
      <c r="BK193" s="78">
        <v>126.59378983285301</v>
      </c>
      <c r="BL193" s="78">
        <v>129.62199600738501</v>
      </c>
      <c r="BM193" s="78">
        <v>132.72406086909999</v>
      </c>
      <c r="BN193" s="78">
        <v>137.93637393606301</v>
      </c>
      <c r="BO193" s="78">
        <v>145.965868357034</v>
      </c>
      <c r="BP193" s="78">
        <v>154.69174468573601</v>
      </c>
    </row>
    <row r="194" spans="1:68" x14ac:dyDescent="0.25">
      <c r="A194" s="78" t="s">
        <v>1047</v>
      </c>
      <c r="B194" s="78" t="s">
        <v>1048</v>
      </c>
      <c r="C194" s="78" t="s">
        <v>691</v>
      </c>
      <c r="D194" s="78" t="s">
        <v>692</v>
      </c>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v>74.072289156626496</v>
      </c>
      <c r="AU194" s="78">
        <v>73.108433734939794</v>
      </c>
      <c r="AV194" s="78">
        <v>73.783132530120497</v>
      </c>
      <c r="AW194" s="78">
        <v>77.445783132530096</v>
      </c>
      <c r="AX194" s="78">
        <v>80.506024096385502</v>
      </c>
      <c r="AY194" s="78">
        <v>84.072289156626596</v>
      </c>
      <c r="AZ194" s="78">
        <v>86.795180722891601</v>
      </c>
      <c r="BA194" s="78">
        <v>97.180722891566305</v>
      </c>
      <c r="BB194" s="78">
        <v>98.578313253012098</v>
      </c>
      <c r="BC194" s="78">
        <v>100</v>
      </c>
      <c r="BD194" s="78">
        <v>104.674698795181</v>
      </c>
      <c r="BE194" s="78">
        <v>108.457831325301</v>
      </c>
      <c r="BF194" s="78">
        <v>112.096385542169</v>
      </c>
      <c r="BG194" s="78">
        <v>116.795180722892</v>
      </c>
      <c r="BH194" s="78">
        <v>117.903614457831</v>
      </c>
      <c r="BI194" s="78">
        <v>116.674698795181</v>
      </c>
      <c r="BJ194" s="78">
        <v>118.329132252596</v>
      </c>
      <c r="BK194" s="78">
        <v>120.825527447798</v>
      </c>
      <c r="BL194" s="78">
        <v>121.14859035541301</v>
      </c>
      <c r="BM194" s="78">
        <v>121.412914552552</v>
      </c>
      <c r="BN194" s="78">
        <v>124.584804918221</v>
      </c>
      <c r="BO194" s="78">
        <v>139.974347062763</v>
      </c>
      <c r="BP194" s="78">
        <v>157.88965375774501</v>
      </c>
    </row>
    <row r="195" spans="1:68" x14ac:dyDescent="0.25">
      <c r="A195" s="78" t="s">
        <v>1049</v>
      </c>
      <c r="B195" s="78" t="s">
        <v>1050</v>
      </c>
      <c r="C195" s="78" t="s">
        <v>691</v>
      </c>
      <c r="D195" s="78" t="s">
        <v>692</v>
      </c>
      <c r="E195" s="78"/>
      <c r="F195" s="78"/>
      <c r="G195" s="78"/>
      <c r="H195" s="78"/>
      <c r="I195" s="78"/>
      <c r="J195" s="78"/>
      <c r="K195" s="78"/>
      <c r="L195" s="78"/>
      <c r="M195" s="78"/>
      <c r="N195" s="78"/>
      <c r="O195" s="78"/>
      <c r="P195" s="78">
        <v>5.5047043203061996</v>
      </c>
      <c r="Q195" s="78">
        <v>5.8391151077381096</v>
      </c>
      <c r="R195" s="78">
        <v>6.3262814401001899</v>
      </c>
      <c r="S195" s="78">
        <v>7.7919089653578499</v>
      </c>
      <c r="T195" s="78">
        <v>8.6093575569391305</v>
      </c>
      <c r="U195" s="78">
        <v>9.26854589928368</v>
      </c>
      <c r="V195" s="78">
        <v>9.6882796037493595</v>
      </c>
      <c r="W195" s="78">
        <v>10.2501998206699</v>
      </c>
      <c r="X195" s="78">
        <v>10.8411848764987</v>
      </c>
      <c r="Y195" s="78">
        <v>12.149102623004801</v>
      </c>
      <c r="Z195" s="78">
        <v>13.1276188630804</v>
      </c>
      <c r="AA195" s="78">
        <v>13.8542398333616</v>
      </c>
      <c r="AB195" s="78">
        <v>14.9490154284884</v>
      </c>
      <c r="AC195" s="78">
        <v>16.058323443214601</v>
      </c>
      <c r="AD195" s="78">
        <v>16.654152638845201</v>
      </c>
      <c r="AE195" s="78">
        <v>17.562428851696701</v>
      </c>
      <c r="AF195" s="78">
        <v>18.148569767723501</v>
      </c>
      <c r="AG195" s="78">
        <v>19.136774287305901</v>
      </c>
      <c r="AH195" s="78">
        <v>19.9941870322378</v>
      </c>
      <c r="AI195" s="78">
        <v>21.3844551553758</v>
      </c>
      <c r="AJ195" s="78">
        <v>22.8740281444522</v>
      </c>
      <c r="AK195" s="78">
        <v>23.859810594133702</v>
      </c>
      <c r="AL195" s="78">
        <v>25.046624845593001</v>
      </c>
      <c r="AM195" s="78">
        <v>25.761135466369598</v>
      </c>
      <c r="AN195" s="78">
        <v>30.212899944292399</v>
      </c>
      <c r="AO195" s="78">
        <v>33.724901300651503</v>
      </c>
      <c r="AP195" s="78">
        <v>35.061883885969003</v>
      </c>
      <c r="AQ195" s="78">
        <v>39.821251241310797</v>
      </c>
      <c r="AR195" s="78">
        <v>45.767432848112001</v>
      </c>
      <c r="AS195" s="78">
        <v>52.905272846174299</v>
      </c>
      <c r="AT195" s="78">
        <v>57.824496814978097</v>
      </c>
      <c r="AU195" s="78">
        <v>64.647467725918602</v>
      </c>
      <c r="AV195" s="78">
        <v>74.156514156998597</v>
      </c>
      <c r="AW195" s="78">
        <v>75.757502361518206</v>
      </c>
      <c r="AX195" s="78">
        <v>77.106595296340302</v>
      </c>
      <c r="AY195" s="78">
        <v>78.932836001647004</v>
      </c>
      <c r="AZ195" s="78">
        <v>79.652190762225402</v>
      </c>
      <c r="BA195" s="78">
        <v>88.223896141642697</v>
      </c>
      <c r="BB195" s="78">
        <v>94.327512292004698</v>
      </c>
      <c r="BC195" s="78">
        <v>100</v>
      </c>
      <c r="BD195" s="78">
        <v>104.44083401029</v>
      </c>
      <c r="BE195" s="78">
        <v>109.179528838343</v>
      </c>
      <c r="BF195" s="78">
        <v>114.595180070404</v>
      </c>
      <c r="BG195" s="78">
        <v>120.579474681831</v>
      </c>
      <c r="BH195" s="78">
        <v>127.809369076631</v>
      </c>
      <c r="BI195" s="78">
        <v>136.33901976712701</v>
      </c>
      <c r="BJ195" s="78">
        <v>143.73138369889</v>
      </c>
      <c r="BK195" s="78">
        <v>150.018897576695</v>
      </c>
      <c r="BL195" s="78">
        <v>155.912649364765</v>
      </c>
      <c r="BM195" s="78">
        <v>163.50820534421501</v>
      </c>
      <c r="BN195" s="78">
        <v>170.839243117812</v>
      </c>
      <c r="BO195" s="78">
        <v>179.813837244105</v>
      </c>
      <c r="BP195" s="78">
        <v>183.94721776434</v>
      </c>
    </row>
    <row r="196" spans="1:68" x14ac:dyDescent="0.25">
      <c r="A196" s="78" t="s">
        <v>1051</v>
      </c>
      <c r="B196" s="78" t="s">
        <v>1052</v>
      </c>
      <c r="C196" s="78" t="s">
        <v>691</v>
      </c>
      <c r="D196" s="78" t="s">
        <v>692</v>
      </c>
      <c r="E196" s="78"/>
      <c r="F196" s="78"/>
      <c r="G196" s="78"/>
      <c r="H196" s="78"/>
      <c r="I196" s="78"/>
      <c r="J196" s="78"/>
      <c r="K196" s="78"/>
      <c r="L196" s="78"/>
      <c r="M196" s="78"/>
      <c r="N196" s="78"/>
      <c r="O196" s="78">
        <v>2.1040344038583399E-2</v>
      </c>
      <c r="P196" s="78">
        <v>2.12717878227974E-2</v>
      </c>
      <c r="Q196" s="78">
        <v>2.1250747478969299E-2</v>
      </c>
      <c r="R196" s="78">
        <v>2.17767560799338E-2</v>
      </c>
      <c r="S196" s="78">
        <v>2.331270119454E-2</v>
      </c>
      <c r="T196" s="78">
        <v>2.3838709795504599E-2</v>
      </c>
      <c r="U196" s="78">
        <v>2.4890726997433801E-2</v>
      </c>
      <c r="V196" s="78">
        <v>2.6111066951671601E-2</v>
      </c>
      <c r="W196" s="78">
        <v>2.8226393894591799E-2</v>
      </c>
      <c r="X196" s="78">
        <v>3.02095129035795E-2</v>
      </c>
      <c r="Y196" s="78">
        <v>3.3134613441836401E-2</v>
      </c>
      <c r="Z196" s="78">
        <v>3.9472331274726297E-2</v>
      </c>
      <c r="AA196" s="78">
        <v>8.0349371847485598E-2</v>
      </c>
      <c r="AB196" s="78">
        <v>0.10086639059463801</v>
      </c>
      <c r="AC196" s="78">
        <v>0.116400822831708</v>
      </c>
      <c r="AD196" s="78">
        <v>0.12981166512998699</v>
      </c>
      <c r="AE196" s="78">
        <v>0.15129545439402101</v>
      </c>
      <c r="AF196" s="78">
        <v>0.191205724449899</v>
      </c>
      <c r="AG196" s="78">
        <v>0.30348331234208697</v>
      </c>
      <c r="AH196" s="78">
        <v>1.0456545841279199</v>
      </c>
      <c r="AI196" s="78">
        <v>6.9837052955845698</v>
      </c>
      <c r="AJ196" s="78">
        <v>12.3450608772187</v>
      </c>
      <c r="AK196" s="78">
        <v>18.035956432448302</v>
      </c>
      <c r="AL196" s="78">
        <v>24.702797418219198</v>
      </c>
      <c r="AM196" s="78">
        <v>32.852565644711802</v>
      </c>
      <c r="AN196" s="78">
        <v>42.035313921079698</v>
      </c>
      <c r="AO196" s="78">
        <v>50.356190406337099</v>
      </c>
      <c r="AP196" s="78">
        <v>57.865888954085399</v>
      </c>
      <c r="AQ196" s="78">
        <v>64.577091095789996</v>
      </c>
      <c r="AR196" s="78">
        <v>69.196983277101396</v>
      </c>
      <c r="AS196" s="78">
        <v>76.047605985037407</v>
      </c>
      <c r="AT196" s="78">
        <v>80.160515622708004</v>
      </c>
      <c r="AU196" s="78">
        <v>81.687799618600593</v>
      </c>
      <c r="AV196" s="78">
        <v>82.2454833504475</v>
      </c>
      <c r="AW196" s="78">
        <v>85.027557576646601</v>
      </c>
      <c r="AX196" s="78">
        <v>86.884388293971</v>
      </c>
      <c r="AY196" s="78">
        <v>88.000586768373196</v>
      </c>
      <c r="AZ196" s="78">
        <v>90.164295144491803</v>
      </c>
      <c r="BA196" s="78">
        <v>93.919612732873702</v>
      </c>
      <c r="BB196" s="78">
        <v>97.484230599970701</v>
      </c>
      <c r="BC196" s="78">
        <v>100</v>
      </c>
      <c r="BD196" s="78">
        <v>104.23940149625901</v>
      </c>
      <c r="BE196" s="78">
        <v>107.950711456652</v>
      </c>
      <c r="BF196" s="78">
        <v>109.021563737715</v>
      </c>
      <c r="BG196" s="78">
        <v>109.080240575033</v>
      </c>
      <c r="BH196" s="78">
        <v>108.126741968608</v>
      </c>
      <c r="BI196" s="78">
        <v>107.407950711457</v>
      </c>
      <c r="BJ196" s="78">
        <v>109.637670529559</v>
      </c>
      <c r="BK196" s="78">
        <v>111.62534839372201</v>
      </c>
      <c r="BL196" s="78">
        <v>114.111779375092</v>
      </c>
      <c r="BM196" s="78">
        <v>117.962446824116</v>
      </c>
      <c r="BN196" s="78">
        <v>123.92548041660601</v>
      </c>
      <c r="BO196" s="78">
        <v>141.807246589409</v>
      </c>
      <c r="BP196" s="78">
        <v>158.156080387267</v>
      </c>
    </row>
    <row r="197" spans="1:68" x14ac:dyDescent="0.25">
      <c r="A197" s="78" t="s">
        <v>1053</v>
      </c>
      <c r="B197" s="78" t="s">
        <v>346</v>
      </c>
      <c r="C197" s="78" t="s">
        <v>691</v>
      </c>
      <c r="D197" s="78" t="s">
        <v>692</v>
      </c>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c r="BD197" s="78"/>
      <c r="BE197" s="78"/>
      <c r="BF197" s="78"/>
      <c r="BG197" s="78"/>
      <c r="BH197" s="78"/>
      <c r="BI197" s="78"/>
      <c r="BJ197" s="78"/>
      <c r="BK197" s="78"/>
      <c r="BL197" s="78"/>
      <c r="BM197" s="78"/>
      <c r="BN197" s="78"/>
      <c r="BO197" s="78"/>
      <c r="BP197" s="78"/>
    </row>
    <row r="198" spans="1:68" x14ac:dyDescent="0.25">
      <c r="A198" s="78" t="s">
        <v>1054</v>
      </c>
      <c r="B198" s="78" t="s">
        <v>1055</v>
      </c>
      <c r="C198" s="78" t="s">
        <v>691</v>
      </c>
      <c r="D198" s="78" t="s">
        <v>692</v>
      </c>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row>
    <row r="199" spans="1:68" x14ac:dyDescent="0.25">
      <c r="A199" s="78" t="s">
        <v>1056</v>
      </c>
      <c r="B199" s="78" t="s">
        <v>1057</v>
      </c>
      <c r="C199" s="78" t="s">
        <v>691</v>
      </c>
      <c r="D199" s="78" t="s">
        <v>692</v>
      </c>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row>
    <row r="200" spans="1:68" x14ac:dyDescent="0.25">
      <c r="A200" s="78" t="s">
        <v>1058</v>
      </c>
      <c r="B200" s="78" t="s">
        <v>1059</v>
      </c>
      <c r="C200" s="78" t="s">
        <v>691</v>
      </c>
      <c r="D200" s="78" t="s">
        <v>692</v>
      </c>
      <c r="E200" s="78">
        <v>1.18281007538607</v>
      </c>
      <c r="F200" s="78">
        <v>1.2011317676134601</v>
      </c>
      <c r="G200" s="78">
        <v>1.2331066661458601</v>
      </c>
      <c r="H200" s="78">
        <v>1.2580349375215301</v>
      </c>
      <c r="I200" s="78">
        <v>1.3013729639900999</v>
      </c>
      <c r="J200" s="78">
        <v>1.3459440481220999</v>
      </c>
      <c r="K200" s="78">
        <v>1.41376976531957</v>
      </c>
      <c r="L200" s="78">
        <v>1.49190141220168</v>
      </c>
      <c r="M200" s="78">
        <v>1.5826293334564301</v>
      </c>
      <c r="N200" s="78">
        <v>1.72162804447175</v>
      </c>
      <c r="O200" s="78">
        <v>1.8314704012896901</v>
      </c>
      <c r="P200" s="78">
        <v>2.0502743087242599</v>
      </c>
      <c r="Q200" s="78">
        <v>2.26890235674693</v>
      </c>
      <c r="R200" s="78">
        <v>2.5632835553251399</v>
      </c>
      <c r="S200" s="78">
        <v>3.2062262754024098</v>
      </c>
      <c r="T200" s="78">
        <v>3.69587107667506</v>
      </c>
      <c r="U200" s="78">
        <v>4.4772486213545299</v>
      </c>
      <c r="V200" s="78">
        <v>5.8659455927731603</v>
      </c>
      <c r="W200" s="78">
        <v>7.1000685327945403</v>
      </c>
      <c r="X200" s="78">
        <v>8.6549285021855908</v>
      </c>
      <c r="Y200" s="78">
        <v>10.0282475844853</v>
      </c>
      <c r="Z200" s="78">
        <v>11.9376671152665</v>
      </c>
      <c r="AA200" s="78">
        <v>14.5256678396546</v>
      </c>
      <c r="AB200" s="78">
        <v>18.0122293753573</v>
      </c>
      <c r="AC200" s="78">
        <v>23.124935639538801</v>
      </c>
      <c r="AD200" s="78">
        <v>27.625374178405401</v>
      </c>
      <c r="AE200" s="78">
        <v>31.031951196128102</v>
      </c>
      <c r="AF200" s="78">
        <v>34.0218275175149</v>
      </c>
      <c r="AG200" s="78">
        <v>37.458587372211198</v>
      </c>
      <c r="AH200" s="78">
        <v>42.210697507607797</v>
      </c>
      <c r="AI200" s="78">
        <v>47.9642564191792</v>
      </c>
      <c r="AJ200" s="78">
        <v>53.647773394361799</v>
      </c>
      <c r="AK200" s="78">
        <v>58.776103715329697</v>
      </c>
      <c r="AL200" s="78">
        <v>62.763345252594803</v>
      </c>
      <c r="AM200" s="78">
        <v>66.165394844771399</v>
      </c>
      <c r="AN200" s="78">
        <v>68.9594378180294</v>
      </c>
      <c r="AO200" s="78">
        <v>71.0757873281797</v>
      </c>
      <c r="AP200" s="78">
        <v>72.736731092228098</v>
      </c>
      <c r="AQ200" s="78">
        <v>74.608066984592597</v>
      </c>
      <c r="AR200" s="78">
        <v>76.353966557416598</v>
      </c>
      <c r="AS200" s="78">
        <v>78.532368429462693</v>
      </c>
      <c r="AT200" s="78">
        <v>81.964156993363304</v>
      </c>
      <c r="AU200" s="78">
        <v>84.915150718884206</v>
      </c>
      <c r="AV200" s="78">
        <v>87.648561699045104</v>
      </c>
      <c r="AW200" s="78">
        <v>89.721767506933205</v>
      </c>
      <c r="AX200" s="78">
        <v>91.764879250897494</v>
      </c>
      <c r="AY200" s="78">
        <v>94.616624706604995</v>
      </c>
      <c r="AZ200" s="78">
        <v>96.938483827325797</v>
      </c>
      <c r="BA200" s="78">
        <v>99.447742856432598</v>
      </c>
      <c r="BB200" s="78">
        <v>98.616827109158905</v>
      </c>
      <c r="BC200" s="78">
        <v>100</v>
      </c>
      <c r="BD200" s="78">
        <v>103.653011004307</v>
      </c>
      <c r="BE200" s="78">
        <v>106.527659906895</v>
      </c>
      <c r="BF200" s="78">
        <v>106.819989560289</v>
      </c>
      <c r="BG200" s="78">
        <v>106.52286616219899</v>
      </c>
      <c r="BH200" s="78">
        <v>107.042632369495</v>
      </c>
      <c r="BI200" s="78">
        <v>107.692806187126</v>
      </c>
      <c r="BJ200" s="78">
        <v>109.16670513498801</v>
      </c>
      <c r="BK200" s="78">
        <v>110.25151180504</v>
      </c>
      <c r="BL200" s="78">
        <v>110.624358614714</v>
      </c>
      <c r="BM200" s="78">
        <v>110.610598791976</v>
      </c>
      <c r="BN200" s="78">
        <v>112.01054978925301</v>
      </c>
      <c r="BO200" s="78">
        <v>120.783990313085</v>
      </c>
      <c r="BP200" s="78">
        <v>125.991328648484</v>
      </c>
    </row>
    <row r="201" spans="1:68" x14ac:dyDescent="0.25">
      <c r="A201" s="78" t="s">
        <v>1060</v>
      </c>
      <c r="B201" s="78" t="s">
        <v>1061</v>
      </c>
      <c r="C201" s="78" t="s">
        <v>691</v>
      </c>
      <c r="D201" s="78" t="s">
        <v>692</v>
      </c>
      <c r="E201" s="78">
        <v>0.410927393229438</v>
      </c>
      <c r="F201" s="78">
        <v>0.48689716340630901</v>
      </c>
      <c r="G201" s="78">
        <v>0.49380350614966101</v>
      </c>
      <c r="H201" s="78">
        <v>0.50416302026468895</v>
      </c>
      <c r="I201" s="78">
        <v>0.51106936300804096</v>
      </c>
      <c r="J201" s="78">
        <v>0.53079305351971695</v>
      </c>
      <c r="K201" s="78">
        <v>0.54604376886211703</v>
      </c>
      <c r="L201" s="78">
        <v>0.553498727477723</v>
      </c>
      <c r="M201" s="78">
        <v>0.557417905720753</v>
      </c>
      <c r="N201" s="78">
        <v>0.56994223619925399</v>
      </c>
      <c r="O201" s="78">
        <v>0.56504326339174105</v>
      </c>
      <c r="P201" s="78">
        <v>0.59303130802940995</v>
      </c>
      <c r="Q201" s="78">
        <v>0.64747380581401404</v>
      </c>
      <c r="R201" s="78">
        <v>0.73033034587025802</v>
      </c>
      <c r="S201" s="78">
        <v>0.91461692288095597</v>
      </c>
      <c r="T201" s="78">
        <v>0.97583278306476895</v>
      </c>
      <c r="U201" s="78">
        <v>1.0194975406783799</v>
      </c>
      <c r="V201" s="78">
        <v>1.11492101097452</v>
      </c>
      <c r="W201" s="78">
        <v>1.23377435120987</v>
      </c>
      <c r="X201" s="78">
        <v>1.5812180225211301</v>
      </c>
      <c r="Y201" s="78">
        <v>1.9361592522098201</v>
      </c>
      <c r="Z201" s="78">
        <v>2.1873700577179598</v>
      </c>
      <c r="AA201" s="78">
        <v>2.29936483602535</v>
      </c>
      <c r="AB201" s="78">
        <v>2.6082558876023199</v>
      </c>
      <c r="AC201" s="78">
        <v>3.1380308053171699</v>
      </c>
      <c r="AD201" s="78">
        <v>3.9291508533163002</v>
      </c>
      <c r="AE201" s="78">
        <v>5.17636538470917</v>
      </c>
      <c r="AF201" s="78">
        <v>6.3053448601722097</v>
      </c>
      <c r="AG201" s="78">
        <v>7.7299906938725496</v>
      </c>
      <c r="AH201" s="78">
        <v>9.7724186307268397</v>
      </c>
      <c r="AI201" s="78">
        <v>13.413617530253999</v>
      </c>
      <c r="AJ201" s="78">
        <v>16.663113608005698</v>
      </c>
      <c r="AK201" s="78">
        <v>19.1946977616029</v>
      </c>
      <c r="AL201" s="78">
        <v>22.689795287091599</v>
      </c>
      <c r="AM201" s="78">
        <v>27.356222794095501</v>
      </c>
      <c r="AN201" s="78">
        <v>31.028909058717101</v>
      </c>
      <c r="AO201" s="78">
        <v>34.069643905892299</v>
      </c>
      <c r="AP201" s="78">
        <v>36.437336324172698</v>
      </c>
      <c r="AQ201" s="78">
        <v>40.647039600480902</v>
      </c>
      <c r="AR201" s="78">
        <v>43.391635778942401</v>
      </c>
      <c r="AS201" s="78">
        <v>47.289141830338799</v>
      </c>
      <c r="AT201" s="78">
        <v>50.726145167228097</v>
      </c>
      <c r="AU201" s="78">
        <v>56.057585825027701</v>
      </c>
      <c r="AV201" s="78">
        <v>64.038390550018406</v>
      </c>
      <c r="AW201" s="78">
        <v>66.806939830195603</v>
      </c>
      <c r="AX201" s="78">
        <v>71.354743447766793</v>
      </c>
      <c r="AY201" s="78">
        <v>78.197199118504301</v>
      </c>
      <c r="AZ201" s="78">
        <v>84.555002199960498</v>
      </c>
      <c r="BA201" s="78">
        <v>93.141380583241002</v>
      </c>
      <c r="BB201" s="78">
        <v>95.5555555555556</v>
      </c>
      <c r="BC201" s="78">
        <v>100</v>
      </c>
      <c r="BD201" s="78">
        <v>108.253968253968</v>
      </c>
      <c r="BE201" s="78">
        <v>112.23329641934301</v>
      </c>
      <c r="BF201" s="78">
        <v>115.245478036176</v>
      </c>
      <c r="BG201" s="78">
        <v>121.040974529347</v>
      </c>
      <c r="BH201" s="78">
        <v>124.828349944629</v>
      </c>
      <c r="BI201" s="78">
        <v>129.92986341823601</v>
      </c>
      <c r="BJ201" s="78">
        <v>134.61055740125499</v>
      </c>
      <c r="BK201" s="78">
        <v>139.96214839424201</v>
      </c>
      <c r="BL201" s="78">
        <v>143.82104097452901</v>
      </c>
      <c r="BM201" s="78">
        <v>146.363100775194</v>
      </c>
      <c r="BN201" s="78">
        <v>153.37094130675499</v>
      </c>
      <c r="BO201" s="78">
        <v>168.348482834994</v>
      </c>
      <c r="BP201" s="78">
        <v>176.14642303433001</v>
      </c>
    </row>
    <row r="202" spans="1:68" x14ac:dyDescent="0.25">
      <c r="A202" s="78" t="s">
        <v>1062</v>
      </c>
      <c r="B202" s="78" t="s">
        <v>1063</v>
      </c>
      <c r="C202" s="78" t="s">
        <v>691</v>
      </c>
      <c r="D202" s="78" t="s">
        <v>692</v>
      </c>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v>54.916496261452103</v>
      </c>
      <c r="AP202" s="78">
        <v>58.808431598195803</v>
      </c>
      <c r="AQ202" s="78">
        <v>62.089733345776899</v>
      </c>
      <c r="AR202" s="78">
        <v>65.532231432331599</v>
      </c>
      <c r="AS202" s="78">
        <v>67.365953627378602</v>
      </c>
      <c r="AT202" s="78">
        <v>68.189694240947006</v>
      </c>
      <c r="AU202" s="78">
        <v>72.082995648359997</v>
      </c>
      <c r="AV202" s="78">
        <v>75.256833169958696</v>
      </c>
      <c r="AW202" s="78">
        <v>77.517680127596805</v>
      </c>
      <c r="AX202" s="78">
        <v>80.701525592810995</v>
      </c>
      <c r="AY202" s="78">
        <v>83.802353605084903</v>
      </c>
      <c r="AZ202" s="78">
        <v>85.360862675071701</v>
      </c>
      <c r="BA202" s="78">
        <v>93.803050189891707</v>
      </c>
      <c r="BB202" s="78">
        <v>96.386325080214107</v>
      </c>
      <c r="BC202" s="78">
        <v>100</v>
      </c>
      <c r="BD202" s="78">
        <v>102.877243584959</v>
      </c>
      <c r="BE202" s="78">
        <v>105.736292389859</v>
      </c>
      <c r="BF202" s="78">
        <v>107.559608314025</v>
      </c>
      <c r="BG202" s="78">
        <v>109.423600300128</v>
      </c>
      <c r="BH202" s="78">
        <v>110.990121099896</v>
      </c>
      <c r="BI202" s="78">
        <v>110.746934413771</v>
      </c>
      <c r="BJ202" s="78">
        <v>110.982350206885</v>
      </c>
      <c r="BK202" s="78">
        <v>110.765815014162</v>
      </c>
      <c r="BL202" s="78">
        <v>112.516117965437</v>
      </c>
      <c r="BM202" s="78">
        <v>111.688750943651</v>
      </c>
      <c r="BN202" s="78">
        <v>113.07087804733899</v>
      </c>
      <c r="BO202" s="78">
        <v>117.301112781727</v>
      </c>
      <c r="BP202" s="78">
        <v>124.18798049845</v>
      </c>
    </row>
    <row r="203" spans="1:68" x14ac:dyDescent="0.25">
      <c r="A203" s="78" t="s">
        <v>1064</v>
      </c>
      <c r="B203" s="78" t="s">
        <v>1065</v>
      </c>
      <c r="C203" s="78" t="s">
        <v>691</v>
      </c>
      <c r="D203" s="78" t="s">
        <v>692</v>
      </c>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row>
    <row r="204" spans="1:68" x14ac:dyDescent="0.25">
      <c r="A204" s="78" t="s">
        <v>1066</v>
      </c>
      <c r="B204" s="78" t="s">
        <v>1067</v>
      </c>
      <c r="C204" s="78" t="s">
        <v>691</v>
      </c>
      <c r="D204" s="78" t="s">
        <v>692</v>
      </c>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row>
    <row r="205" spans="1:68" x14ac:dyDescent="0.25">
      <c r="A205" s="78" t="s">
        <v>1068</v>
      </c>
      <c r="B205" s="78" t="s">
        <v>1069</v>
      </c>
      <c r="C205" s="78" t="s">
        <v>691</v>
      </c>
      <c r="D205" s="78" t="s">
        <v>692</v>
      </c>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row>
    <row r="206" spans="1:68" x14ac:dyDescent="0.25">
      <c r="A206" s="78" t="s">
        <v>1070</v>
      </c>
      <c r="B206" s="78" t="s">
        <v>1071</v>
      </c>
      <c r="C206" s="78" t="s">
        <v>691</v>
      </c>
      <c r="D206" s="78" t="s">
        <v>692</v>
      </c>
      <c r="E206" s="78"/>
      <c r="F206" s="78"/>
      <c r="G206" s="78"/>
      <c r="H206" s="78"/>
      <c r="I206" s="78"/>
      <c r="J206" s="78"/>
      <c r="K206" s="78"/>
      <c r="L206" s="78"/>
      <c r="M206" s="78"/>
      <c r="N206" s="78"/>
      <c r="O206" s="78"/>
      <c r="P206" s="78"/>
      <c r="Q206" s="78"/>
      <c r="R206" s="78"/>
      <c r="S206" s="78"/>
      <c r="T206" s="78"/>
      <c r="U206" s="78"/>
      <c r="V206" s="78"/>
      <c r="W206" s="78"/>
      <c r="X206" s="78">
        <v>31.152535305699502</v>
      </c>
      <c r="Y206" s="78">
        <v>33.270907706175599</v>
      </c>
      <c r="Z206" s="78">
        <v>36.105788418994301</v>
      </c>
      <c r="AA206" s="78">
        <v>38.163818358876902</v>
      </c>
      <c r="AB206" s="78">
        <v>39.210886222666701</v>
      </c>
      <c r="AC206" s="78">
        <v>39.644155683694599</v>
      </c>
      <c r="AD206" s="78">
        <v>40.402377240854598</v>
      </c>
      <c r="AE206" s="78">
        <v>40.708455856315602</v>
      </c>
      <c r="AF206" s="78">
        <v>41.801593768676398</v>
      </c>
      <c r="AG206" s="78">
        <v>43.725516494431297</v>
      </c>
      <c r="AH206" s="78">
        <v>45.168458538747601</v>
      </c>
      <c r="AI206" s="78">
        <v>46.523949550075002</v>
      </c>
      <c r="AJ206" s="78">
        <v>48.579048825313201</v>
      </c>
      <c r="AK206" s="78">
        <v>50.065716386123903</v>
      </c>
      <c r="AL206" s="78">
        <v>49.628461221179599</v>
      </c>
      <c r="AM206" s="78">
        <v>50.284343968596097</v>
      </c>
      <c r="AN206" s="78">
        <v>51.771011529406699</v>
      </c>
      <c r="AO206" s="78">
        <v>54.310138705848999</v>
      </c>
      <c r="AP206" s="78">
        <v>56.935756832340402</v>
      </c>
      <c r="AQ206" s="78">
        <v>58.6161524332949</v>
      </c>
      <c r="AR206" s="78">
        <v>59.894982909021302</v>
      </c>
      <c r="AS206" s="78">
        <v>60.883450909582699</v>
      </c>
      <c r="AT206" s="78">
        <v>61.7792500350916</v>
      </c>
      <c r="AU206" s="78">
        <v>61.927520235175798</v>
      </c>
      <c r="AV206" s="78">
        <v>63.329909210972403</v>
      </c>
      <c r="AW206" s="78">
        <v>67.635922938418204</v>
      </c>
      <c r="AX206" s="78">
        <v>73.597620566804594</v>
      </c>
      <c r="AY206" s="78">
        <v>82.308494821752504</v>
      </c>
      <c r="AZ206" s="78">
        <v>93.632631353184806</v>
      </c>
      <c r="BA206" s="78">
        <v>107.724478286189</v>
      </c>
      <c r="BB206" s="78">
        <v>102.48553741560301</v>
      </c>
      <c r="BC206" s="78">
        <v>100</v>
      </c>
      <c r="BD206" s="78">
        <v>101.138366235292</v>
      </c>
      <c r="BE206" s="78">
        <v>103.480071915553</v>
      </c>
      <c r="BF206" s="78">
        <v>106.814176620325</v>
      </c>
      <c r="BG206" s="78">
        <v>110.392153372377</v>
      </c>
      <c r="BH206" s="78">
        <v>112.394752300764</v>
      </c>
      <c r="BI206" s="78">
        <v>115.403100913185</v>
      </c>
      <c r="BJ206" s="78">
        <v>115.858803424889</v>
      </c>
      <c r="BK206" s="78">
        <v>116.155188066291</v>
      </c>
      <c r="BL206" s="78">
        <v>115.380849813981</v>
      </c>
      <c r="BM206" s="78">
        <v>112.44981274436</v>
      </c>
      <c r="BN206" s="78">
        <v>115.041180060887</v>
      </c>
      <c r="BO206" s="78">
        <v>120.787803986413</v>
      </c>
      <c r="BP206" s="78">
        <v>124.444834716253</v>
      </c>
    </row>
    <row r="207" spans="1:68" x14ac:dyDescent="0.25">
      <c r="A207" s="78" t="s">
        <v>1072</v>
      </c>
      <c r="B207" s="78" t="s">
        <v>1073</v>
      </c>
      <c r="C207" s="78" t="s">
        <v>691</v>
      </c>
      <c r="D207" s="78" t="s">
        <v>692</v>
      </c>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v>2.3388925898987101E-2</v>
      </c>
      <c r="AJ207" s="78">
        <v>7.7329050337585206E-2</v>
      </c>
      <c r="AK207" s="78">
        <v>0.24065232549637799</v>
      </c>
      <c r="AL207" s="78">
        <v>0.85471731237845605</v>
      </c>
      <c r="AM207" s="78">
        <v>2.0236235190756902</v>
      </c>
      <c r="AN207" s="78">
        <v>2.67609002312054</v>
      </c>
      <c r="AO207" s="78">
        <v>3.7151970822818101</v>
      </c>
      <c r="AP207" s="78">
        <v>9.4649653918893293</v>
      </c>
      <c r="AQ207" s="78">
        <v>15.0584364973557</v>
      </c>
      <c r="AR207" s="78">
        <v>21.9557697926016</v>
      </c>
      <c r="AS207" s="78">
        <v>31.9822220530293</v>
      </c>
      <c r="AT207" s="78">
        <v>43.008736699849599</v>
      </c>
      <c r="AU207" s="78">
        <v>52.7028570340903</v>
      </c>
      <c r="AV207" s="78">
        <v>60.752422102518203</v>
      </c>
      <c r="AW207" s="78">
        <v>67.966385594914101</v>
      </c>
      <c r="AX207" s="78">
        <v>74.093496012334199</v>
      </c>
      <c r="AY207" s="78">
        <v>78.952928412356997</v>
      </c>
      <c r="AZ207" s="78">
        <v>82.7721415383444</v>
      </c>
      <c r="BA207" s="78">
        <v>89.270418942840294</v>
      </c>
      <c r="BB207" s="78">
        <v>94.2583322230047</v>
      </c>
      <c r="BC207" s="78">
        <v>100</v>
      </c>
      <c r="BD207" s="78">
        <v>105.789253288159</v>
      </c>
      <c r="BE207" s="78">
        <v>109.317243085825</v>
      </c>
      <c r="BF207" s="78">
        <v>113.673220777738</v>
      </c>
      <c r="BG207" s="78">
        <v>114.88760302263201</v>
      </c>
      <c r="BH207" s="78">
        <v>114.204990933389</v>
      </c>
      <c r="BI207" s="78">
        <v>112.44075603860099</v>
      </c>
      <c r="BJ207" s="78">
        <v>113.946361611816</v>
      </c>
      <c r="BK207" s="78">
        <v>119.216932828292</v>
      </c>
      <c r="BL207" s="78">
        <v>123.780383348878</v>
      </c>
      <c r="BM207" s="78">
        <v>127.03713573291201</v>
      </c>
      <c r="BN207" s="78">
        <v>133.45546947865299</v>
      </c>
      <c r="BO207" s="78">
        <v>151.86630374783499</v>
      </c>
      <c r="BP207" s="78">
        <v>167.656128062128</v>
      </c>
    </row>
    <row r="208" spans="1:68" x14ac:dyDescent="0.25">
      <c r="A208" s="78" t="s">
        <v>182</v>
      </c>
      <c r="B208" s="78" t="s">
        <v>180</v>
      </c>
      <c r="C208" s="78" t="s">
        <v>691</v>
      </c>
      <c r="D208" s="78" t="s">
        <v>692</v>
      </c>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v>5.3595784106737002E-2</v>
      </c>
      <c r="AL208" s="78">
        <v>0.52215463296409004</v>
      </c>
      <c r="AM208" s="78">
        <v>2.1289426311842901</v>
      </c>
      <c r="AN208" s="78">
        <v>6.3317791444703504</v>
      </c>
      <c r="AO208" s="78">
        <v>9.3553310940778207</v>
      </c>
      <c r="AP208" s="78">
        <v>10.736302321061601</v>
      </c>
      <c r="AQ208" s="78">
        <v>13.708720604854699</v>
      </c>
      <c r="AR208" s="78">
        <v>25.463467908942199</v>
      </c>
      <c r="AS208" s="78">
        <v>30.759553654007501</v>
      </c>
      <c r="AT208" s="78">
        <v>37.365785210570301</v>
      </c>
      <c r="AU208" s="78">
        <v>43.265368445577202</v>
      </c>
      <c r="AV208" s="78">
        <v>49.176842513719301</v>
      </c>
      <c r="AW208" s="78">
        <v>54.531519924474701</v>
      </c>
      <c r="AX208" s="78">
        <v>61.4490089758499</v>
      </c>
      <c r="AY208" s="78">
        <v>67.390301376828404</v>
      </c>
      <c r="AZ208" s="78">
        <v>73.460347108994299</v>
      </c>
      <c r="BA208" s="78">
        <v>83.826166102897304</v>
      </c>
      <c r="BB208" s="78">
        <v>93.5896759401721</v>
      </c>
      <c r="BC208" s="78">
        <v>100</v>
      </c>
      <c r="BD208" s="78">
        <v>108.440464859326</v>
      </c>
      <c r="BE208" s="78">
        <v>113.943539767608</v>
      </c>
      <c r="BF208" s="78">
        <v>121.63895630601699</v>
      </c>
      <c r="BG208" s="78">
        <v>131.15527281407901</v>
      </c>
      <c r="BH208" s="78">
        <v>151.52946414117599</v>
      </c>
      <c r="BI208" s="78">
        <v>162.200847296653</v>
      </c>
      <c r="BJ208" s="78">
        <v>168.17523886374599</v>
      </c>
      <c r="BK208" s="78">
        <v>173.015822116403</v>
      </c>
      <c r="BL208" s="78">
        <v>180.75026365416201</v>
      </c>
      <c r="BM208" s="78">
        <v>186.86262188562301</v>
      </c>
      <c r="BN208" s="78">
        <v>199.372063343799</v>
      </c>
      <c r="BO208" s="78"/>
      <c r="BP208" s="78"/>
    </row>
    <row r="209" spans="1:68" x14ac:dyDescent="0.25">
      <c r="A209" s="78" t="s">
        <v>1074</v>
      </c>
      <c r="B209" s="78" t="s">
        <v>1075</v>
      </c>
      <c r="C209" s="78" t="s">
        <v>691</v>
      </c>
      <c r="D209" s="78" t="s">
        <v>692</v>
      </c>
      <c r="E209" s="78"/>
      <c r="F209" s="78"/>
      <c r="G209" s="78"/>
      <c r="H209" s="78"/>
      <c r="I209" s="78"/>
      <c r="J209" s="78"/>
      <c r="K209" s="78">
        <v>2.30062899893055</v>
      </c>
      <c r="L209" s="78">
        <v>2.3340554657329902</v>
      </c>
      <c r="M209" s="78">
        <v>2.4078568284673101</v>
      </c>
      <c r="N209" s="78">
        <v>2.41953347861581</v>
      </c>
      <c r="O209" s="78">
        <v>2.4319913131175501</v>
      </c>
      <c r="P209" s="78">
        <v>2.4438735380802799</v>
      </c>
      <c r="Q209" s="78">
        <v>2.5194428443229899</v>
      </c>
      <c r="R209" s="78">
        <v>2.7556072050728102</v>
      </c>
      <c r="S209" s="78">
        <v>3.61227862232171</v>
      </c>
      <c r="T209" s="78">
        <v>4.7041276411200599</v>
      </c>
      <c r="U209" s="78">
        <v>5.0412189133166097</v>
      </c>
      <c r="V209" s="78">
        <v>5.7296047416505704</v>
      </c>
      <c r="W209" s="78">
        <v>6.4899538753480499</v>
      </c>
      <c r="X209" s="78">
        <v>7.5071457268893802</v>
      </c>
      <c r="Y209" s="78">
        <v>8.0513682232077706</v>
      </c>
      <c r="Z209" s="78">
        <v>8.5707349726769895</v>
      </c>
      <c r="AA209" s="78">
        <v>9.6476595239108605</v>
      </c>
      <c r="AB209" s="78">
        <v>10.2837299230785</v>
      </c>
      <c r="AC209" s="78">
        <v>10.8359220398382</v>
      </c>
      <c r="AD209" s="78">
        <v>11.0265616731858</v>
      </c>
      <c r="AE209" s="78">
        <v>10.9033876386047</v>
      </c>
      <c r="AF209" s="78">
        <v>11.354026275195199</v>
      </c>
      <c r="AG209" s="78">
        <v>11.692222247253699</v>
      </c>
      <c r="AH209" s="78">
        <v>11.810346225361901</v>
      </c>
      <c r="AI209" s="78">
        <v>12.304699413637101</v>
      </c>
      <c r="AJ209" s="78">
        <v>14.7209936405104</v>
      </c>
      <c r="AK209" s="78">
        <v>16.1283812647841</v>
      </c>
      <c r="AL209" s="78">
        <v>18.1209441874216</v>
      </c>
      <c r="AM209" s="78"/>
      <c r="AN209" s="78">
        <v>36.048881527513501</v>
      </c>
      <c r="AO209" s="78">
        <v>38.720598143923297</v>
      </c>
      <c r="AP209" s="78">
        <v>43.3730416130199</v>
      </c>
      <c r="AQ209" s="78">
        <v>46.066536598139002</v>
      </c>
      <c r="AR209" s="78">
        <v>44.958207007953497</v>
      </c>
      <c r="AS209" s="78">
        <v>46.711365689054297</v>
      </c>
      <c r="AT209" s="78">
        <v>48.2728589440866</v>
      </c>
      <c r="AU209" s="78">
        <v>49.234736895415203</v>
      </c>
      <c r="AV209" s="78">
        <v>52.902577158877797</v>
      </c>
      <c r="AW209" s="78">
        <v>59.383518622258897</v>
      </c>
      <c r="AX209" s="78">
        <v>64.7364019496396</v>
      </c>
      <c r="AY209" s="78">
        <v>70.486824248099296</v>
      </c>
      <c r="AZ209" s="78">
        <v>76.887536846095799</v>
      </c>
      <c r="BA209" s="78">
        <v>88.757599224482703</v>
      </c>
      <c r="BB209" s="78">
        <v>100.24673598148399</v>
      </c>
      <c r="BC209" s="78">
        <v>100</v>
      </c>
      <c r="BD209" s="78">
        <v>103.080170692403</v>
      </c>
      <c r="BE209" s="78">
        <v>113.66755381768</v>
      </c>
      <c r="BF209" s="78">
        <v>120.401525107651</v>
      </c>
      <c r="BG209" s="78">
        <v>123.236367612123</v>
      </c>
      <c r="BH209" s="78">
        <v>126.35240266948</v>
      </c>
      <c r="BI209" s="78">
        <v>135.41735745077301</v>
      </c>
      <c r="BJ209" s="78">
        <v>146.62928728969499</v>
      </c>
      <c r="BK209" s="78">
        <v>146.17296204954101</v>
      </c>
      <c r="BL209" s="78">
        <v>151.066652368989</v>
      </c>
      <c r="BM209" s="78">
        <v>165.94732041763299</v>
      </c>
      <c r="BN209" s="78">
        <v>165.29789097528601</v>
      </c>
      <c r="BO209" s="78">
        <v>194.537781306206</v>
      </c>
      <c r="BP209" s="78">
        <v>233.03592647733799</v>
      </c>
    </row>
    <row r="210" spans="1:68" x14ac:dyDescent="0.25">
      <c r="A210" s="78" t="s">
        <v>134</v>
      </c>
      <c r="B210" s="78" t="s">
        <v>1076</v>
      </c>
      <c r="C210" s="78" t="s">
        <v>691</v>
      </c>
      <c r="D210" s="78" t="s">
        <v>692</v>
      </c>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row>
    <row r="211" spans="1:68" x14ac:dyDescent="0.25">
      <c r="A211" s="78" t="s">
        <v>1077</v>
      </c>
      <c r="B211" s="78" t="s">
        <v>1078</v>
      </c>
      <c r="C211" s="78" t="s">
        <v>691</v>
      </c>
      <c r="D211" s="78" t="s">
        <v>692</v>
      </c>
      <c r="E211" s="78"/>
      <c r="F211" s="78"/>
      <c r="G211" s="78"/>
      <c r="H211" s="78">
        <v>19.9437117835331</v>
      </c>
      <c r="I211" s="78">
        <v>20.502135713272502</v>
      </c>
      <c r="J211" s="78">
        <v>20.581910560606101</v>
      </c>
      <c r="K211" s="78">
        <v>20.901009948943202</v>
      </c>
      <c r="L211" s="78">
        <v>21.3397716083803</v>
      </c>
      <c r="M211" s="78">
        <v>21.6788147087005</v>
      </c>
      <c r="N211" s="78">
        <v>22.436675756474699</v>
      </c>
      <c r="O211" s="78">
        <v>22.476563180041801</v>
      </c>
      <c r="P211" s="78">
        <v>23.4823893822924</v>
      </c>
      <c r="Q211" s="78">
        <v>24.499453866133099</v>
      </c>
      <c r="R211" s="78">
        <v>28.545235238596899</v>
      </c>
      <c r="S211" s="78">
        <v>34.664479564250797</v>
      </c>
      <c r="T211" s="78">
        <v>46.650106879951899</v>
      </c>
      <c r="U211" s="78">
        <v>61.3722557629916</v>
      </c>
      <c r="V211" s="78">
        <v>68.368086052667294</v>
      </c>
      <c r="W211" s="78">
        <v>67.285407776976697</v>
      </c>
      <c r="X211" s="78">
        <v>68.013144477962499</v>
      </c>
      <c r="Y211" s="78">
        <v>70.848793762756202</v>
      </c>
      <c r="Z211" s="78">
        <v>72.831838880797605</v>
      </c>
      <c r="AA211" s="78">
        <v>73.575480800063104</v>
      </c>
      <c r="AB211" s="78">
        <v>73.716322072651806</v>
      </c>
      <c r="AC211" s="78">
        <v>72.567057288332194</v>
      </c>
      <c r="AD211" s="78">
        <v>70.347398832342094</v>
      </c>
      <c r="AE211" s="78">
        <v>68.093938470931505</v>
      </c>
      <c r="AF211" s="78">
        <v>67.040445751971902</v>
      </c>
      <c r="AG211" s="78">
        <v>67.6488800495531</v>
      </c>
      <c r="AH211" s="78">
        <v>68.347452761590205</v>
      </c>
      <c r="AI211" s="78">
        <v>69.767132789279103</v>
      </c>
      <c r="AJ211" s="78">
        <v>73.158590633202493</v>
      </c>
      <c r="AK211" s="78">
        <v>73.102254124166805</v>
      </c>
      <c r="AL211" s="78">
        <v>73.874064297950298</v>
      </c>
      <c r="AM211" s="78">
        <v>74.290954464811605</v>
      </c>
      <c r="AN211" s="78">
        <v>77.907758344875901</v>
      </c>
      <c r="AO211" s="78">
        <v>78.859845597307796</v>
      </c>
      <c r="AP211" s="78">
        <v>78.904917708453098</v>
      </c>
      <c r="AQ211" s="78">
        <v>78.611967629587696</v>
      </c>
      <c r="AR211" s="78">
        <v>77.563469896908899</v>
      </c>
      <c r="AS211" s="78">
        <v>76.690884910508203</v>
      </c>
      <c r="AT211" s="78">
        <v>75.831222443531004</v>
      </c>
      <c r="AU211" s="78">
        <v>76.018666999039695</v>
      </c>
      <c r="AV211" s="78">
        <v>76.484049017656702</v>
      </c>
      <c r="AW211" s="78">
        <v>76.878329466016893</v>
      </c>
      <c r="AX211" s="78">
        <v>77.246753790158905</v>
      </c>
      <c r="AY211" s="78">
        <v>78.953153181406805</v>
      </c>
      <c r="AZ211" s="78">
        <v>82.2437810967334</v>
      </c>
      <c r="BA211" s="78">
        <v>90.361446183808596</v>
      </c>
      <c r="BB211" s="78">
        <v>94.931226156122506</v>
      </c>
      <c r="BC211" s="78">
        <v>100</v>
      </c>
      <c r="BD211" s="78">
        <v>105.826216088389</v>
      </c>
      <c r="BE211" s="78">
        <v>108.859479981614</v>
      </c>
      <c r="BF211" s="78">
        <v>112.70496800782</v>
      </c>
      <c r="BG211" s="78">
        <v>115.22537829232</v>
      </c>
      <c r="BH211" s="78">
        <v>116.61508072427699</v>
      </c>
      <c r="BI211" s="78">
        <v>119.027660580771</v>
      </c>
      <c r="BJ211" s="78">
        <v>118.02997718146899</v>
      </c>
      <c r="BK211" s="78">
        <v>120.93132112751999</v>
      </c>
      <c r="BL211" s="78">
        <v>118.399825471917</v>
      </c>
      <c r="BM211" s="78">
        <v>122.47924203795201</v>
      </c>
      <c r="BN211" s="78">
        <v>126.23113627593401</v>
      </c>
      <c r="BO211" s="78">
        <v>129.35418764405199</v>
      </c>
      <c r="BP211" s="78">
        <v>132.36436977911799</v>
      </c>
    </row>
    <row r="212" spans="1:68" x14ac:dyDescent="0.25">
      <c r="A212" s="78" t="s">
        <v>1079</v>
      </c>
      <c r="B212" s="78" t="s">
        <v>1080</v>
      </c>
      <c r="C212" s="78" t="s">
        <v>691</v>
      </c>
      <c r="D212" s="78" t="s">
        <v>692</v>
      </c>
      <c r="E212" s="78">
        <v>1.0257518444298E-3</v>
      </c>
      <c r="F212" s="78">
        <v>1.11561295233189E-3</v>
      </c>
      <c r="G212" s="78">
        <v>1.1341641606680401E-3</v>
      </c>
      <c r="H212" s="78">
        <v>1.1873364138653699E-3</v>
      </c>
      <c r="I212" s="78">
        <v>1.23424615724006E-3</v>
      </c>
      <c r="J212" s="78">
        <v>1.20405613348208E-3</v>
      </c>
      <c r="K212" s="78">
        <v>1.22467515166652E-3</v>
      </c>
      <c r="L212" s="78">
        <v>1.3595554339389899E-3</v>
      </c>
      <c r="M212" s="78">
        <v>1.22313906435078E-3</v>
      </c>
      <c r="N212" s="78">
        <v>1.37733859861785E-3</v>
      </c>
      <c r="O212" s="78">
        <v>1.43281498278525E-3</v>
      </c>
      <c r="P212" s="78">
        <v>1.4514941476663E-3</v>
      </c>
      <c r="Q212" s="78">
        <v>1.64824056099425E-3</v>
      </c>
      <c r="R212" s="78">
        <v>1.90024150995725E-3</v>
      </c>
      <c r="S212" s="78">
        <v>2.3973086281059101E-3</v>
      </c>
      <c r="T212" s="78">
        <v>2.9717768366666099E-3</v>
      </c>
      <c r="U212" s="78">
        <v>3.0215506592527201E-3</v>
      </c>
      <c r="V212" s="78">
        <v>3.53752064485922E-3</v>
      </c>
      <c r="W212" s="78">
        <v>4.2178001706469504E-3</v>
      </c>
      <c r="X212" s="78">
        <v>5.5311579792273096E-3</v>
      </c>
      <c r="Y212" s="78">
        <v>6.9334375607544799E-3</v>
      </c>
      <c r="Z212" s="78">
        <v>8.6373800625317698E-3</v>
      </c>
      <c r="AA212" s="78">
        <v>1.0858299211497099E-2</v>
      </c>
      <c r="AB212" s="78">
        <v>1.41796113191548E-2</v>
      </c>
      <c r="AC212" s="78">
        <v>1.90214298183706E-2</v>
      </c>
      <c r="AD212" s="78">
        <v>2.7658586178340199E-2</v>
      </c>
      <c r="AE212" s="78">
        <v>3.44220758182118E-2</v>
      </c>
      <c r="AF212" s="78">
        <v>4.14983037810603E-2</v>
      </c>
      <c r="AG212" s="78">
        <v>6.8347940004398505E-2</v>
      </c>
      <c r="AH212" s="78">
        <v>0.113949905608943</v>
      </c>
      <c r="AI212" s="78">
        <v>0.188197496772675</v>
      </c>
      <c r="AJ212" s="78">
        <v>0.42076843816255899</v>
      </c>
      <c r="AK212" s="78">
        <v>0.91569507883491996</v>
      </c>
      <c r="AL212" s="78">
        <v>1.8440306301421401</v>
      </c>
      <c r="AM212" s="78">
        <v>3.9720077575158501</v>
      </c>
      <c r="AN212" s="78">
        <v>6.6878757256483796</v>
      </c>
      <c r="AO212" s="78">
        <v>15.5709648905426</v>
      </c>
      <c r="AP212" s="78">
        <v>22.915561220701701</v>
      </c>
      <c r="AQ212" s="78">
        <v>28.557802872633602</v>
      </c>
      <c r="AR212" s="78">
        <v>33.460162515965699</v>
      </c>
      <c r="AS212" s="78">
        <v>35.842947341086898</v>
      </c>
      <c r="AT212" s="78">
        <v>36.5366143672425</v>
      </c>
      <c r="AU212" s="78">
        <v>44.656776123961897</v>
      </c>
      <c r="AV212" s="78">
        <v>47.554747282650901</v>
      </c>
      <c r="AW212" s="78">
        <v>52.147369012691499</v>
      </c>
      <c r="AX212" s="78">
        <v>56.582946395828799</v>
      </c>
      <c r="AY212" s="78">
        <v>60.656426208760898</v>
      </c>
      <c r="AZ212" s="78">
        <v>69.605843397219203</v>
      </c>
      <c r="BA212" s="78">
        <v>79.557476058782697</v>
      </c>
      <c r="BB212" s="78">
        <v>88.513069171542995</v>
      </c>
      <c r="BC212" s="78">
        <v>100</v>
      </c>
      <c r="BD212" s="78">
        <v>118.096617122135</v>
      </c>
      <c r="BE212" s="78">
        <v>160.09066100941601</v>
      </c>
      <c r="BF212" s="78">
        <v>218.55952439824301</v>
      </c>
      <c r="BG212" s="78">
        <v>299.22250734346801</v>
      </c>
      <c r="BH212" s="78">
        <v>349.819748489056</v>
      </c>
      <c r="BI212" s="78">
        <v>411.91364179751503</v>
      </c>
      <c r="BJ212" s="78">
        <v>545.17440303373803</v>
      </c>
      <c r="BK212" s="78">
        <v>890.22895212013702</v>
      </c>
      <c r="BL212" s="78">
        <v>1344.19276243483</v>
      </c>
      <c r="BM212" s="78">
        <v>3538.6920569684999</v>
      </c>
      <c r="BN212" s="78">
        <v>16245.8889681416</v>
      </c>
      <c r="BO212" s="78">
        <v>38796.557297404797</v>
      </c>
      <c r="BP212" s="78"/>
    </row>
    <row r="213" spans="1:68" x14ac:dyDescent="0.25">
      <c r="A213" s="78" t="s">
        <v>1081</v>
      </c>
      <c r="B213" s="78" t="s">
        <v>1082</v>
      </c>
      <c r="C213" s="78" t="s">
        <v>691</v>
      </c>
      <c r="D213" s="78" t="s">
        <v>692</v>
      </c>
      <c r="E213" s="78"/>
      <c r="F213" s="78"/>
      <c r="G213" s="78"/>
      <c r="H213" s="78"/>
      <c r="I213" s="78"/>
      <c r="J213" s="78"/>
      <c r="K213" s="78"/>
      <c r="L213" s="78">
        <v>10.953618251348299</v>
      </c>
      <c r="M213" s="78">
        <v>10.960007861940101</v>
      </c>
      <c r="N213" s="78">
        <v>11.400890996566099</v>
      </c>
      <c r="O213" s="78">
        <v>11.721284330418101</v>
      </c>
      <c r="P213" s="78">
        <v>12.1758594878217</v>
      </c>
      <c r="Q213" s="78">
        <v>12.925269536499799</v>
      </c>
      <c r="R213" s="78">
        <v>14.383926366989201</v>
      </c>
      <c r="S213" s="78">
        <v>16.771815145810599</v>
      </c>
      <c r="T213" s="78">
        <v>22.080668791585101</v>
      </c>
      <c r="U213" s="78">
        <v>22.319822790127599</v>
      </c>
      <c r="V213" s="78">
        <v>24.8510214076918</v>
      </c>
      <c r="W213" s="78">
        <v>25.7008396236557</v>
      </c>
      <c r="X213" s="78">
        <v>28.1818341576592</v>
      </c>
      <c r="Y213" s="78">
        <v>30.641834256580399</v>
      </c>
      <c r="Z213" s="78">
        <v>32.453745275630297</v>
      </c>
      <c r="AA213" s="78">
        <v>38.093033072032704</v>
      </c>
      <c r="AB213" s="78">
        <v>42.518294845550102</v>
      </c>
      <c r="AC213" s="78">
        <v>47.528662394021097</v>
      </c>
      <c r="AD213" s="78">
        <v>53.707415889348098</v>
      </c>
      <c r="AE213" s="78">
        <v>57.029100624115202</v>
      </c>
      <c r="AF213" s="78">
        <v>54.667683089437702</v>
      </c>
      <c r="AG213" s="78">
        <v>53.669078225523201</v>
      </c>
      <c r="AH213" s="78">
        <v>53.909145025531899</v>
      </c>
      <c r="AI213" s="78">
        <v>54.084402917553398</v>
      </c>
      <c r="AJ213" s="78">
        <v>53.136002137290902</v>
      </c>
      <c r="AK213" s="78">
        <v>53.077582839950402</v>
      </c>
      <c r="AL213" s="78">
        <v>52.766317521307897</v>
      </c>
      <c r="AM213" s="78">
        <v>69.806496314322203</v>
      </c>
      <c r="AN213" s="78">
        <v>75.296084661289498</v>
      </c>
      <c r="AO213" s="78">
        <v>77.369969716878202</v>
      </c>
      <c r="AP213" s="78">
        <v>78.726392777003497</v>
      </c>
      <c r="AQ213" s="78">
        <v>79.6370844975349</v>
      </c>
      <c r="AR213" s="78">
        <v>80.295882763451303</v>
      </c>
      <c r="AS213" s="78">
        <v>80.883634157552805</v>
      </c>
      <c r="AT213" s="78">
        <v>83.289518534341198</v>
      </c>
      <c r="AU213" s="78">
        <v>85.236246012342207</v>
      </c>
      <c r="AV213" s="78">
        <v>85.191925700815105</v>
      </c>
      <c r="AW213" s="78">
        <v>85.630478213225501</v>
      </c>
      <c r="AX213" s="78">
        <v>87.095901066348205</v>
      </c>
      <c r="AY213" s="78">
        <v>88.935615450722807</v>
      </c>
      <c r="AZ213" s="78">
        <v>94.141287640503705</v>
      </c>
      <c r="BA213" s="78">
        <v>101.058038553206</v>
      </c>
      <c r="BB213" s="78">
        <v>98.786232140725502</v>
      </c>
      <c r="BC213" s="78">
        <v>100</v>
      </c>
      <c r="BD213" s="78">
        <v>103.40322829787</v>
      </c>
      <c r="BE213" s="78">
        <v>104.86972257049599</v>
      </c>
      <c r="BF213" s="78">
        <v>105.614555041963</v>
      </c>
      <c r="BG213" s="78">
        <v>104.46308699623999</v>
      </c>
      <c r="BH213" s="78">
        <v>104.604333556103</v>
      </c>
      <c r="BI213" s="78">
        <v>105.48016989023</v>
      </c>
      <c r="BJ213" s="78">
        <v>106.870560070658</v>
      </c>
      <c r="BK213" s="78">
        <v>107.363218008605</v>
      </c>
      <c r="BL213" s="78">
        <v>109.252930368352</v>
      </c>
      <c r="BM213" s="78">
        <v>112.031392832995</v>
      </c>
      <c r="BN213" s="78">
        <v>114.47403881267201</v>
      </c>
      <c r="BO213" s="78">
        <v>125.57437914780699</v>
      </c>
      <c r="BP213" s="78"/>
    </row>
    <row r="214" spans="1:68" x14ac:dyDescent="0.25">
      <c r="A214" s="78" t="s">
        <v>1083</v>
      </c>
      <c r="B214" s="78" t="s">
        <v>1084</v>
      </c>
      <c r="C214" s="78" t="s">
        <v>691</v>
      </c>
      <c r="D214" s="78" t="s">
        <v>692</v>
      </c>
      <c r="E214" s="78">
        <v>27.5191749343204</v>
      </c>
      <c r="F214" s="78">
        <v>27.629251634057699</v>
      </c>
      <c r="G214" s="78">
        <v>27.745178563990802</v>
      </c>
      <c r="H214" s="78">
        <v>28.357015138637902</v>
      </c>
      <c r="I214" s="78">
        <v>28.8464843983555</v>
      </c>
      <c r="J214" s="78">
        <v>28.898007478325699</v>
      </c>
      <c r="K214" s="78">
        <v>29.477642127991299</v>
      </c>
      <c r="L214" s="78">
        <v>30.463021032422599</v>
      </c>
      <c r="M214" s="78">
        <v>30.662672967307401</v>
      </c>
      <c r="N214" s="78">
        <v>30.578947962355802</v>
      </c>
      <c r="O214" s="78">
        <v>30.720636432273999</v>
      </c>
      <c r="P214" s="78">
        <v>31.261628771961799</v>
      </c>
      <c r="Q214" s="78">
        <v>31.912107656586599</v>
      </c>
      <c r="R214" s="78">
        <v>38.178602257970802</v>
      </c>
      <c r="S214" s="78">
        <v>46.7185527630431</v>
      </c>
      <c r="T214" s="78">
        <v>47.903583602359298</v>
      </c>
      <c r="U214" s="78">
        <v>47.021250857868502</v>
      </c>
      <c r="V214" s="78">
        <v>48.508979792010003</v>
      </c>
      <c r="W214" s="78">
        <v>50.872601085646203</v>
      </c>
      <c r="X214" s="78">
        <v>52.946405054449599</v>
      </c>
      <c r="Y214" s="78">
        <v>57.461114936844602</v>
      </c>
      <c r="Z214" s="78">
        <v>62.162595984131698</v>
      </c>
      <c r="AA214" s="78">
        <v>64.597061512726995</v>
      </c>
      <c r="AB214" s="78">
        <v>65.369907712281105</v>
      </c>
      <c r="AC214" s="78">
        <v>67.070169351299995</v>
      </c>
      <c r="AD214" s="78">
        <v>67.392188601114299</v>
      </c>
      <c r="AE214" s="78">
        <v>66.458332776653094</v>
      </c>
      <c r="AF214" s="78">
        <v>66.806113566452396</v>
      </c>
      <c r="AG214" s="78">
        <v>67.823694395865303</v>
      </c>
      <c r="AH214" s="78">
        <v>69.414469489947393</v>
      </c>
      <c r="AI214" s="78">
        <v>71.816733093561297</v>
      </c>
      <c r="AJ214" s="78">
        <v>74.276960162141705</v>
      </c>
      <c r="AK214" s="78">
        <v>75.957900646171794</v>
      </c>
      <c r="AL214" s="78">
        <v>77.696804595168203</v>
      </c>
      <c r="AM214" s="78">
        <v>80.105508583778601</v>
      </c>
      <c r="AN214" s="78">
        <v>81.483750972983103</v>
      </c>
      <c r="AO214" s="78">
        <v>82.610818347333307</v>
      </c>
      <c r="AP214" s="78">
        <v>84.265997291377701</v>
      </c>
      <c r="AQ214" s="78">
        <v>84.040583816508402</v>
      </c>
      <c r="AR214" s="78">
        <v>84.054626858335794</v>
      </c>
      <c r="AS214" s="78">
        <v>85.199134767275098</v>
      </c>
      <c r="AT214" s="78">
        <v>86.048738797836904</v>
      </c>
      <c r="AU214" s="78">
        <v>85.7117057939776</v>
      </c>
      <c r="AV214" s="78">
        <v>86.147040090629204</v>
      </c>
      <c r="AW214" s="78">
        <v>87.579430357031399</v>
      </c>
      <c r="AX214" s="78">
        <v>87.951736012462604</v>
      </c>
      <c r="AY214" s="78">
        <v>88.798624842453705</v>
      </c>
      <c r="AZ214" s="78">
        <v>90.667729369300005</v>
      </c>
      <c r="BA214" s="78">
        <v>96.676988610904104</v>
      </c>
      <c r="BB214" s="78">
        <v>97.253879786213702</v>
      </c>
      <c r="BC214" s="78">
        <v>100</v>
      </c>
      <c r="BD214" s="78">
        <v>105.24779339840499</v>
      </c>
      <c r="BE214" s="78">
        <v>110.063514278795</v>
      </c>
      <c r="BF214" s="78">
        <v>112.659476898612</v>
      </c>
      <c r="BG214" s="78">
        <v>113.81440330709</v>
      </c>
      <c r="BH214" s="78">
        <v>113.219588558659</v>
      </c>
      <c r="BI214" s="78">
        <v>112.616956081526</v>
      </c>
      <c r="BJ214" s="78">
        <v>113.265922901941</v>
      </c>
      <c r="BK214" s="78">
        <v>113.762730027133</v>
      </c>
      <c r="BL214" s="78">
        <v>114.40578588194499</v>
      </c>
      <c r="BM214" s="78">
        <v>114.197662689794</v>
      </c>
      <c r="BN214" s="78">
        <v>116.829758470318</v>
      </c>
      <c r="BO214" s="78">
        <v>123.980978131334</v>
      </c>
      <c r="BP214" s="78">
        <v>129.958680443666</v>
      </c>
    </row>
    <row r="215" spans="1:68" x14ac:dyDescent="0.25">
      <c r="A215" s="78" t="s">
        <v>1085</v>
      </c>
      <c r="B215" s="78" t="s">
        <v>1086</v>
      </c>
      <c r="C215" s="78" t="s">
        <v>691</v>
      </c>
      <c r="D215" s="78" t="s">
        <v>692</v>
      </c>
      <c r="E215" s="78"/>
      <c r="F215" s="78"/>
      <c r="G215" s="78"/>
      <c r="H215" s="78"/>
      <c r="I215" s="78"/>
      <c r="J215" s="78"/>
      <c r="K215" s="78"/>
      <c r="L215" s="78"/>
      <c r="M215" s="78"/>
      <c r="N215" s="78"/>
      <c r="O215" s="78"/>
      <c r="P215" s="78">
        <v>2.4596371685447198</v>
      </c>
      <c r="Q215" s="78">
        <v>2.62879984944583</v>
      </c>
      <c r="R215" s="78">
        <v>2.7136758983908398</v>
      </c>
      <c r="S215" s="78">
        <v>3.2252898601226998</v>
      </c>
      <c r="T215" s="78">
        <v>3.5500586307671398</v>
      </c>
      <c r="U215" s="78">
        <v>3.7011249554806298</v>
      </c>
      <c r="V215" s="78">
        <v>4.0200427520980098</v>
      </c>
      <c r="W215" s="78">
        <v>4.2718199599538398</v>
      </c>
      <c r="X215" s="78">
        <v>4.6159154773567996</v>
      </c>
      <c r="Y215" s="78">
        <v>5.2201807762107801</v>
      </c>
      <c r="Z215" s="78">
        <v>6.07622328292058</v>
      </c>
      <c r="AA215" s="78">
        <v>6.8651252008688397</v>
      </c>
      <c r="AB215" s="78">
        <v>7.2931464542237396</v>
      </c>
      <c r="AC215" s="78">
        <v>8.0988335193623797</v>
      </c>
      <c r="AD215" s="78">
        <v>8.8737478146519493</v>
      </c>
      <c r="AE215" s="78">
        <v>10.0780821255623</v>
      </c>
      <c r="AF215" s="78">
        <v>11.185901840127899</v>
      </c>
      <c r="AG215" s="78">
        <v>13.0581451329892</v>
      </c>
      <c r="AH215" s="78">
        <v>15.008019731606</v>
      </c>
      <c r="AI215" s="78">
        <v>16.319359355855099</v>
      </c>
      <c r="AJ215" s="78">
        <v>18.775444280706399</v>
      </c>
      <c r="AK215" s="78">
        <v>20.794022405041101</v>
      </c>
      <c r="AL215" s="78">
        <v>22.700556104853401</v>
      </c>
      <c r="AM215" s="78">
        <v>25.709749220601701</v>
      </c>
      <c r="AN215" s="78">
        <v>28.1853974576713</v>
      </c>
      <c r="AO215" s="78">
        <v>31.5040466030533</v>
      </c>
      <c r="AP215" s="78">
        <v>34.050834157280001</v>
      </c>
      <c r="AQ215" s="78">
        <v>38.272968636904501</v>
      </c>
      <c r="AR215" s="78">
        <v>41.342601716509499</v>
      </c>
      <c r="AS215" s="78">
        <v>44.604351857546298</v>
      </c>
      <c r="AT215" s="78">
        <v>47.693576705096497</v>
      </c>
      <c r="AU215" s="78">
        <v>52.906310169788199</v>
      </c>
      <c r="AV215" s="78">
        <v>57.281378174954199</v>
      </c>
      <c r="AW215" s="78">
        <v>61.282964765045101</v>
      </c>
      <c r="AX215" s="78">
        <v>65.775412643520497</v>
      </c>
      <c r="AY215" s="78">
        <v>73.155405405405403</v>
      </c>
      <c r="AZ215" s="78">
        <v>78.763513513513502</v>
      </c>
      <c r="BA215" s="78">
        <v>92.405405405405403</v>
      </c>
      <c r="BB215" s="78">
        <v>98.959459459459495</v>
      </c>
      <c r="BC215" s="78">
        <v>100</v>
      </c>
      <c r="BD215" s="78">
        <v>107.34270706018</v>
      </c>
      <c r="BE215" s="78">
        <v>113.688814368881</v>
      </c>
      <c r="BF215" s="78">
        <v>119.818192049045</v>
      </c>
      <c r="BG215" s="78">
        <v>126.007882882883</v>
      </c>
      <c r="BH215" s="78">
        <v>125.284006297329</v>
      </c>
      <c r="BI215" s="78">
        <v>125.926068821616</v>
      </c>
      <c r="BJ215" s="78">
        <v>126.541452847665</v>
      </c>
      <c r="BK215" s="78">
        <v>130.921653412479</v>
      </c>
      <c r="BL215" s="78">
        <v>133.06203318559099</v>
      </c>
      <c r="BM215" s="78">
        <v>137.005392964625</v>
      </c>
      <c r="BN215" s="78">
        <v>136.847236823755</v>
      </c>
      <c r="BO215" s="78">
        <v>144.39864427569299</v>
      </c>
      <c r="BP215" s="78">
        <v>152.897744832961</v>
      </c>
    </row>
    <row r="216" spans="1:68" x14ac:dyDescent="0.25">
      <c r="A216" s="78" t="s">
        <v>1087</v>
      </c>
      <c r="B216" s="78" t="s">
        <v>1088</v>
      </c>
      <c r="C216" s="78" t="s">
        <v>691</v>
      </c>
      <c r="D216" s="78" t="s">
        <v>692</v>
      </c>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v>71.853756914268303</v>
      </c>
      <c r="AZ216" s="78">
        <v>80.224701237446595</v>
      </c>
      <c r="BA216" s="78">
        <v>86.812051193725296</v>
      </c>
      <c r="BB216" s="78">
        <v>93.296059779008402</v>
      </c>
      <c r="BC216" s="78">
        <v>100</v>
      </c>
      <c r="BD216" s="78">
        <v>106.791382919526</v>
      </c>
      <c r="BE216" s="78">
        <v>113.82654548345199</v>
      </c>
      <c r="BF216" s="78">
        <v>120.114470441718</v>
      </c>
      <c r="BG216" s="78">
        <v>125.686955139246</v>
      </c>
      <c r="BH216" s="78">
        <v>134.09470309229201</v>
      </c>
      <c r="BI216" s="78">
        <v>148.69233419009501</v>
      </c>
      <c r="BJ216" s="78">
        <v>175.786321842126</v>
      </c>
      <c r="BK216" s="78">
        <v>203.964069000238</v>
      </c>
      <c r="BL216" s="78">
        <v>234.16094756087901</v>
      </c>
      <c r="BM216" s="78">
        <v>265.64826836959099</v>
      </c>
      <c r="BN216" s="78">
        <v>297.191234531916</v>
      </c>
      <c r="BO216" s="78">
        <v>378.05188266779697</v>
      </c>
      <c r="BP216" s="78">
        <v>558.16666223119501</v>
      </c>
    </row>
    <row r="217" spans="1:68" x14ac:dyDescent="0.25">
      <c r="A217" s="78" t="s">
        <v>1089</v>
      </c>
      <c r="B217" s="78" t="s">
        <v>1090</v>
      </c>
      <c r="C217" s="78" t="s">
        <v>691</v>
      </c>
      <c r="D217" s="78" t="s">
        <v>692</v>
      </c>
      <c r="E217" s="78">
        <v>1.9277699340962799</v>
      </c>
      <c r="F217" s="78">
        <v>1.8760580768495001</v>
      </c>
      <c r="G217" s="78">
        <v>1.87786197885099</v>
      </c>
      <c r="H217" s="78">
        <v>1.90732571146684</v>
      </c>
      <c r="I217" s="78">
        <v>1.9408482235728799</v>
      </c>
      <c r="J217" s="78">
        <v>1.94971740839437</v>
      </c>
      <c r="K217" s="78">
        <v>1.92656733276046</v>
      </c>
      <c r="L217" s="78">
        <v>1.95482846404949</v>
      </c>
      <c r="M217" s="78">
        <v>2.00443576896344</v>
      </c>
      <c r="N217" s="78">
        <v>2.0005273146456899</v>
      </c>
      <c r="O217" s="78">
        <v>2.0568992520438099</v>
      </c>
      <c r="P217" s="78">
        <v>2.0660690871951299</v>
      </c>
      <c r="Q217" s="78">
        <v>2.0977876973102201</v>
      </c>
      <c r="R217" s="78">
        <v>2.2318777457584802</v>
      </c>
      <c r="S217" s="78">
        <v>2.60904358828786</v>
      </c>
      <c r="T217" s="78">
        <v>3.1070708646209702</v>
      </c>
      <c r="U217" s="78">
        <v>3.3256436565929901</v>
      </c>
      <c r="V217" s="78">
        <v>3.7187439667653801</v>
      </c>
      <c r="W217" s="78">
        <v>4.21241181327244</v>
      </c>
      <c r="X217" s="78">
        <v>4.8045094597326701</v>
      </c>
      <c r="Y217" s="78">
        <v>5.6389070924803004</v>
      </c>
      <c r="Z217" s="78">
        <v>6.4733047252279299</v>
      </c>
      <c r="AA217" s="78">
        <v>7.2325513129069003</v>
      </c>
      <c r="AB217" s="78">
        <v>8.1955161747180991</v>
      </c>
      <c r="AC217" s="78">
        <v>9.1385881128124993</v>
      </c>
      <c r="AD217" s="78">
        <v>11.179086341413299</v>
      </c>
      <c r="AE217" s="78">
        <v>14.749129369661601</v>
      </c>
      <c r="AF217" s="78">
        <v>18.416426691531701</v>
      </c>
      <c r="AG217" s="78">
        <v>22.055726565224301</v>
      </c>
      <c r="AH217" s="78">
        <v>25.945051018760601</v>
      </c>
      <c r="AI217" s="78">
        <v>32.171646651427402</v>
      </c>
      <c r="AJ217" s="78">
        <v>36.805224322376503</v>
      </c>
      <c r="AK217" s="78">
        <v>40.932739350949703</v>
      </c>
      <c r="AL217" s="78">
        <v>48.508033847672301</v>
      </c>
      <c r="AM217" s="78">
        <v>53.643000521786597</v>
      </c>
      <c r="AN217" s="78">
        <v>59.023209183648099</v>
      </c>
      <c r="AO217" s="78">
        <v>64.800944149223099</v>
      </c>
      <c r="AP217" s="78">
        <v>67.710594851311598</v>
      </c>
      <c r="AQ217" s="78">
        <v>69.435224176549298</v>
      </c>
      <c r="AR217" s="78">
        <v>69.792695548520499</v>
      </c>
      <c r="AS217" s="78">
        <v>71.377888366086594</v>
      </c>
      <c r="AT217" s="78">
        <v>74.055144888722495</v>
      </c>
      <c r="AU217" s="78">
        <v>75.436662157142393</v>
      </c>
      <c r="AV217" s="78">
        <v>77.036214289861803</v>
      </c>
      <c r="AW217" s="78">
        <v>80.465823351180802</v>
      </c>
      <c r="AX217" s="78">
        <v>84.240433852889495</v>
      </c>
      <c r="AY217" s="78">
        <v>87.641324283901895</v>
      </c>
      <c r="AZ217" s="78">
        <v>91.653619239067595</v>
      </c>
      <c r="BA217" s="78">
        <v>97.801673384908597</v>
      </c>
      <c r="BB217" s="78">
        <v>98.834410445792699</v>
      </c>
      <c r="BC217" s="78">
        <v>100</v>
      </c>
      <c r="BD217" s="78">
        <v>105.128923766816</v>
      </c>
      <c r="BE217" s="78">
        <v>106.947375362701</v>
      </c>
      <c r="BF217" s="78">
        <v>107.75768266948</v>
      </c>
      <c r="BG217" s="78">
        <v>108.98756924294401</v>
      </c>
      <c r="BH217" s="78">
        <v>108.19045106832</v>
      </c>
      <c r="BI217" s="78">
        <v>108.843974500215</v>
      </c>
      <c r="BJ217" s="78">
        <v>109.945860865916</v>
      </c>
      <c r="BK217" s="78">
        <v>111.144633577093</v>
      </c>
      <c r="BL217" s="78">
        <v>111.228352310936</v>
      </c>
      <c r="BM217" s="78">
        <v>110.815038640419</v>
      </c>
      <c r="BN217" s="78">
        <v>114.656913864201</v>
      </c>
      <c r="BO217" s="78">
        <v>122.910624989713</v>
      </c>
      <c r="BP217" s="78">
        <v>127.883032020654</v>
      </c>
    </row>
    <row r="218" spans="1:68" x14ac:dyDescent="0.25">
      <c r="A218" s="78" t="s">
        <v>1091</v>
      </c>
      <c r="B218" s="78" t="s">
        <v>1092</v>
      </c>
      <c r="C218" s="78" t="s">
        <v>691</v>
      </c>
      <c r="D218" s="78" t="s">
        <v>692</v>
      </c>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v>84.733515890103604</v>
      </c>
      <c r="AW218" s="78">
        <v>85.945915814851503</v>
      </c>
      <c r="AX218" s="78">
        <v>87.3945246904551</v>
      </c>
      <c r="AY218" s="78">
        <v>89.225666645763496</v>
      </c>
      <c r="AZ218" s="78">
        <v>91.455367656793001</v>
      </c>
      <c r="BA218" s="78">
        <v>95.381731780904303</v>
      </c>
      <c r="BB218" s="78">
        <v>97.479741075969798</v>
      </c>
      <c r="BC218" s="78">
        <v>100</v>
      </c>
      <c r="BD218" s="78">
        <v>102.899795843001</v>
      </c>
      <c r="BE218" s="78">
        <v>105.809114948055</v>
      </c>
      <c r="BF218" s="78">
        <v>107.50670896130799</v>
      </c>
      <c r="BG218" s="78">
        <v>108.703218890836</v>
      </c>
      <c r="BH218" s="78">
        <v>108.861584341924</v>
      </c>
      <c r="BI218" s="78">
        <v>109.486393249581</v>
      </c>
      <c r="BJ218" s="78">
        <v>110.631595560108</v>
      </c>
      <c r="BK218" s="78"/>
      <c r="BL218" s="78"/>
      <c r="BM218" s="78"/>
      <c r="BN218" s="78"/>
      <c r="BO218" s="78"/>
      <c r="BP218" s="78"/>
    </row>
    <row r="219" spans="1:68" x14ac:dyDescent="0.25">
      <c r="A219" s="78" t="s">
        <v>1093</v>
      </c>
      <c r="B219" s="78" t="s">
        <v>1094</v>
      </c>
      <c r="C219" s="78" t="s">
        <v>691</v>
      </c>
      <c r="D219" s="78" t="s">
        <v>692</v>
      </c>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row>
    <row r="220" spans="1:68" x14ac:dyDescent="0.25">
      <c r="A220" s="78" t="s">
        <v>1095</v>
      </c>
      <c r="B220" s="78" t="s">
        <v>1096</v>
      </c>
      <c r="C220" s="78" t="s">
        <v>691</v>
      </c>
      <c r="D220" s="78" t="s">
        <v>692</v>
      </c>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v>1.4134371271464701</v>
      </c>
      <c r="AN220" s="78">
        <v>2.5817915382825198</v>
      </c>
      <c r="AO220" s="78">
        <v>5.0500081593895096</v>
      </c>
      <c r="AP220" s="78">
        <v>6.22705730102704</v>
      </c>
      <c r="AQ220" s="78">
        <v>8.1051190893462195</v>
      </c>
      <c r="AR220" s="78">
        <v>11.546058685306001</v>
      </c>
      <c r="AS220" s="78">
        <v>19.7576882232954</v>
      </c>
      <c r="AT220" s="78">
        <v>38.528524534672997</v>
      </c>
      <c r="AU220" s="78">
        <v>46.038054584667996</v>
      </c>
      <c r="AV220" s="78">
        <v>50.584855216284502</v>
      </c>
      <c r="AW220" s="78">
        <v>56.162524832982299</v>
      </c>
      <c r="AX220" s="78">
        <v>65.215912967646005</v>
      </c>
      <c r="AY220" s="78">
        <v>72.861841602382896</v>
      </c>
      <c r="AZ220" s="78">
        <v>77.518956627236904</v>
      </c>
      <c r="BA220" s="78">
        <v>87.139824082499203</v>
      </c>
      <c r="BB220" s="78">
        <v>94.212920837124699</v>
      </c>
      <c r="BC220" s="78">
        <v>100</v>
      </c>
      <c r="BD220" s="78">
        <v>111.137397634213</v>
      </c>
      <c r="BE220" s="78">
        <v>119.284197755535</v>
      </c>
      <c r="BF220" s="78">
        <v>128.462238398544</v>
      </c>
      <c r="BG220" s="78">
        <v>131.13739763421299</v>
      </c>
      <c r="BH220" s="78">
        <v>132.96329996966901</v>
      </c>
      <c r="BI220" s="78">
        <v>134.45556566575701</v>
      </c>
      <c r="BJ220" s="78">
        <v>138.66545344252299</v>
      </c>
      <c r="BK220" s="78">
        <v>141.38307552320299</v>
      </c>
      <c r="BL220" s="78">
        <v>143.997573551714</v>
      </c>
      <c r="BM220" s="78">
        <v>146.26630269942399</v>
      </c>
      <c r="BN220" s="78">
        <v>152.24143160448901</v>
      </c>
      <c r="BO220" s="78">
        <v>170.48225659690601</v>
      </c>
      <c r="BP220" s="78">
        <v>191.574158325751</v>
      </c>
    </row>
    <row r="221" spans="1:68" x14ac:dyDescent="0.25">
      <c r="A221" s="78" t="s">
        <v>1097</v>
      </c>
      <c r="B221" s="78" t="s">
        <v>1098</v>
      </c>
      <c r="C221" s="78" t="s">
        <v>691</v>
      </c>
      <c r="D221" s="78" t="s">
        <v>692</v>
      </c>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row>
    <row r="222" spans="1:68" x14ac:dyDescent="0.25">
      <c r="A222" s="78" t="s">
        <v>1099</v>
      </c>
      <c r="B222" s="78" t="s">
        <v>1100</v>
      </c>
      <c r="C222" s="78" t="s">
        <v>691</v>
      </c>
      <c r="D222" s="78" t="s">
        <v>692</v>
      </c>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v>94.131423570451304</v>
      </c>
      <c r="BB222" s="78">
        <v>98.843900192403197</v>
      </c>
      <c r="BC222" s="78">
        <v>100</v>
      </c>
      <c r="BD222" s="78">
        <v>146.85217571935999</v>
      </c>
      <c r="BE222" s="78">
        <v>213.70794720901799</v>
      </c>
      <c r="BF222" s="78">
        <v>213.58380217151699</v>
      </c>
      <c r="BG222" s="78">
        <v>217.159833769899</v>
      </c>
      <c r="BH222" s="78">
        <v>331.74710919474001</v>
      </c>
      <c r="BI222" s="78">
        <v>1592.38474945444</v>
      </c>
      <c r="BJ222" s="78">
        <v>4583.7054616258001</v>
      </c>
      <c r="BK222" s="78">
        <v>8411.1696295008605</v>
      </c>
      <c r="BL222" s="78">
        <v>15749.1887552482</v>
      </c>
      <c r="BM222" s="78">
        <v>20422.893371257302</v>
      </c>
      <c r="BN222" s="78">
        <v>22570.7110312611</v>
      </c>
      <c r="BO222" s="78">
        <v>21061.335145680699</v>
      </c>
      <c r="BP222" s="78">
        <v>21563.185555307798</v>
      </c>
    </row>
    <row r="223" spans="1:68" x14ac:dyDescent="0.25">
      <c r="A223" s="78" t="s">
        <v>1101</v>
      </c>
      <c r="B223" s="78" t="s">
        <v>1102</v>
      </c>
      <c r="C223" s="78" t="s">
        <v>691</v>
      </c>
      <c r="D223" s="78" t="s">
        <v>692</v>
      </c>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row>
    <row r="224" spans="1:68" x14ac:dyDescent="0.25">
      <c r="A224" s="78" t="s">
        <v>1103</v>
      </c>
      <c r="B224" s="78" t="s">
        <v>1104</v>
      </c>
      <c r="C224" s="78" t="s">
        <v>691</v>
      </c>
      <c r="D224" s="78" t="s">
        <v>692</v>
      </c>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row>
    <row r="225" spans="1:68" x14ac:dyDescent="0.25">
      <c r="A225" s="78" t="s">
        <v>1105</v>
      </c>
      <c r="B225" s="78" t="s">
        <v>1106</v>
      </c>
      <c r="C225" s="78" t="s">
        <v>691</v>
      </c>
      <c r="D225" s="78" t="s">
        <v>692</v>
      </c>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v>8.6445974175603801</v>
      </c>
      <c r="AP225" s="78">
        <v>11.7408482831257</v>
      </c>
      <c r="AQ225" s="78">
        <v>17.6691707447645</v>
      </c>
      <c r="AR225" s="78">
        <v>19.917603998766499</v>
      </c>
      <c r="AS225" s="78">
        <v>22.349333441953402</v>
      </c>
      <c r="AT225" s="78">
        <v>24.410397258121801</v>
      </c>
      <c r="AU225" s="78">
        <v>26.882859187794299</v>
      </c>
      <c r="AV225" s="78">
        <v>29.515341600088501</v>
      </c>
      <c r="AW225" s="78">
        <v>33.436716263318203</v>
      </c>
      <c r="AX225" s="78">
        <v>39.171850360482601</v>
      </c>
      <c r="AY225" s="78">
        <v>48.211552896952803</v>
      </c>
      <c r="AZ225" s="78">
        <v>57.154079358521599</v>
      </c>
      <c r="BA225" s="78">
        <v>75.437728756553696</v>
      </c>
      <c r="BB225" s="78">
        <v>88.230063356473195</v>
      </c>
      <c r="BC225" s="78">
        <v>100</v>
      </c>
      <c r="BD225" s="78">
        <v>114.32716676168</v>
      </c>
      <c r="BE225" s="78">
        <v>126.489216841458</v>
      </c>
      <c r="BF225" s="78">
        <v>136.74222115324</v>
      </c>
      <c r="BG225" s="78">
        <v>146.31212473443401</v>
      </c>
      <c r="BH225" s="78">
        <v>153.98748080963099</v>
      </c>
      <c r="BI225" s="78">
        <v>162.34980123077199</v>
      </c>
      <c r="BJ225" s="78">
        <v>171.58798579976201</v>
      </c>
      <c r="BK225" s="78">
        <v>185.08955168232399</v>
      </c>
      <c r="BL225" s="78">
        <v>199.37891900827199</v>
      </c>
      <c r="BM225" s="78">
        <v>218.956588859877</v>
      </c>
      <c r="BN225" s="78">
        <v>236.77477330146701</v>
      </c>
      <c r="BO225" s="78">
        <v>279.40757502006602</v>
      </c>
      <c r="BP225" s="78">
        <v>338.80659067641199</v>
      </c>
    </row>
    <row r="226" spans="1:68" x14ac:dyDescent="0.25">
      <c r="A226" s="78" t="s">
        <v>1107</v>
      </c>
      <c r="B226" s="78" t="s">
        <v>1108</v>
      </c>
      <c r="C226" s="78" t="s">
        <v>691</v>
      </c>
      <c r="D226" s="78" t="s">
        <v>692</v>
      </c>
      <c r="E226" s="78">
        <v>8.1536844364352504E-3</v>
      </c>
      <c r="F226" s="78">
        <v>8.2930636575709003E-3</v>
      </c>
      <c r="G226" s="78">
        <v>8.4672876839904498E-3</v>
      </c>
      <c r="H226" s="78">
        <v>8.6415117104100096E-3</v>
      </c>
      <c r="I226" s="78">
        <v>9.0073821658910799E-3</v>
      </c>
      <c r="J226" s="78">
        <v>9.1816061923106294E-3</v>
      </c>
      <c r="K226" s="78">
        <v>9.6171662583595299E-3</v>
      </c>
      <c r="L226" s="78">
        <v>1.06450880142349E-2</v>
      </c>
      <c r="M226" s="78">
        <v>1.0662510416876899E-2</v>
      </c>
      <c r="N226" s="78">
        <v>1.1864656199171901E-2</v>
      </c>
      <c r="O226" s="78">
        <v>1.2171718554523E-2</v>
      </c>
      <c r="P226" s="78">
        <v>1.21979548950224E-2</v>
      </c>
      <c r="Q226" s="78">
        <v>1.25924717187017E-2</v>
      </c>
      <c r="R226" s="78">
        <v>1.42220399779674E-2</v>
      </c>
      <c r="S226" s="78">
        <v>1.6622179274637099E-2</v>
      </c>
      <c r="T226" s="78">
        <v>1.8026309348983399E-2</v>
      </c>
      <c r="U226" s="78">
        <v>1.9841475424335099E-2</v>
      </c>
      <c r="V226" s="78">
        <v>2.1772275741113799E-2</v>
      </c>
      <c r="W226" s="78">
        <v>2.3693358894748499E-2</v>
      </c>
      <c r="X226" s="78">
        <v>2.72100002366727E-2</v>
      </c>
      <c r="Y226" s="78">
        <v>3.1049251395027701E-2</v>
      </c>
      <c r="Z226" s="78">
        <v>3.3779713201123003E-2</v>
      </c>
      <c r="AA226" s="78">
        <v>3.6237663163557199E-2</v>
      </c>
      <c r="AB226" s="78">
        <v>3.7836399313036201E-2</v>
      </c>
      <c r="AC226" s="78">
        <v>3.9232087422140099E-2</v>
      </c>
      <c r="AD226" s="78">
        <v>4.3495027596118403E-2</v>
      </c>
      <c r="AE226" s="78">
        <v>5.1623361254498602E-2</v>
      </c>
      <c r="AF226" s="78">
        <v>7.9186598398456501E-2</v>
      </c>
      <c r="AG226" s="78">
        <v>8.4977742244730994E-2</v>
      </c>
      <c r="AH226" s="78">
        <v>8.5631770669517701E-2</v>
      </c>
      <c r="AI226" s="78">
        <v>0.104248069950216</v>
      </c>
      <c r="AJ226" s="78">
        <v>0.13131864842779001</v>
      </c>
      <c r="AK226" s="78">
        <v>0.18866048370358701</v>
      </c>
      <c r="AL226" s="78">
        <v>0.45941008410909501</v>
      </c>
      <c r="AM226" s="78">
        <v>2.1522354894761202</v>
      </c>
      <c r="AN226" s="78">
        <v>7.2220159060796796</v>
      </c>
      <c r="AO226" s="78">
        <v>7.1713254971370199</v>
      </c>
      <c r="AP226" s="78">
        <v>7.6837247077406099</v>
      </c>
      <c r="AQ226" s="78">
        <v>9.1417398393035807</v>
      </c>
      <c r="AR226" s="78">
        <v>18.171318887354499</v>
      </c>
      <c r="AS226" s="78">
        <v>28.965388773927501</v>
      </c>
      <c r="AT226" s="78">
        <v>40.142057073899601</v>
      </c>
      <c r="AU226" s="78">
        <v>46.3750744098841</v>
      </c>
      <c r="AV226" s="78">
        <v>57.042376698283299</v>
      </c>
      <c r="AW226" s="78">
        <v>62.738813891405698</v>
      </c>
      <c r="AX226" s="78">
        <v>68.948704761827599</v>
      </c>
      <c r="AY226" s="78">
        <v>76.727017975808195</v>
      </c>
      <c r="AZ226" s="78">
        <v>81.657710483795796</v>
      </c>
      <c r="BA226" s="78">
        <v>93.634563441765906</v>
      </c>
      <c r="BB226" s="78">
        <v>93.509433351016199</v>
      </c>
      <c r="BC226" s="78">
        <v>100</v>
      </c>
      <c r="BD226" s="78">
        <v>117.711779641456</v>
      </c>
      <c r="BE226" s="78">
        <v>123.605447410941</v>
      </c>
      <c r="BF226" s="78">
        <v>125.982919135185</v>
      </c>
      <c r="BG226" s="78">
        <v>130.245441255674</v>
      </c>
      <c r="BH226" s="78">
        <v>139.224436408402</v>
      </c>
      <c r="BI226" s="78">
        <v>216.37202126886999</v>
      </c>
      <c r="BJ226" s="78">
        <v>263.96725149282901</v>
      </c>
      <c r="BK226" s="78"/>
      <c r="BL226" s="78">
        <v>294.68223431851402</v>
      </c>
      <c r="BM226" s="78">
        <v>397.496230269416</v>
      </c>
      <c r="BN226" s="78">
        <v>632.49466055257301</v>
      </c>
      <c r="BO226" s="78">
        <v>964.21298274674405</v>
      </c>
      <c r="BP226" s="78"/>
    </row>
    <row r="227" spans="1:68" x14ac:dyDescent="0.25">
      <c r="A227" s="78" t="s">
        <v>1109</v>
      </c>
      <c r="B227" s="78" t="s">
        <v>1110</v>
      </c>
      <c r="C227" s="78" t="s">
        <v>691</v>
      </c>
      <c r="D227" s="78" t="s">
        <v>692</v>
      </c>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v>26.118656799157399</v>
      </c>
      <c r="AK227" s="78">
        <v>28.7027074671545</v>
      </c>
      <c r="AL227" s="78">
        <v>35.386714895504198</v>
      </c>
      <c r="AM227" s="78">
        <v>40.134026830755602</v>
      </c>
      <c r="AN227" s="78">
        <v>44.083654858916802</v>
      </c>
      <c r="AO227" s="78">
        <v>46.629850878651801</v>
      </c>
      <c r="AP227" s="78">
        <v>49.493851654748099</v>
      </c>
      <c r="AQ227" s="78">
        <v>52.792939187316399</v>
      </c>
      <c r="AR227" s="78">
        <v>58.373385997006501</v>
      </c>
      <c r="AS227" s="78">
        <v>65.399078662897097</v>
      </c>
      <c r="AT227" s="78">
        <v>70.192582737402304</v>
      </c>
      <c r="AU227" s="78">
        <v>72.387604634403303</v>
      </c>
      <c r="AV227" s="78">
        <v>78.579743888242106</v>
      </c>
      <c r="AW227" s="78">
        <v>84.511336548589199</v>
      </c>
      <c r="AX227" s="78">
        <v>86.800820444592205</v>
      </c>
      <c r="AY227" s="78">
        <v>90.692388713343306</v>
      </c>
      <c r="AZ227" s="78">
        <v>93.192527301956801</v>
      </c>
      <c r="BA227" s="78">
        <v>97.477687233216898</v>
      </c>
      <c r="BB227" s="78">
        <v>99.052053883252995</v>
      </c>
      <c r="BC227" s="78">
        <v>100</v>
      </c>
      <c r="BD227" s="78">
        <v>103.919285991463</v>
      </c>
      <c r="BE227" s="78">
        <v>107.666722102112</v>
      </c>
      <c r="BF227" s="78">
        <v>109.174566217639</v>
      </c>
      <c r="BG227" s="78">
        <v>109.091413049504</v>
      </c>
      <c r="BH227" s="78">
        <v>108.736626198791</v>
      </c>
      <c r="BI227" s="78">
        <v>108.17118465546901</v>
      </c>
      <c r="BJ227" s="78">
        <v>109.590332058318</v>
      </c>
      <c r="BK227" s="78">
        <v>112.345473695881</v>
      </c>
      <c r="BL227" s="78">
        <v>115.338987748766</v>
      </c>
      <c r="BM227" s="78">
        <v>117.57303619934601</v>
      </c>
      <c r="BN227" s="78">
        <v>121.276123953656</v>
      </c>
      <c r="BO227" s="78">
        <v>136.76811353179201</v>
      </c>
      <c r="BP227" s="78">
        <v>151.17245967071301</v>
      </c>
    </row>
    <row r="228" spans="1:68" x14ac:dyDescent="0.25">
      <c r="A228" s="78" t="s">
        <v>1111</v>
      </c>
      <c r="B228" s="78" t="s">
        <v>1112</v>
      </c>
      <c r="C228" s="78" t="s">
        <v>691</v>
      </c>
      <c r="D228" s="78" t="s">
        <v>692</v>
      </c>
      <c r="E228" s="78"/>
      <c r="F228" s="78"/>
      <c r="G228" s="78"/>
      <c r="H228" s="78"/>
      <c r="I228" s="78"/>
      <c r="J228" s="78"/>
      <c r="K228" s="78"/>
      <c r="L228" s="78"/>
      <c r="M228" s="78"/>
      <c r="N228" s="78"/>
      <c r="O228" s="78"/>
      <c r="P228" s="78"/>
      <c r="Q228" s="78"/>
      <c r="R228" s="78"/>
      <c r="S228" s="78"/>
      <c r="T228" s="78"/>
      <c r="U228" s="78"/>
      <c r="V228" s="78"/>
      <c r="W228" s="78"/>
      <c r="X228" s="78"/>
      <c r="Y228" s="78">
        <v>4.2387712002825201E-4</v>
      </c>
      <c r="Z228" s="78">
        <v>6.0454606453891303E-4</v>
      </c>
      <c r="AA228" s="78">
        <v>7.8659026177548203E-4</v>
      </c>
      <c r="AB228" s="78">
        <v>1.10290567253785E-3</v>
      </c>
      <c r="AC228" s="78">
        <v>1.6948568401536201E-3</v>
      </c>
      <c r="AD228" s="78">
        <v>3.0406813225621302E-3</v>
      </c>
      <c r="AE228" s="78">
        <v>5.9562843773451699E-3</v>
      </c>
      <c r="AF228" s="78">
        <v>1.3822911225886201E-2</v>
      </c>
      <c r="AG228" s="78">
        <v>4.12964605129564E-2</v>
      </c>
      <c r="AH228" s="78">
        <v>0.57048726702864905</v>
      </c>
      <c r="AI228" s="78">
        <v>3.7200535028473101</v>
      </c>
      <c r="AJ228" s="78">
        <v>7.9919001456760697</v>
      </c>
      <c r="AK228" s="78">
        <v>24.769594314218899</v>
      </c>
      <c r="AL228" s="78">
        <v>32.636945216969103</v>
      </c>
      <c r="AM228" s="78">
        <v>39.488033373063203</v>
      </c>
      <c r="AN228" s="78">
        <v>44.804595417825503</v>
      </c>
      <c r="AO228" s="78">
        <v>49.224322606277298</v>
      </c>
      <c r="AP228" s="78">
        <v>53.339318412572297</v>
      </c>
      <c r="AQ228" s="78">
        <v>57.548413013728897</v>
      </c>
      <c r="AR228" s="78">
        <v>61.090855957268303</v>
      </c>
      <c r="AS228" s="78">
        <v>66.535116761576901</v>
      </c>
      <c r="AT228" s="78">
        <v>72.110537235686294</v>
      </c>
      <c r="AU228" s="78">
        <v>77.504966229638498</v>
      </c>
      <c r="AV228" s="78">
        <v>81.801968834150003</v>
      </c>
      <c r="AW228" s="78">
        <v>84.741093894848404</v>
      </c>
      <c r="AX228" s="78">
        <v>86.818522932944902</v>
      </c>
      <c r="AY228" s="78">
        <v>88.952456628261203</v>
      </c>
      <c r="AZ228" s="78">
        <v>92.205888844744607</v>
      </c>
      <c r="BA228" s="78">
        <v>97.4131461616563</v>
      </c>
      <c r="BB228" s="78">
        <v>98.230697920805198</v>
      </c>
      <c r="BC228" s="78">
        <v>100</v>
      </c>
      <c r="BD228" s="78">
        <v>101.802851719419</v>
      </c>
      <c r="BE228" s="78">
        <v>104.447093100252</v>
      </c>
      <c r="BF228" s="78">
        <v>106.294971968393</v>
      </c>
      <c r="BG228" s="78">
        <v>106.50686443296701</v>
      </c>
      <c r="BH228" s="78">
        <v>105.94711517238299</v>
      </c>
      <c r="BI228" s="78">
        <v>105.888844744625</v>
      </c>
      <c r="BJ228" s="78">
        <v>107.40211009579301</v>
      </c>
      <c r="BK228" s="78">
        <v>109.269412439853</v>
      </c>
      <c r="BL228" s="78">
        <v>111.051074912815</v>
      </c>
      <c r="BM228" s="78">
        <v>110.99015582925</v>
      </c>
      <c r="BN228" s="78">
        <v>113.11790932768299</v>
      </c>
      <c r="BO228" s="78">
        <v>123.110404802896</v>
      </c>
      <c r="BP228" s="78">
        <v>132.27828543680701</v>
      </c>
    </row>
    <row r="229" spans="1:68" x14ac:dyDescent="0.25">
      <c r="A229" s="78" t="s">
        <v>1113</v>
      </c>
      <c r="B229" s="78" t="s">
        <v>1114</v>
      </c>
      <c r="C229" s="78" t="s">
        <v>691</v>
      </c>
      <c r="D229" s="78" t="s">
        <v>692</v>
      </c>
      <c r="E229" s="78">
        <v>9.2109133888204706</v>
      </c>
      <c r="F229" s="78">
        <v>9.4096824229199907</v>
      </c>
      <c r="G229" s="78">
        <v>9.8581664448834196</v>
      </c>
      <c r="H229" s="78">
        <v>10.141267387944399</v>
      </c>
      <c r="I229" s="78">
        <v>10.484819281091699</v>
      </c>
      <c r="J229" s="78">
        <v>11.0103992924977</v>
      </c>
      <c r="K229" s="78">
        <v>11.715594255125101</v>
      </c>
      <c r="L229" s="78">
        <v>12.2181134924112</v>
      </c>
      <c r="M229" s="78">
        <v>12.4555268109773</v>
      </c>
      <c r="N229" s="78">
        <v>12.7908289183314</v>
      </c>
      <c r="O229" s="78">
        <v>13.68827937526</v>
      </c>
      <c r="P229" s="78">
        <v>14.7006017075933</v>
      </c>
      <c r="Q229" s="78">
        <v>15.5837241402111</v>
      </c>
      <c r="R229" s="78">
        <v>16.6306383224921</v>
      </c>
      <c r="S229" s="78">
        <v>18.279021508842401</v>
      </c>
      <c r="T229" s="78">
        <v>20.066686778687899</v>
      </c>
      <c r="U229" s="78">
        <v>22.123366587045101</v>
      </c>
      <c r="V229" s="78">
        <v>24.654679075508199</v>
      </c>
      <c r="W229" s="78">
        <v>27.118979686858601</v>
      </c>
      <c r="X229" s="78">
        <v>29.0742001338965</v>
      </c>
      <c r="Y229" s="78">
        <v>33.059203729264603</v>
      </c>
      <c r="Z229" s="78">
        <v>37.0606694272482</v>
      </c>
      <c r="AA229" s="78">
        <v>40.243878920122199</v>
      </c>
      <c r="AB229" s="78">
        <v>43.814726958649103</v>
      </c>
      <c r="AC229" s="78">
        <v>47.339289797695102</v>
      </c>
      <c r="AD229" s="78">
        <v>50.829414244270097</v>
      </c>
      <c r="AE229" s="78">
        <v>52.982502541553401</v>
      </c>
      <c r="AF229" s="78">
        <v>55.201712552380798</v>
      </c>
      <c r="AG229" s="78">
        <v>58.417156380607601</v>
      </c>
      <c r="AH229" s="78">
        <v>62.181134924111603</v>
      </c>
      <c r="AI229" s="78">
        <v>68.627175473252393</v>
      </c>
      <c r="AJ229" s="78">
        <v>75.108756443423204</v>
      </c>
      <c r="AK229" s="78">
        <v>76.892114159138401</v>
      </c>
      <c r="AL229" s="78">
        <v>80.527706375510704</v>
      </c>
      <c r="AM229" s="78">
        <v>82.265605413164295</v>
      </c>
      <c r="AN229" s="78">
        <v>84.285348254799999</v>
      </c>
      <c r="AO229" s="78">
        <v>84.734700399760897</v>
      </c>
      <c r="AP229" s="78">
        <v>85.292602357790102</v>
      </c>
      <c r="AQ229" s="78">
        <v>85.064757953202403</v>
      </c>
      <c r="AR229" s="78">
        <v>85.457906641650695</v>
      </c>
      <c r="AS229" s="78">
        <v>86.226296054462196</v>
      </c>
      <c r="AT229" s="78">
        <v>88.300864816911698</v>
      </c>
      <c r="AU229" s="78">
        <v>90.206823209823398</v>
      </c>
      <c r="AV229" s="78">
        <v>91.943895726057704</v>
      </c>
      <c r="AW229" s="78">
        <v>92.287453129347895</v>
      </c>
      <c r="AX229" s="78">
        <v>92.705672967515</v>
      </c>
      <c r="AY229" s="78">
        <v>93.966669146230899</v>
      </c>
      <c r="AZ229" s="78">
        <v>96.045370515776895</v>
      </c>
      <c r="BA229" s="78">
        <v>99.346497064471393</v>
      </c>
      <c r="BB229" s="78">
        <v>98.855267834265902</v>
      </c>
      <c r="BC229" s="78">
        <v>100</v>
      </c>
      <c r="BD229" s="78">
        <v>102.96115073822099</v>
      </c>
      <c r="BE229" s="78">
        <v>103.875834442249</v>
      </c>
      <c r="BF229" s="78">
        <v>103.829824749908</v>
      </c>
      <c r="BG229" s="78">
        <v>103.64330641628599</v>
      </c>
      <c r="BH229" s="78">
        <v>103.594817159687</v>
      </c>
      <c r="BI229" s="78">
        <v>104.614469083966</v>
      </c>
      <c r="BJ229" s="78">
        <v>106.491774734342</v>
      </c>
      <c r="BK229" s="78">
        <v>108.57212914672699</v>
      </c>
      <c r="BL229" s="78">
        <v>110.509219846432</v>
      </c>
      <c r="BM229" s="78">
        <v>111.058856590269</v>
      </c>
      <c r="BN229" s="78">
        <v>113.46127884904099</v>
      </c>
      <c r="BO229" s="78">
        <v>122.95718343540899</v>
      </c>
      <c r="BP229" s="78">
        <v>133.468331831819</v>
      </c>
    </row>
    <row r="230" spans="1:68" x14ac:dyDescent="0.25">
      <c r="A230" s="78" t="s">
        <v>1115</v>
      </c>
      <c r="B230" s="78" t="s">
        <v>1116</v>
      </c>
      <c r="C230" s="78" t="s">
        <v>691</v>
      </c>
      <c r="D230" s="78" t="s">
        <v>692</v>
      </c>
      <c r="E230" s="78"/>
      <c r="F230" s="78"/>
      <c r="G230" s="78"/>
      <c r="H230" s="78"/>
      <c r="I230" s="78"/>
      <c r="J230" s="78">
        <v>1.5581335887572001</v>
      </c>
      <c r="K230" s="78">
        <v>1.60764361087921</v>
      </c>
      <c r="L230" s="78">
        <v>1.63696772866907</v>
      </c>
      <c r="M230" s="78">
        <v>1.6934337043028</v>
      </c>
      <c r="N230" s="78">
        <v>1.7477174200273899</v>
      </c>
      <c r="O230" s="78">
        <v>1.78004214520767</v>
      </c>
      <c r="P230" s="78">
        <v>1.82136869260149</v>
      </c>
      <c r="Q230" s="78">
        <v>1.86446832618021</v>
      </c>
      <c r="R230" s="78">
        <v>2.0796937116085901</v>
      </c>
      <c r="S230" s="78">
        <v>2.4808203646619198</v>
      </c>
      <c r="T230" s="78">
        <v>2.7796535835897598</v>
      </c>
      <c r="U230" s="78">
        <v>2.9611903313704602</v>
      </c>
      <c r="V230" s="78">
        <v>3.5772695873597899</v>
      </c>
      <c r="W230" s="78">
        <v>3.8819676298420598</v>
      </c>
      <c r="X230" s="78">
        <v>4.5206878325909896</v>
      </c>
      <c r="Y230" s="78">
        <v>5.36533203530111</v>
      </c>
      <c r="Z230" s="78">
        <v>6.4413921180193396</v>
      </c>
      <c r="AA230" s="78">
        <v>7.1375405044938303</v>
      </c>
      <c r="AB230" s="78">
        <v>7.9631772427267</v>
      </c>
      <c r="AC230" s="78">
        <v>8.9935906098955698</v>
      </c>
      <c r="AD230" s="78">
        <v>10.8339160905682</v>
      </c>
      <c r="AE230" s="78">
        <v>12.322179305373</v>
      </c>
      <c r="AF230" s="78">
        <v>13.9704708228449</v>
      </c>
      <c r="AG230" s="78">
        <v>16.819687195355399</v>
      </c>
      <c r="AH230" s="78">
        <v>18.088928505374302</v>
      </c>
      <c r="AI230" s="78">
        <v>20.457183467362398</v>
      </c>
      <c r="AJ230" s="78">
        <v>22.2848909537894</v>
      </c>
      <c r="AK230" s="78">
        <v>23.969248833437899</v>
      </c>
      <c r="AL230" s="78">
        <v>26.851173219715999</v>
      </c>
      <c r="AM230" s="78">
        <v>30.5483984945473</v>
      </c>
      <c r="AN230" s="78">
        <v>34.3023663220618</v>
      </c>
      <c r="AO230" s="78">
        <v>36.506366526282903</v>
      </c>
      <c r="AP230" s="78">
        <v>39.1075645992861</v>
      </c>
      <c r="AQ230" s="78">
        <v>42.279174649262501</v>
      </c>
      <c r="AR230" s="78">
        <v>44.853494670994699</v>
      </c>
      <c r="AS230" s="78">
        <v>50.329449649937203</v>
      </c>
      <c r="AT230" s="78">
        <v>53.320080821355603</v>
      </c>
      <c r="AU230" s="78">
        <v>59.729002824415602</v>
      </c>
      <c r="AV230" s="78">
        <v>64.083247130315499</v>
      </c>
      <c r="AW230" s="78">
        <v>66.291129719719905</v>
      </c>
      <c r="AX230" s="78">
        <v>69.455870934371603</v>
      </c>
      <c r="AY230" s="78">
        <v>73.140254473595604</v>
      </c>
      <c r="AZ230" s="78">
        <v>79.047125992087501</v>
      </c>
      <c r="BA230" s="78">
        <v>89.052484493022803</v>
      </c>
      <c r="BB230" s="78">
        <v>95.685322129667099</v>
      </c>
      <c r="BC230" s="78">
        <v>100</v>
      </c>
      <c r="BD230" s="78">
        <v>106.107427145903</v>
      </c>
      <c r="BE230" s="78">
        <v>115.593056390898</v>
      </c>
      <c r="BF230" s="78">
        <v>122.090896076668</v>
      </c>
      <c r="BG230" s="78">
        <v>129.02730580635401</v>
      </c>
      <c r="BH230" s="78">
        <v>135.41576375250199</v>
      </c>
      <c r="BI230" s="78">
        <v>146.042210573467</v>
      </c>
      <c r="BJ230" s="78">
        <v>155.12804457407799</v>
      </c>
      <c r="BK230" s="78">
        <v>162.597555594944</v>
      </c>
      <c r="BL230" s="78">
        <v>166.821866435163</v>
      </c>
      <c r="BM230" s="78"/>
      <c r="BN230" s="78"/>
      <c r="BO230" s="78"/>
      <c r="BP230" s="78"/>
    </row>
    <row r="231" spans="1:68" x14ac:dyDescent="0.25">
      <c r="A231" s="78" t="s">
        <v>1117</v>
      </c>
      <c r="B231" s="78" t="s">
        <v>1118</v>
      </c>
      <c r="C231" s="78" t="s">
        <v>691</v>
      </c>
      <c r="D231" s="78" t="s">
        <v>692</v>
      </c>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v>89.283817196304696</v>
      </c>
      <c r="AY231" s="78">
        <v>89.552205424349694</v>
      </c>
      <c r="AZ231" s="78">
        <v>93.521568908118397</v>
      </c>
      <c r="BA231" s="78">
        <v>93.130715131616498</v>
      </c>
      <c r="BB231" s="78">
        <v>98.679104969990803</v>
      </c>
      <c r="BC231" s="78">
        <v>100</v>
      </c>
      <c r="BD231" s="78">
        <v>104.58475435650401</v>
      </c>
      <c r="BE231" s="78">
        <v>108.78402490034701</v>
      </c>
      <c r="BF231" s="78">
        <v>111.534789845625</v>
      </c>
      <c r="BG231" s="78">
        <v>113.639177693628</v>
      </c>
      <c r="BH231" s="78">
        <v>114.01421785026</v>
      </c>
      <c r="BI231" s="78">
        <v>114.14155195667399</v>
      </c>
      <c r="BJ231" s="78">
        <v>116.643546314853</v>
      </c>
      <c r="BK231" s="78"/>
      <c r="BL231" s="78"/>
      <c r="BM231" s="78"/>
      <c r="BN231" s="78"/>
      <c r="BO231" s="78"/>
      <c r="BP231" s="78"/>
    </row>
    <row r="232" spans="1:68" x14ac:dyDescent="0.25">
      <c r="A232" s="78" t="s">
        <v>1119</v>
      </c>
      <c r="B232" s="78" t="s">
        <v>1120</v>
      </c>
      <c r="C232" s="78" t="s">
        <v>691</v>
      </c>
      <c r="D232" s="78" t="s">
        <v>692</v>
      </c>
      <c r="E232" s="78"/>
      <c r="F232" s="78"/>
      <c r="G232" s="78"/>
      <c r="H232" s="78"/>
      <c r="I232" s="78"/>
      <c r="J232" s="78"/>
      <c r="K232" s="78"/>
      <c r="L232" s="78"/>
      <c r="M232" s="78"/>
      <c r="N232" s="78"/>
      <c r="O232" s="78">
        <v>6.1268710989519199</v>
      </c>
      <c r="P232" s="78">
        <v>7.02135095444405</v>
      </c>
      <c r="Q232" s="78">
        <v>8.4916917058448806</v>
      </c>
      <c r="R232" s="78">
        <v>10.0405589430465</v>
      </c>
      <c r="S232" s="78">
        <v>12.4929320685729</v>
      </c>
      <c r="T232" s="78">
        <v>14.818038130850701</v>
      </c>
      <c r="U232" s="78">
        <v>17.021292749725799</v>
      </c>
      <c r="V232" s="78">
        <v>19.5675366169081</v>
      </c>
      <c r="W232" s="78">
        <v>21.873228616370898</v>
      </c>
      <c r="X232" s="78">
        <v>24.603044562077599</v>
      </c>
      <c r="Y232" s="78">
        <v>27.942056721712301</v>
      </c>
      <c r="Z232" s="78">
        <v>30.8974294935249</v>
      </c>
      <c r="AA232" s="78">
        <v>30.615445130481</v>
      </c>
      <c r="AB232" s="78">
        <v>32.4684852304838</v>
      </c>
      <c r="AC232" s="78">
        <v>33.797840084833602</v>
      </c>
      <c r="AD232" s="78">
        <v>34.079824447877499</v>
      </c>
      <c r="AE232" s="78">
        <v>34.160391408747202</v>
      </c>
      <c r="AF232" s="78">
        <v>35.046627978313701</v>
      </c>
      <c r="AG232" s="78">
        <v>35.691163665271198</v>
      </c>
      <c r="AH232" s="78">
        <v>36.255132391358998</v>
      </c>
      <c r="AI232" s="78">
        <v>37.665054206578603</v>
      </c>
      <c r="AJ232" s="78">
        <v>38.4133665418086</v>
      </c>
      <c r="AK232" s="78">
        <v>39.660553767191999</v>
      </c>
      <c r="AL232" s="78">
        <v>40.209316146360699</v>
      </c>
      <c r="AM232" s="78">
        <v>40.907740992575398</v>
      </c>
      <c r="AN232" s="78">
        <v>40.807966014544697</v>
      </c>
      <c r="AO232" s="78">
        <v>40.358978613406698</v>
      </c>
      <c r="AP232" s="78">
        <v>40.6084160584834</v>
      </c>
      <c r="AQ232" s="78">
        <v>41.656053327805402</v>
      </c>
      <c r="AR232" s="78">
        <v>44.3000902456182</v>
      </c>
      <c r="AS232" s="78">
        <v>47.077160467471899</v>
      </c>
      <c r="AT232" s="78">
        <v>49.887489015335902</v>
      </c>
      <c r="AU232" s="78">
        <v>49.974792121112699</v>
      </c>
      <c r="AV232" s="78">
        <v>51.625236549369902</v>
      </c>
      <c r="AW232" s="78">
        <v>53.616578819232203</v>
      </c>
      <c r="AX232" s="78">
        <v>54.102981837131701</v>
      </c>
      <c r="AY232" s="78">
        <v>53.9117464625729</v>
      </c>
      <c r="AZ232" s="78">
        <v>56.780174991959498</v>
      </c>
      <c r="BA232" s="78">
        <v>77.768829432973305</v>
      </c>
      <c r="BB232" s="78">
        <v>102.463886316225</v>
      </c>
      <c r="BC232" s="78">
        <v>100</v>
      </c>
      <c r="BD232" s="78">
        <v>102.559267722309</v>
      </c>
      <c r="BE232" s="78">
        <v>109.851611765871</v>
      </c>
      <c r="BF232" s="78">
        <v>114.618005623296</v>
      </c>
      <c r="BG232" s="78">
        <v>116.206421540945</v>
      </c>
      <c r="BH232" s="78">
        <v>120.90342014867301</v>
      </c>
      <c r="BI232" s="78">
        <v>119.675667780057</v>
      </c>
      <c r="BJ232" s="78">
        <v>123.09455717778501</v>
      </c>
      <c r="BK232" s="78">
        <v>127.652648173983</v>
      </c>
      <c r="BL232" s="78">
        <v>129.95945153031599</v>
      </c>
      <c r="BM232" s="78">
        <v>131.522427900042</v>
      </c>
      <c r="BN232" s="78">
        <v>144.370984575085</v>
      </c>
      <c r="BO232" s="78">
        <v>148.16221907785899</v>
      </c>
      <c r="BP232" s="78">
        <v>146.62829431351801</v>
      </c>
    </row>
    <row r="233" spans="1:68" x14ac:dyDescent="0.25">
      <c r="A233" s="78" t="s">
        <v>1121</v>
      </c>
      <c r="B233" s="78" t="s">
        <v>1122</v>
      </c>
      <c r="C233" s="78" t="s">
        <v>691</v>
      </c>
      <c r="D233" s="78" t="s">
        <v>692</v>
      </c>
      <c r="E233" s="78">
        <v>1.4534473315582199</v>
      </c>
      <c r="F233" s="78">
        <v>1.48191877880353</v>
      </c>
      <c r="G233" s="78">
        <v>1.4249219026957101</v>
      </c>
      <c r="H233" s="78">
        <v>1.45223290583071</v>
      </c>
      <c r="I233" s="78">
        <v>1.53060361047898</v>
      </c>
      <c r="J233" s="78">
        <v>1.47123186453332</v>
      </c>
      <c r="K233" s="78">
        <v>1.5270413057222401</v>
      </c>
      <c r="L233" s="78">
        <v>1.6255984039920099</v>
      </c>
      <c r="M233" s="78">
        <v>1.6719083658296201</v>
      </c>
      <c r="N233" s="78">
        <v>1.63866018810006</v>
      </c>
      <c r="O233" s="78">
        <v>1.7146560229104899</v>
      </c>
      <c r="P233" s="78">
        <v>1.8108382513424499</v>
      </c>
      <c r="Q233" s="78">
        <v>1.84883616874768</v>
      </c>
      <c r="R233" s="78">
        <v>2.2252530380431299</v>
      </c>
      <c r="S233" s="78">
        <v>2.5707965994468398</v>
      </c>
      <c r="T233" s="78">
        <v>2.8655376108483899</v>
      </c>
      <c r="U233" s="78">
        <v>3.1930276235167798</v>
      </c>
      <c r="V233" s="78">
        <v>3.5750993049632198</v>
      </c>
      <c r="W233" s="78">
        <v>3.7470315616141301</v>
      </c>
      <c r="X233" s="78">
        <v>3.9175992765455798</v>
      </c>
      <c r="Y233" s="78">
        <v>4.6735553891217796</v>
      </c>
      <c r="Z233" s="78">
        <v>5.5332166723762999</v>
      </c>
      <c r="AA233" s="78">
        <v>6.32465086965823</v>
      </c>
      <c r="AB233" s="78">
        <v>6.7121807179824904</v>
      </c>
      <c r="AC233" s="78">
        <v>7.33168265861352</v>
      </c>
      <c r="AD233" s="78">
        <v>8.5966128325451692</v>
      </c>
      <c r="AE233" s="78">
        <v>11.696851619139199</v>
      </c>
      <c r="AF233" s="78">
        <v>18.654649846622998</v>
      </c>
      <c r="AG233" s="78">
        <v>25.102109471031898</v>
      </c>
      <c r="AH233" s="78">
        <v>27.9635534567219</v>
      </c>
      <c r="AI233" s="78">
        <v>33.387606791542098</v>
      </c>
      <c r="AJ233" s="78">
        <v>36.392491402780898</v>
      </c>
      <c r="AK233" s="78">
        <v>40.399004217765899</v>
      </c>
      <c r="AL233" s="78">
        <v>45.741021304412698</v>
      </c>
      <c r="AM233" s="78">
        <v>52.752418730636499</v>
      </c>
      <c r="AN233" s="78">
        <v>56.962039486936597</v>
      </c>
      <c r="AO233" s="78">
        <v>61.661345142846201</v>
      </c>
      <c r="AP233" s="78">
        <v>62.824346779418498</v>
      </c>
      <c r="AQ233" s="78">
        <v>62.323532677545302</v>
      </c>
      <c r="AR233" s="78">
        <v>60.015253689488098</v>
      </c>
      <c r="AS233" s="78">
        <v>57.706974701430902</v>
      </c>
      <c r="AT233" s="78">
        <v>59.438183942473799</v>
      </c>
      <c r="AU233" s="78">
        <v>59.360613972655898</v>
      </c>
      <c r="AV233" s="78">
        <v>62.8016475245647</v>
      </c>
      <c r="AW233" s="78">
        <v>65.585733340258301</v>
      </c>
      <c r="AX233" s="78">
        <v>70.334369586372603</v>
      </c>
      <c r="AY233" s="78">
        <v>77.384764539745206</v>
      </c>
      <c r="AZ233" s="78">
        <v>80.4087363386503</v>
      </c>
      <c r="BA233" s="78">
        <v>93.069353382047893</v>
      </c>
      <c r="BB233" s="78">
        <v>95.787813442775303</v>
      </c>
      <c r="BC233" s="78">
        <v>100</v>
      </c>
      <c r="BD233" s="78">
        <v>104.753163888857</v>
      </c>
      <c r="BE233" s="78">
        <v>143.199979473582</v>
      </c>
      <c r="BF233" s="78"/>
      <c r="BG233" s="78"/>
      <c r="BH233" s="78"/>
      <c r="BI233" s="78"/>
      <c r="BJ233" s="78"/>
      <c r="BK233" s="78"/>
      <c r="BL233" s="78"/>
      <c r="BM233" s="78"/>
      <c r="BN233" s="78"/>
      <c r="BO233" s="78"/>
      <c r="BP233" s="78"/>
    </row>
    <row r="234" spans="1:68" x14ac:dyDescent="0.25">
      <c r="A234" s="78" t="s">
        <v>1123</v>
      </c>
      <c r="B234" s="78" t="s">
        <v>1124</v>
      </c>
      <c r="C234" s="78" t="s">
        <v>691</v>
      </c>
      <c r="D234" s="78" t="s">
        <v>692</v>
      </c>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row>
    <row r="235" spans="1:68" x14ac:dyDescent="0.25">
      <c r="A235" s="78" t="s">
        <v>1125</v>
      </c>
      <c r="B235" s="78" t="s">
        <v>1126</v>
      </c>
      <c r="C235" s="78" t="s">
        <v>691</v>
      </c>
      <c r="D235" s="78" t="s">
        <v>692</v>
      </c>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v>38.131979133221598</v>
      </c>
      <c r="AC235" s="78">
        <v>45.854046592099898</v>
      </c>
      <c r="AD235" s="78">
        <v>48.217363697877602</v>
      </c>
      <c r="AE235" s="78">
        <v>41.921828612486799</v>
      </c>
      <c r="AF235" s="78">
        <v>39.4170652677156</v>
      </c>
      <c r="AG235" s="78">
        <v>45.517848502202099</v>
      </c>
      <c r="AH235" s="78">
        <v>43.838633801922299</v>
      </c>
      <c r="AI235" s="78">
        <v>43.514980943208101</v>
      </c>
      <c r="AJ235" s="78">
        <v>44.904794923445898</v>
      </c>
      <c r="AK235" s="78">
        <v>43.506894884213203</v>
      </c>
      <c r="AL235" s="78">
        <v>39.8401627213224</v>
      </c>
      <c r="AM235" s="78">
        <v>56.4634296756252</v>
      </c>
      <c r="AN235" s="78">
        <v>61.675188304159903</v>
      </c>
      <c r="AO235" s="78">
        <v>68.663529205784101</v>
      </c>
      <c r="AP235" s="78">
        <v>72.489637594790906</v>
      </c>
      <c r="AQ235" s="78">
        <v>75.576863324514704</v>
      </c>
      <c r="AR235" s="78">
        <v>69.511774978298604</v>
      </c>
      <c r="AS235" s="78">
        <v>72.168932700922596</v>
      </c>
      <c r="AT235" s="78">
        <v>81.140459509169503</v>
      </c>
      <c r="AU235" s="78">
        <v>85.353125263669497</v>
      </c>
      <c r="AV235" s="78">
        <v>83.857252497697104</v>
      </c>
      <c r="AW235" s="78">
        <v>79.366360955215299</v>
      </c>
      <c r="AX235" s="78">
        <v>85.628657057228494</v>
      </c>
      <c r="AY235" s="78">
        <v>92.510023387623804</v>
      </c>
      <c r="AZ235" s="78">
        <v>84.2074896660977</v>
      </c>
      <c r="BA235" s="78">
        <v>92.878314517434504</v>
      </c>
      <c r="BB235" s="78">
        <v>102.121957167557</v>
      </c>
      <c r="BC235" s="78">
        <v>100</v>
      </c>
      <c r="BD235" s="78">
        <v>102.02924053678301</v>
      </c>
      <c r="BE235" s="78">
        <v>109.698394557456</v>
      </c>
      <c r="BF235" s="78">
        <v>109.942661688985</v>
      </c>
      <c r="BG235" s="78">
        <v>111.791867727178</v>
      </c>
      <c r="BH235" s="78">
        <v>116.68513936273099</v>
      </c>
      <c r="BI235" s="78">
        <v>115.760479031492</v>
      </c>
      <c r="BJ235" s="78">
        <v>113.981125136835</v>
      </c>
      <c r="BK235" s="78">
        <v>118.853387371944</v>
      </c>
      <c r="BL235" s="78">
        <v>117.698204738763</v>
      </c>
      <c r="BM235" s="78">
        <v>122.952422521941</v>
      </c>
      <c r="BN235" s="78">
        <v>122.00219164626</v>
      </c>
      <c r="BO235" s="78">
        <v>129.06371129102601</v>
      </c>
      <c r="BP235" s="78">
        <v>143.04951559744899</v>
      </c>
    </row>
    <row r="236" spans="1:68" x14ac:dyDescent="0.25">
      <c r="A236" s="78" t="s">
        <v>1127</v>
      </c>
      <c r="B236" s="78" t="s">
        <v>1128</v>
      </c>
      <c r="C236" s="78" t="s">
        <v>691</v>
      </c>
      <c r="D236" s="78" t="s">
        <v>692</v>
      </c>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c r="BD236" s="78"/>
      <c r="BE236" s="78"/>
      <c r="BF236" s="78"/>
      <c r="BG236" s="78"/>
      <c r="BH236" s="78"/>
      <c r="BI236" s="78"/>
      <c r="BJ236" s="78"/>
      <c r="BK236" s="78"/>
      <c r="BL236" s="78"/>
      <c r="BM236" s="78"/>
      <c r="BN236" s="78"/>
      <c r="BO236" s="78"/>
      <c r="BP236" s="78"/>
    </row>
    <row r="237" spans="1:68" x14ac:dyDescent="0.25">
      <c r="A237" s="78" t="s">
        <v>1129</v>
      </c>
      <c r="B237" s="78" t="s">
        <v>1130</v>
      </c>
      <c r="C237" s="78" t="s">
        <v>691</v>
      </c>
      <c r="D237" s="78" t="s">
        <v>692</v>
      </c>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c r="BD237" s="78"/>
      <c r="BE237" s="78"/>
      <c r="BF237" s="78"/>
      <c r="BG237" s="78"/>
      <c r="BH237" s="78"/>
      <c r="BI237" s="78"/>
      <c r="BJ237" s="78"/>
      <c r="BK237" s="78"/>
      <c r="BL237" s="78"/>
      <c r="BM237" s="78"/>
      <c r="BN237" s="78"/>
      <c r="BO237" s="78"/>
      <c r="BP237" s="78"/>
    </row>
    <row r="238" spans="1:68" x14ac:dyDescent="0.25">
      <c r="A238" s="78" t="s">
        <v>1131</v>
      </c>
      <c r="B238" s="78" t="s">
        <v>1132</v>
      </c>
      <c r="C238" s="78" t="s">
        <v>691</v>
      </c>
      <c r="D238" s="78" t="s">
        <v>692</v>
      </c>
      <c r="E238" s="78"/>
      <c r="F238" s="78"/>
      <c r="G238" s="78"/>
      <c r="H238" s="78"/>
      <c r="I238" s="78"/>
      <c r="J238" s="78"/>
      <c r="K238" s="78">
        <v>9.5750431790968307</v>
      </c>
      <c r="L238" s="78">
        <v>9.3530131922426598</v>
      </c>
      <c r="M238" s="78">
        <v>9.3807669406803793</v>
      </c>
      <c r="N238" s="78">
        <v>9.9450931570329395</v>
      </c>
      <c r="O238" s="78">
        <v>10.390695005425799</v>
      </c>
      <c r="P238" s="78">
        <v>11.0652652776743</v>
      </c>
      <c r="Q238" s="78">
        <v>11.920234914236101</v>
      </c>
      <c r="R238" s="78">
        <v>12.3511889510409</v>
      </c>
      <c r="S238" s="78">
        <v>13.936085080217801</v>
      </c>
      <c r="T238" s="78">
        <v>16.446280527031401</v>
      </c>
      <c r="U238" s="78">
        <v>18.360747771554301</v>
      </c>
      <c r="V238" s="78">
        <v>22.484023360167502</v>
      </c>
      <c r="W238" s="78">
        <v>22.5835765660444</v>
      </c>
      <c r="X238" s="78">
        <v>24.286209135048399</v>
      </c>
      <c r="Y238" s="78">
        <v>27.2750782155987</v>
      </c>
      <c r="Z238" s="78">
        <v>32.652769656345598</v>
      </c>
      <c r="AA238" s="78">
        <v>36.286916251700902</v>
      </c>
      <c r="AB238" s="78">
        <v>39.681726030187299</v>
      </c>
      <c r="AC238" s="78">
        <v>38.2822988873016</v>
      </c>
      <c r="AD238" s="78">
        <v>37.5876993504071</v>
      </c>
      <c r="AE238" s="78">
        <v>39.138047335079001</v>
      </c>
      <c r="AF238" s="78">
        <v>39.159185344546003</v>
      </c>
      <c r="AG238" s="78">
        <v>39.100089834208099</v>
      </c>
      <c r="AH238" s="78">
        <v>38.771882461408502</v>
      </c>
      <c r="AI238" s="78">
        <v>39.165549476428403</v>
      </c>
      <c r="AJ238" s="78">
        <v>39.3171521894877</v>
      </c>
      <c r="AK238" s="78">
        <v>39.865149402659199</v>
      </c>
      <c r="AL238" s="78">
        <v>39.463754513210603</v>
      </c>
      <c r="AM238" s="78">
        <v>54.918852892506997</v>
      </c>
      <c r="AN238" s="78">
        <v>63.943944478624601</v>
      </c>
      <c r="AO238" s="78">
        <v>66.9413168760601</v>
      </c>
      <c r="AP238" s="78">
        <v>72.464527839431199</v>
      </c>
      <c r="AQ238" s="78">
        <v>73.171302192123903</v>
      </c>
      <c r="AR238" s="78">
        <v>73.132365089853806</v>
      </c>
      <c r="AS238" s="78">
        <v>74.494532876779701</v>
      </c>
      <c r="AT238" s="78">
        <v>77.414414133607593</v>
      </c>
      <c r="AU238" s="78">
        <v>79.783154757272897</v>
      </c>
      <c r="AV238" s="78">
        <v>79.041170712689507</v>
      </c>
      <c r="AW238" s="78">
        <v>79.351864703998899</v>
      </c>
      <c r="AX238" s="78">
        <v>84.7342452917256</v>
      </c>
      <c r="AY238" s="78">
        <v>86.622952803310596</v>
      </c>
      <c r="AZ238" s="78">
        <v>87.442122915133197</v>
      </c>
      <c r="BA238" s="78">
        <v>95.045065227753696</v>
      </c>
      <c r="BB238" s="78">
        <v>98.574664397059706</v>
      </c>
      <c r="BC238" s="78">
        <v>100</v>
      </c>
      <c r="BD238" s="78">
        <v>103.563514729039</v>
      </c>
      <c r="BE238" s="78">
        <v>106.23253472051699</v>
      </c>
      <c r="BF238" s="78">
        <v>108.171697841756</v>
      </c>
      <c r="BG238" s="78">
        <v>108.378170652492</v>
      </c>
      <c r="BH238" s="78">
        <v>111.17975059929501</v>
      </c>
      <c r="BI238" s="78">
        <v>112.608909002895</v>
      </c>
      <c r="BJ238" s="78">
        <v>111.50321353386801</v>
      </c>
      <c r="BK238" s="78">
        <v>112.53769064810299</v>
      </c>
      <c r="BL238" s="78">
        <v>113.296929295441</v>
      </c>
      <c r="BM238" s="78">
        <v>115.22216660461299</v>
      </c>
      <c r="BN238" s="78">
        <v>120.045614301505</v>
      </c>
      <c r="BO238" s="78">
        <v>129.61033699397299</v>
      </c>
      <c r="BP238" s="78"/>
    </row>
    <row r="239" spans="1:68" x14ac:dyDescent="0.25">
      <c r="A239" s="78" t="s">
        <v>1133</v>
      </c>
      <c r="B239" s="78" t="s">
        <v>1134</v>
      </c>
      <c r="C239" s="78" t="s">
        <v>691</v>
      </c>
      <c r="D239" s="78" t="s">
        <v>692</v>
      </c>
      <c r="E239" s="78">
        <v>10.211210223879901</v>
      </c>
      <c r="F239" s="78">
        <v>10.9655113098776</v>
      </c>
      <c r="G239" s="78">
        <v>11.370807415786899</v>
      </c>
      <c r="H239" s="78">
        <v>11.370807415786899</v>
      </c>
      <c r="I239" s="78">
        <v>11.280741614473699</v>
      </c>
      <c r="J239" s="78">
        <v>11.2995053230525</v>
      </c>
      <c r="K239" s="78">
        <v>11.7554634421535</v>
      </c>
      <c r="L239" s="78">
        <v>12.262083574530701</v>
      </c>
      <c r="M239" s="78">
        <v>12.4816189652408</v>
      </c>
      <c r="N239" s="78">
        <v>12.787467415524</v>
      </c>
      <c r="O239" s="78">
        <v>12.7762091903975</v>
      </c>
      <c r="P239" s="78">
        <v>12.838129428772101</v>
      </c>
      <c r="Q239" s="78">
        <v>13.459208183670199</v>
      </c>
      <c r="R239" s="78">
        <v>15.5466707661794</v>
      </c>
      <c r="S239" s="78">
        <v>19.326619865031901</v>
      </c>
      <c r="T239" s="78">
        <v>20.3567474675699</v>
      </c>
      <c r="U239" s="78">
        <v>21.201411121048501</v>
      </c>
      <c r="V239" s="78">
        <v>22.812986962195701</v>
      </c>
      <c r="W239" s="78">
        <v>24.6207085472419</v>
      </c>
      <c r="X239" s="78">
        <v>27.057510175486001</v>
      </c>
      <c r="Y239" s="78">
        <v>32.3887868343636</v>
      </c>
      <c r="Z239" s="78">
        <v>36.490176666986997</v>
      </c>
      <c r="AA239" s="78">
        <v>38.409224214711102</v>
      </c>
      <c r="AB239" s="78">
        <v>39.8405580210068</v>
      </c>
      <c r="AC239" s="78">
        <v>40.185138381945002</v>
      </c>
      <c r="AD239" s="78">
        <v>41.162332943539397</v>
      </c>
      <c r="AE239" s="78">
        <v>41.9204097372536</v>
      </c>
      <c r="AF239" s="78">
        <v>42.954360348221698</v>
      </c>
      <c r="AG239" s="78">
        <v>44.613571632714198</v>
      </c>
      <c r="AH239" s="78">
        <v>47.002835882383501</v>
      </c>
      <c r="AI239" s="78">
        <v>49.759079707943798</v>
      </c>
      <c r="AJ239" s="78">
        <v>52.600249813843497</v>
      </c>
      <c r="AK239" s="78">
        <v>54.777450818907901</v>
      </c>
      <c r="AL239" s="78">
        <v>56.591784989794903</v>
      </c>
      <c r="AM239" s="78">
        <v>59.4483962375744</v>
      </c>
      <c r="AN239" s="78">
        <v>62.907212018669703</v>
      </c>
      <c r="AO239" s="78">
        <v>66.559042073263498</v>
      </c>
      <c r="AP239" s="78">
        <v>70.303518979136697</v>
      </c>
      <c r="AQ239" s="78">
        <v>75.924094623416494</v>
      </c>
      <c r="AR239" s="78">
        <v>76.140270609734898</v>
      </c>
      <c r="AS239" s="78">
        <v>77.352400247306306</v>
      </c>
      <c r="AT239" s="78">
        <v>78.6108533105172</v>
      </c>
      <c r="AU239" s="78">
        <v>79.159013847253306</v>
      </c>
      <c r="AV239" s="78">
        <v>80.587319471143104</v>
      </c>
      <c r="AW239" s="78">
        <v>82.810843901847207</v>
      </c>
      <c r="AX239" s="78">
        <v>86.570761949600296</v>
      </c>
      <c r="AY239" s="78">
        <v>90.585458838371494</v>
      </c>
      <c r="AZ239" s="78">
        <v>92.615968995577006</v>
      </c>
      <c r="BA239" s="78">
        <v>97.680663532180404</v>
      </c>
      <c r="BB239" s="78">
        <v>96.854562441607001</v>
      </c>
      <c r="BC239" s="78">
        <v>100</v>
      </c>
      <c r="BD239" s="78">
        <v>103.808790581396</v>
      </c>
      <c r="BE239" s="78">
        <v>106.93852129306801</v>
      </c>
      <c r="BF239" s="78">
        <v>109.275006271572</v>
      </c>
      <c r="BG239" s="78">
        <v>111.34592261312601</v>
      </c>
      <c r="BH239" s="78">
        <v>110.34333613031001</v>
      </c>
      <c r="BI239" s="78">
        <v>110.55094679111799</v>
      </c>
      <c r="BJ239" s="78">
        <v>111.286809151122</v>
      </c>
      <c r="BK239" s="78">
        <v>112.47078677806201</v>
      </c>
      <c r="BL239" s="78">
        <v>113.265649996346</v>
      </c>
      <c r="BM239" s="78">
        <v>112.307493787832</v>
      </c>
      <c r="BN239" s="78">
        <v>113.689320040059</v>
      </c>
      <c r="BO239" s="78">
        <v>120.598688742159</v>
      </c>
      <c r="BP239" s="78">
        <v>122.079672279536</v>
      </c>
    </row>
    <row r="240" spans="1:68" x14ac:dyDescent="0.25">
      <c r="A240" s="78" t="s">
        <v>1135</v>
      </c>
      <c r="B240" s="78" t="s">
        <v>1136</v>
      </c>
      <c r="C240" s="78" t="s">
        <v>691</v>
      </c>
      <c r="D240" s="78" t="s">
        <v>692</v>
      </c>
      <c r="E240" s="78"/>
      <c r="F240" s="78"/>
      <c r="G240" s="78"/>
      <c r="H240" s="78"/>
      <c r="I240" s="78"/>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78"/>
      <c r="AM240" s="78"/>
      <c r="AN240" s="78"/>
      <c r="AO240" s="78"/>
      <c r="AP240" s="78"/>
      <c r="AQ240" s="78"/>
      <c r="AR240" s="78"/>
      <c r="AS240" s="78">
        <v>28.348768352565301</v>
      </c>
      <c r="AT240" s="78">
        <v>39.2890936953006</v>
      </c>
      <c r="AU240" s="78">
        <v>44.102001694977702</v>
      </c>
      <c r="AV240" s="78">
        <v>51.292167662524797</v>
      </c>
      <c r="AW240" s="78">
        <v>54.955436369308103</v>
      </c>
      <c r="AX240" s="78">
        <v>58.852838789186997</v>
      </c>
      <c r="AY240" s="78">
        <v>64.744517140063806</v>
      </c>
      <c r="AZ240" s="78">
        <v>73.257854439301397</v>
      </c>
      <c r="BA240" s="78">
        <v>88.254119583824405</v>
      </c>
      <c r="BB240" s="78">
        <v>93.944952444676204</v>
      </c>
      <c r="BC240" s="78">
        <v>100</v>
      </c>
      <c r="BD240" s="78">
        <v>112.431549043041</v>
      </c>
      <c r="BE240" s="78">
        <v>118.987619315709</v>
      </c>
      <c r="BF240" s="78">
        <v>124.94847836680199</v>
      </c>
      <c r="BG240" s="78">
        <v>132.57586783009901</v>
      </c>
      <c r="BH240" s="78">
        <v>140.15199467524801</v>
      </c>
      <c r="BI240" s="78">
        <v>148.56753447087999</v>
      </c>
      <c r="BJ240" s="78"/>
      <c r="BK240" s="78"/>
      <c r="BL240" s="78"/>
      <c r="BM240" s="78"/>
      <c r="BN240" s="78"/>
      <c r="BO240" s="78"/>
      <c r="BP240" s="78"/>
    </row>
    <row r="241" spans="1:68" x14ac:dyDescent="0.25">
      <c r="A241" s="78" t="s">
        <v>1137</v>
      </c>
      <c r="B241" s="78" t="s">
        <v>1138</v>
      </c>
      <c r="C241" s="78" t="s">
        <v>691</v>
      </c>
      <c r="D241" s="78" t="s">
        <v>692</v>
      </c>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78"/>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row>
    <row r="242" spans="1:68" x14ac:dyDescent="0.25">
      <c r="A242" s="78" t="s">
        <v>1139</v>
      </c>
      <c r="B242" s="78" t="s">
        <v>1140</v>
      </c>
      <c r="C242" s="78" t="s">
        <v>691</v>
      </c>
      <c r="D242" s="78" t="s">
        <v>692</v>
      </c>
      <c r="E242" s="78"/>
      <c r="F242" s="78"/>
      <c r="G242" s="78"/>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c r="AM242" s="78"/>
      <c r="AN242" s="78"/>
      <c r="AO242" s="78"/>
      <c r="AP242" s="78"/>
      <c r="AQ242" s="78"/>
      <c r="AR242" s="78"/>
      <c r="AS242" s="78"/>
      <c r="AT242" s="78"/>
      <c r="AU242" s="78"/>
      <c r="AV242" s="78"/>
      <c r="AW242" s="78"/>
      <c r="AX242" s="78"/>
      <c r="AY242" s="78"/>
      <c r="AZ242" s="78"/>
      <c r="BA242" s="78"/>
      <c r="BB242" s="78"/>
      <c r="BC242" s="78"/>
      <c r="BD242" s="78"/>
      <c r="BE242" s="78"/>
      <c r="BF242" s="78"/>
      <c r="BG242" s="78"/>
      <c r="BH242" s="78"/>
      <c r="BI242" s="78"/>
      <c r="BJ242" s="78"/>
      <c r="BK242" s="78"/>
      <c r="BL242" s="78"/>
      <c r="BM242" s="78"/>
      <c r="BN242" s="78"/>
      <c r="BO242" s="78"/>
      <c r="BP242" s="78"/>
    </row>
    <row r="243" spans="1:68" x14ac:dyDescent="0.25">
      <c r="A243" s="78" t="s">
        <v>1141</v>
      </c>
      <c r="B243" s="78" t="s">
        <v>1142</v>
      </c>
      <c r="C243" s="78" t="s">
        <v>691</v>
      </c>
      <c r="D243" s="78" t="s">
        <v>692</v>
      </c>
      <c r="E243" s="78"/>
      <c r="F243" s="78"/>
      <c r="G243" s="78"/>
      <c r="H243" s="78"/>
      <c r="I243" s="78"/>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78"/>
      <c r="AM243" s="78"/>
      <c r="AN243" s="78"/>
      <c r="AO243" s="78"/>
      <c r="AP243" s="78"/>
      <c r="AQ243" s="78"/>
      <c r="AR243" s="78"/>
      <c r="AS243" s="78"/>
      <c r="AT243" s="78"/>
      <c r="AU243" s="78">
        <v>66.519331132176106</v>
      </c>
      <c r="AV243" s="78">
        <v>71.285546916604702</v>
      </c>
      <c r="AW243" s="78">
        <v>73.593426435258706</v>
      </c>
      <c r="AX243" s="78">
        <v>74.411545425498105</v>
      </c>
      <c r="AY243" s="78">
        <v>77.340504846096707</v>
      </c>
      <c r="AZ243" s="78">
        <v>85.307274470124796</v>
      </c>
      <c r="BA243" s="78">
        <v>93.039727340505095</v>
      </c>
      <c r="BB243" s="78">
        <v>93.662796889977997</v>
      </c>
      <c r="BC243" s="78">
        <v>100</v>
      </c>
      <c r="BD243" s="78">
        <v>113.49984023857699</v>
      </c>
      <c r="BE243" s="78">
        <v>126.89317286185999</v>
      </c>
      <c r="BF243" s="78">
        <v>140.83522322164501</v>
      </c>
      <c r="BG243" s="78">
        <v>142.03068640426901</v>
      </c>
      <c r="BH243" s="78">
        <v>142.94841571618201</v>
      </c>
      <c r="BI243" s="78">
        <v>140.84729860732801</v>
      </c>
      <c r="BJ243" s="78">
        <v>141.58389713399501</v>
      </c>
      <c r="BK243" s="78">
        <v>144.83217588274101</v>
      </c>
      <c r="BL243" s="78">
        <v>146.220845236294</v>
      </c>
      <c r="BM243" s="78"/>
      <c r="BN243" s="78"/>
      <c r="BO243" s="78"/>
      <c r="BP243" s="78"/>
    </row>
    <row r="244" spans="1:68" x14ac:dyDescent="0.25">
      <c r="A244" s="78" t="s">
        <v>1143</v>
      </c>
      <c r="B244" s="78" t="s">
        <v>1144</v>
      </c>
      <c r="C244" s="78" t="s">
        <v>691</v>
      </c>
      <c r="D244" s="78" t="s">
        <v>692</v>
      </c>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row>
    <row r="245" spans="1:68" x14ac:dyDescent="0.25">
      <c r="A245" s="78" t="s">
        <v>1145</v>
      </c>
      <c r="B245" s="78" t="s">
        <v>1146</v>
      </c>
      <c r="C245" s="78" t="s">
        <v>691</v>
      </c>
      <c r="D245" s="78" t="s">
        <v>692</v>
      </c>
      <c r="E245" s="78"/>
      <c r="F245" s="78"/>
      <c r="G245" s="78"/>
      <c r="H245" s="78"/>
      <c r="I245" s="78"/>
      <c r="J245" s="78"/>
      <c r="K245" s="78"/>
      <c r="L245" s="78"/>
      <c r="M245" s="78"/>
      <c r="N245" s="78"/>
      <c r="O245" s="78"/>
      <c r="P245" s="78"/>
      <c r="Q245" s="78"/>
      <c r="R245" s="78"/>
      <c r="S245" s="78"/>
      <c r="T245" s="78">
        <v>6.8772949578497098</v>
      </c>
      <c r="U245" s="78">
        <v>7.3662414583073703</v>
      </c>
      <c r="V245" s="78">
        <v>8.6581283512303493</v>
      </c>
      <c r="W245" s="78">
        <v>9.4879561972048307</v>
      </c>
      <c r="X245" s="78">
        <v>10.0060000788573</v>
      </c>
      <c r="Y245" s="78">
        <v>12.2466825915008</v>
      </c>
      <c r="Z245" s="78">
        <v>14.071346217314201</v>
      </c>
      <c r="AA245" s="78">
        <v>15.596380481076899</v>
      </c>
      <c r="AB245" s="78">
        <v>17.1269395640537</v>
      </c>
      <c r="AC245" s="78">
        <v>17.145171467460699</v>
      </c>
      <c r="AD245" s="78">
        <v>20.019559463980499</v>
      </c>
      <c r="AE245" s="78">
        <v>24.358573733108098</v>
      </c>
      <c r="AF245" s="78">
        <v>25.500013523554198</v>
      </c>
      <c r="AG245" s="78">
        <v>28.030640832151398</v>
      </c>
      <c r="AH245" s="78">
        <v>29.1725092518843</v>
      </c>
      <c r="AI245" s="78">
        <v>32.005120180595</v>
      </c>
      <c r="AJ245" s="78">
        <v>35.396206494572503</v>
      </c>
      <c r="AK245" s="78">
        <v>38.205596367963601</v>
      </c>
      <c r="AL245" s="78">
        <v>38.572715647608398</v>
      </c>
      <c r="AM245" s="78">
        <v>38.963438768038998</v>
      </c>
      <c r="AN245" s="78">
        <v>39.532307430116497</v>
      </c>
      <c r="AO245" s="78">
        <v>40.7164108229519</v>
      </c>
      <c r="AP245" s="78">
        <v>41.581525157748402</v>
      </c>
      <c r="AQ245" s="78">
        <v>42.943089554823302</v>
      </c>
      <c r="AR245" s="78">
        <v>44.860221381708797</v>
      </c>
      <c r="AS245" s="78">
        <v>47.698812681566899</v>
      </c>
      <c r="AT245" s="78">
        <v>51.653179330422503</v>
      </c>
      <c r="AU245" s="78">
        <v>57.003963578184603</v>
      </c>
      <c r="AV245" s="78">
        <v>63.6384394001674</v>
      </c>
      <c r="AW245" s="78">
        <v>70.621743325388394</v>
      </c>
      <c r="AX245" s="78">
        <v>76.741606236233295</v>
      </c>
      <c r="AY245" s="78">
        <v>81.460536673511299</v>
      </c>
      <c r="AZ245" s="78">
        <v>86.219663858259494</v>
      </c>
      <c r="BA245" s="78">
        <v>95.227021375129098</v>
      </c>
      <c r="BB245" s="78">
        <v>96.585777386358302</v>
      </c>
      <c r="BC245" s="78">
        <v>100</v>
      </c>
      <c r="BD245" s="78">
        <v>106.27075302995701</v>
      </c>
      <c r="BE245" s="78">
        <v>107.49025087459999</v>
      </c>
      <c r="BF245" s="78">
        <v>108.32397677906999</v>
      </c>
      <c r="BG245" s="78">
        <v>111.04385787447799</v>
      </c>
      <c r="BH245" s="78">
        <v>109.873457478337</v>
      </c>
      <c r="BI245" s="78">
        <v>112.70616568349099</v>
      </c>
      <c r="BJ245" s="78">
        <v>121.17835897741401</v>
      </c>
      <c r="BK245" s="78">
        <v>127.27617144704</v>
      </c>
      <c r="BL245" s="78">
        <v>128.77744906121001</v>
      </c>
      <c r="BM245" s="78">
        <v>128.32706577695899</v>
      </c>
      <c r="BN245" s="78">
        <v>135.565368559565</v>
      </c>
      <c r="BO245" s="78">
        <v>150.43874035137901</v>
      </c>
      <c r="BP245" s="78">
        <v>159.993300024419</v>
      </c>
    </row>
    <row r="246" spans="1:68" x14ac:dyDescent="0.25">
      <c r="A246" s="78" t="s">
        <v>1147</v>
      </c>
      <c r="B246" s="78" t="s">
        <v>1148</v>
      </c>
      <c r="C246" s="78" t="s">
        <v>691</v>
      </c>
      <c r="D246" s="78" t="s">
        <v>692</v>
      </c>
      <c r="E246" s="78"/>
      <c r="F246" s="78"/>
      <c r="G246" s="78"/>
      <c r="H246" s="78"/>
      <c r="I246" s="78"/>
      <c r="J246" s="78"/>
      <c r="K246" s="78"/>
      <c r="L246" s="78"/>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78"/>
      <c r="AM246" s="78"/>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row>
    <row r="247" spans="1:68" x14ac:dyDescent="0.25">
      <c r="A247" s="78" t="s">
        <v>1149</v>
      </c>
      <c r="B247" s="78" t="s">
        <v>1150</v>
      </c>
      <c r="C247" s="78" t="s">
        <v>691</v>
      </c>
      <c r="D247" s="78" t="s">
        <v>692</v>
      </c>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78"/>
      <c r="AM247" s="78"/>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row>
    <row r="248" spans="1:68" x14ac:dyDescent="0.25">
      <c r="A248" s="78" t="s">
        <v>1151</v>
      </c>
      <c r="B248" s="78" t="s">
        <v>1152</v>
      </c>
      <c r="C248" s="78" t="s">
        <v>691</v>
      </c>
      <c r="D248" s="78" t="s">
        <v>692</v>
      </c>
      <c r="E248" s="78">
        <v>2.2969923160350101</v>
      </c>
      <c r="F248" s="78">
        <v>2.33196994334737</v>
      </c>
      <c r="G248" s="78">
        <v>2.4015408284297801</v>
      </c>
      <c r="H248" s="78">
        <v>2.4918676681619099</v>
      </c>
      <c r="I248" s="78">
        <v>2.51339236188285</v>
      </c>
      <c r="J248" s="78">
        <v>2.55817141222292</v>
      </c>
      <c r="K248" s="78">
        <v>2.6629121093696302</v>
      </c>
      <c r="L248" s="78">
        <v>2.7197987999183599</v>
      </c>
      <c r="M248" s="78">
        <v>2.9436940516110299</v>
      </c>
      <c r="N248" s="78">
        <v>3.0153789691070401</v>
      </c>
      <c r="O248" s="78">
        <v>3.0914841362053598</v>
      </c>
      <c r="P248" s="78">
        <v>3.20064508294859</v>
      </c>
      <c r="Q248" s="78">
        <v>3.4983392845585999</v>
      </c>
      <c r="R248" s="78">
        <v>4.01646941207638</v>
      </c>
      <c r="S248" s="78">
        <v>4.9010958872134696</v>
      </c>
      <c r="T248" s="78">
        <v>5.7332559213848597</v>
      </c>
      <c r="U248" s="78">
        <v>6.3462822673188404</v>
      </c>
      <c r="V248" s="78">
        <v>7.0916444594211701</v>
      </c>
      <c r="W248" s="78">
        <v>7.8190050841918799</v>
      </c>
      <c r="X248" s="78">
        <v>8.9701323338473191</v>
      </c>
      <c r="Y248" s="78">
        <v>10.537241746851199</v>
      </c>
      <c r="Z248" s="78">
        <v>12.0474272848768</v>
      </c>
      <c r="AA248" s="78">
        <v>13.4491168902226</v>
      </c>
      <c r="AB248" s="78">
        <v>15.4900203782242</v>
      </c>
      <c r="AC248" s="78">
        <v>17.555580580602999</v>
      </c>
      <c r="AD248" s="78">
        <v>18.8937677111802</v>
      </c>
      <c r="AE248" s="78">
        <v>20.3473930951547</v>
      </c>
      <c r="AF248" s="78">
        <v>22.535116109308799</v>
      </c>
      <c r="AG248" s="78">
        <v>24.283501305037699</v>
      </c>
      <c r="AH248" s="78">
        <v>27.059623183127801</v>
      </c>
      <c r="AI248" s="78">
        <v>30.0536151039502</v>
      </c>
      <c r="AJ248" s="78">
        <v>31.190574061224499</v>
      </c>
      <c r="AK248" s="78">
        <v>33.199201552409001</v>
      </c>
      <c r="AL248" s="78">
        <v>36.796413364451702</v>
      </c>
      <c r="AM248" s="78">
        <v>40.039904612009302</v>
      </c>
      <c r="AN248" s="78">
        <v>42.114854709034802</v>
      </c>
      <c r="AO248" s="78">
        <v>43.548686282930603</v>
      </c>
      <c r="AP248" s="78">
        <v>45.127795945811599</v>
      </c>
      <c r="AQ248" s="78">
        <v>47.660687845072502</v>
      </c>
      <c r="AR248" s="78">
        <v>49.299803675143004</v>
      </c>
      <c r="AS248" s="78">
        <v>51.052615400940802</v>
      </c>
      <c r="AT248" s="78">
        <v>53.879221697497698</v>
      </c>
      <c r="AU248" s="78">
        <v>56.115240980137202</v>
      </c>
      <c r="AV248" s="78">
        <v>58.253852432949301</v>
      </c>
      <c r="AW248" s="78">
        <v>60.421798322795702</v>
      </c>
      <c r="AX248" s="78">
        <v>64.575515751921998</v>
      </c>
      <c r="AY248" s="78">
        <v>69.954400181599695</v>
      </c>
      <c r="AZ248" s="78">
        <v>75.476872198150502</v>
      </c>
      <c r="BA248" s="78">
        <v>84.556999977428603</v>
      </c>
      <c r="BB248" s="78">
        <v>90.457461213963001</v>
      </c>
      <c r="BC248" s="78">
        <v>100</v>
      </c>
      <c r="BD248" s="78">
        <v>105.10713289264601</v>
      </c>
      <c r="BE248" s="78">
        <v>114.840349139162</v>
      </c>
      <c r="BF248" s="78">
        <v>120.811837601268</v>
      </c>
      <c r="BG248" s="78">
        <v>127.679287620338</v>
      </c>
      <c r="BH248" s="78">
        <v>133.63069497930201</v>
      </c>
      <c r="BI248" s="78">
        <v>137.734049199352</v>
      </c>
      <c r="BJ248" s="78">
        <v>140.323978776513</v>
      </c>
      <c r="BK248" s="78">
        <v>141.75327574751901</v>
      </c>
      <c r="BL248" s="78">
        <v>143.17157812644001</v>
      </c>
      <c r="BM248" s="78">
        <v>144.029156309043</v>
      </c>
      <c r="BN248" s="78">
        <v>146.995044259351</v>
      </c>
      <c r="BO248" s="78">
        <v>155.562483405851</v>
      </c>
      <c r="BP248" s="78">
        <v>162.76394122130401</v>
      </c>
    </row>
    <row r="249" spans="1:68" x14ac:dyDescent="0.25">
      <c r="A249" s="78" t="s">
        <v>1153</v>
      </c>
      <c r="B249" s="78" t="s">
        <v>1154</v>
      </c>
      <c r="C249" s="78" t="s">
        <v>691</v>
      </c>
      <c r="D249" s="78" t="s">
        <v>692</v>
      </c>
      <c r="E249" s="78"/>
      <c r="F249" s="78"/>
      <c r="G249" s="78"/>
      <c r="H249" s="78"/>
      <c r="I249" s="78"/>
      <c r="J249" s="78"/>
      <c r="K249" s="78"/>
      <c r="L249" s="78"/>
      <c r="M249" s="78"/>
      <c r="N249" s="78"/>
      <c r="O249" s="78"/>
      <c r="P249" s="78"/>
      <c r="Q249" s="78"/>
      <c r="R249" s="78"/>
      <c r="S249" s="78"/>
      <c r="T249" s="78"/>
      <c r="U249" s="78"/>
      <c r="V249" s="78"/>
      <c r="W249" s="78"/>
      <c r="X249" s="78"/>
      <c r="Y249" s="78"/>
      <c r="Z249" s="78"/>
      <c r="AA249" s="78"/>
      <c r="AB249" s="78">
        <v>28.851957865237701</v>
      </c>
      <c r="AC249" s="78">
        <v>31.419782115243802</v>
      </c>
      <c r="AD249" s="78">
        <v>33.699086786597597</v>
      </c>
      <c r="AE249" s="78">
        <v>35.776427752894698</v>
      </c>
      <c r="AF249" s="78">
        <v>38.7193274551489</v>
      </c>
      <c r="AG249" s="78">
        <v>41.505945718966402</v>
      </c>
      <c r="AH249" s="78">
        <v>44.718873676735399</v>
      </c>
      <c r="AI249" s="78">
        <v>47.645855017743699</v>
      </c>
      <c r="AJ249" s="78">
        <v>51.549820632684501</v>
      </c>
      <c r="AK249" s="78">
        <v>54.552260108671298</v>
      </c>
      <c r="AL249" s="78">
        <v>56.720688619106298</v>
      </c>
      <c r="AM249" s="78">
        <v>59.405409632025503</v>
      </c>
      <c r="AN249" s="78">
        <v>63.114772688337197</v>
      </c>
      <c r="AO249" s="78">
        <v>65.465889315036193</v>
      </c>
      <c r="AP249" s="78">
        <v>67.856720749618006</v>
      </c>
      <c r="AQ249" s="78">
        <v>69.977491490592897</v>
      </c>
      <c r="AR249" s="78">
        <v>71.859973384267207</v>
      </c>
      <c r="AS249" s="78">
        <v>73.9886870868188</v>
      </c>
      <c r="AT249" s="78">
        <v>75.456129380707395</v>
      </c>
      <c r="AU249" s="78">
        <v>77.509315447366603</v>
      </c>
      <c r="AV249" s="78">
        <v>79.611827305416995</v>
      </c>
      <c r="AW249" s="78">
        <v>82.503551825726802</v>
      </c>
      <c r="AX249" s="78">
        <v>84.168297285180202</v>
      </c>
      <c r="AY249" s="78">
        <v>86.882938133536399</v>
      </c>
      <c r="AZ249" s="78">
        <v>89.460706535685802</v>
      </c>
      <c r="BA249" s="78">
        <v>93.3477993518555</v>
      </c>
      <c r="BB249" s="78">
        <v>96.768905936780598</v>
      </c>
      <c r="BC249" s="78">
        <v>100</v>
      </c>
      <c r="BD249" s="78">
        <v>103.240028420095</v>
      </c>
      <c r="BE249" s="78">
        <v>108.001297808887</v>
      </c>
      <c r="BF249" s="78">
        <v>113.74290094179</v>
      </c>
      <c r="BG249" s="78">
        <v>119.004136828432</v>
      </c>
      <c r="BH249" s="78">
        <v>124.284792209994</v>
      </c>
      <c r="BI249" s="78">
        <v>128.79558368024701</v>
      </c>
      <c r="BJ249" s="78">
        <v>135.63314595813401</v>
      </c>
      <c r="BK249" s="78">
        <v>145.54466255642899</v>
      </c>
      <c r="BL249" s="78">
        <v>155.325373517033</v>
      </c>
      <c r="BM249" s="78">
        <v>164.07663984922701</v>
      </c>
      <c r="BN249" s="78">
        <v>173.43942752904701</v>
      </c>
      <c r="BO249" s="78">
        <v>187.84610635938799</v>
      </c>
      <c r="BP249" s="78">
        <v>205.37026206099799</v>
      </c>
    </row>
    <row r="250" spans="1:68" x14ac:dyDescent="0.25">
      <c r="A250" s="78" t="s">
        <v>1155</v>
      </c>
      <c r="B250" s="78" t="s">
        <v>1156</v>
      </c>
      <c r="C250" s="78" t="s">
        <v>691</v>
      </c>
      <c r="D250" s="78" t="s">
        <v>692</v>
      </c>
      <c r="E250" s="80">
        <v>5.3952385089686099E-5</v>
      </c>
      <c r="F250" s="80">
        <v>5.5664217115097203E-5</v>
      </c>
      <c r="G250" s="80">
        <v>5.7828620142002999E-5</v>
      </c>
      <c r="H250" s="80">
        <v>6.1508085762331801E-5</v>
      </c>
      <c r="I250" s="80">
        <v>6.2196753550074796E-5</v>
      </c>
      <c r="J250" s="80">
        <v>6.5030147608370696E-5</v>
      </c>
      <c r="K250" s="80">
        <v>7.0539499252615794E-5</v>
      </c>
      <c r="L250" s="80">
        <v>8.0397318759342295E-5</v>
      </c>
      <c r="M250" s="80">
        <v>8.5258333333333296E-5</v>
      </c>
      <c r="N250" s="80">
        <v>8.9456619020926795E-5</v>
      </c>
      <c r="O250" s="80">
        <v>9.6545118647234701E-5</v>
      </c>
      <c r="P250" s="78">
        <v>1.14899705717489E-4</v>
      </c>
      <c r="Q250" s="78">
        <v>1.32613167974589E-4</v>
      </c>
      <c r="R250" s="78">
        <v>1.5109701046337799E-4</v>
      </c>
      <c r="S250" s="78">
        <v>1.8720641816143501E-4</v>
      </c>
      <c r="T250" s="78">
        <v>2.26945389573991E-4</v>
      </c>
      <c r="U250" s="78">
        <v>2.6656027186098701E-4</v>
      </c>
      <c r="V250" s="78">
        <v>3.3582685911808701E-4</v>
      </c>
      <c r="W250" s="78">
        <v>5.4369375934230197E-4</v>
      </c>
      <c r="X250" s="78">
        <v>8.8917367339312505E-4</v>
      </c>
      <c r="Y250" s="78">
        <v>1.72731642376682E-3</v>
      </c>
      <c r="Z250" s="78">
        <v>2.3770427410313901E-3</v>
      </c>
      <c r="AA250" s="78">
        <v>3.0696539144245099E-3</v>
      </c>
      <c r="AB250" s="78">
        <v>4.0332265975336302E-3</v>
      </c>
      <c r="AC250" s="78">
        <v>5.9849986453662197E-3</v>
      </c>
      <c r="AD250" s="78">
        <v>8.6759575859491796E-3</v>
      </c>
      <c r="AE250" s="78">
        <v>1.1678713097907301E-2</v>
      </c>
      <c r="AF250" s="78">
        <v>1.6216575579222701E-2</v>
      </c>
      <c r="AG250" s="78">
        <v>2.7375143404334799E-2</v>
      </c>
      <c r="AH250" s="78">
        <v>4.4696095384902899E-2</v>
      </c>
      <c r="AI250" s="78">
        <v>7.1649570254110603E-2</v>
      </c>
      <c r="AJ250" s="78">
        <v>0.11892293068012</v>
      </c>
      <c r="AK250" s="78">
        <v>0.20225948710762301</v>
      </c>
      <c r="AL250" s="78">
        <v>0.335940554932736</v>
      </c>
      <c r="AM250" s="78">
        <v>0.68940036434977603</v>
      </c>
      <c r="AN250" s="78">
        <v>1.30374789798206</v>
      </c>
      <c r="AO250" s="78">
        <v>2.3521196281763799</v>
      </c>
      <c r="AP250" s="78">
        <v>4.3671654988789204</v>
      </c>
      <c r="AQ250" s="78">
        <v>8.0635930493273609</v>
      </c>
      <c r="AR250" s="78">
        <v>13.2942432735426</v>
      </c>
      <c r="AS250" s="78">
        <v>20.594826233183898</v>
      </c>
      <c r="AT250" s="78">
        <v>31.798450579222699</v>
      </c>
      <c r="AU250" s="78">
        <v>46.096344357249599</v>
      </c>
      <c r="AV250" s="78">
        <v>56.054278774289998</v>
      </c>
      <c r="AW250" s="78">
        <v>60.873972346786303</v>
      </c>
      <c r="AX250" s="78">
        <v>65.852952167414102</v>
      </c>
      <c r="AY250" s="78">
        <v>72.173019431987996</v>
      </c>
      <c r="AZ250" s="78">
        <v>78.492619581464893</v>
      </c>
      <c r="BA250" s="78">
        <v>86.690489536621797</v>
      </c>
      <c r="BB250" s="78">
        <v>92.109491778774299</v>
      </c>
      <c r="BC250" s="78">
        <v>100</v>
      </c>
      <c r="BD250" s="78">
        <v>106.471879671151</v>
      </c>
      <c r="BE250" s="78">
        <v>115.938901345291</v>
      </c>
      <c r="BF250" s="78">
        <v>124.62630792227201</v>
      </c>
      <c r="BG250" s="78">
        <v>135.66143497757801</v>
      </c>
      <c r="BH250" s="78">
        <v>146.06782511210801</v>
      </c>
      <c r="BI250" s="78">
        <v>157.42479446935701</v>
      </c>
      <c r="BJ250" s="78">
        <v>174.96870328848999</v>
      </c>
      <c r="BK250" s="78">
        <v>203.54540358744401</v>
      </c>
      <c r="BL250" s="78">
        <v>234.437126307922</v>
      </c>
      <c r="BM250" s="78">
        <v>263.22356128550098</v>
      </c>
      <c r="BN250" s="78">
        <v>314.80614723467897</v>
      </c>
      <c r="BO250" s="78">
        <v>542.43880792227196</v>
      </c>
      <c r="BP250" s="78">
        <v>834.593142750374</v>
      </c>
    </row>
    <row r="251" spans="1:68" x14ac:dyDescent="0.25">
      <c r="A251" s="78" t="s">
        <v>1157</v>
      </c>
      <c r="B251" s="78" t="s">
        <v>1158</v>
      </c>
      <c r="C251" s="78" t="s">
        <v>691</v>
      </c>
      <c r="D251" s="78" t="s">
        <v>692</v>
      </c>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78"/>
      <c r="AM251" s="78"/>
      <c r="AN251" s="78"/>
      <c r="AO251" s="78"/>
      <c r="AP251" s="78"/>
      <c r="AQ251" s="78"/>
      <c r="AR251" s="78"/>
      <c r="AS251" s="78"/>
      <c r="AT251" s="78"/>
      <c r="AU251" s="78"/>
      <c r="AV251" s="78"/>
      <c r="AW251" s="78"/>
      <c r="AX251" s="78"/>
      <c r="AY251" s="78"/>
      <c r="AZ251" s="78"/>
      <c r="BA251" s="78"/>
      <c r="BB251" s="78"/>
      <c r="BC251" s="78">
        <v>100</v>
      </c>
      <c r="BD251" s="78">
        <v>100.50058074315299</v>
      </c>
      <c r="BE251" s="78"/>
      <c r="BF251" s="78"/>
      <c r="BG251" s="78"/>
      <c r="BH251" s="78"/>
      <c r="BI251" s="78"/>
      <c r="BJ251" s="78"/>
      <c r="BK251" s="78"/>
      <c r="BL251" s="78"/>
      <c r="BM251" s="78"/>
      <c r="BN251" s="78"/>
      <c r="BO251" s="78"/>
      <c r="BP251" s="78"/>
    </row>
    <row r="252" spans="1:68" x14ac:dyDescent="0.25">
      <c r="A252" s="78" t="s">
        <v>1159</v>
      </c>
      <c r="B252" s="78" t="s">
        <v>1160</v>
      </c>
      <c r="C252" s="78" t="s">
        <v>691</v>
      </c>
      <c r="D252" s="78" t="s">
        <v>692</v>
      </c>
      <c r="E252" s="78"/>
      <c r="F252" s="78"/>
      <c r="G252" s="78"/>
      <c r="H252" s="78"/>
      <c r="I252" s="78"/>
      <c r="J252" s="78">
        <v>9.8098250502111906E-2</v>
      </c>
      <c r="K252" s="78">
        <v>0.107689331599363</v>
      </c>
      <c r="L252" s="78">
        <v>0.120813968886352</v>
      </c>
      <c r="M252" s="78">
        <v>0.13965960191792401</v>
      </c>
      <c r="N252" s="78">
        <v>0.16258565102710301</v>
      </c>
      <c r="O252" s="78">
        <v>0.16826458062316299</v>
      </c>
      <c r="P252" s="78">
        <v>0.176299214347959</v>
      </c>
      <c r="Q252" s="78">
        <v>0.18976038079745899</v>
      </c>
      <c r="R252" s="78">
        <v>0.20948940287562301</v>
      </c>
      <c r="S252" s="78">
        <v>0.25054596054745998</v>
      </c>
      <c r="T252" s="78">
        <v>0.315832617829994</v>
      </c>
      <c r="U252" s="78">
        <v>0.337496682584914</v>
      </c>
      <c r="V252" s="78">
        <v>0.37666026372515099</v>
      </c>
      <c r="W252" s="78">
        <v>0.40142567606508001</v>
      </c>
      <c r="X252" s="78">
        <v>0.453404792459151</v>
      </c>
      <c r="Y252" s="78">
        <v>0.59032079832324302</v>
      </c>
      <c r="Z252" s="78">
        <v>0.74173822434075398</v>
      </c>
      <c r="AA252" s="78">
        <v>0.95634040959815803</v>
      </c>
      <c r="AB252" s="78">
        <v>1.2150871777641501</v>
      </c>
      <c r="AC252" s="78">
        <v>1.65429187828086</v>
      </c>
      <c r="AD252" s="78">
        <v>2.2048750187811001</v>
      </c>
      <c r="AE252" s="78">
        <v>2.9199645294633001</v>
      </c>
      <c r="AF252" s="78">
        <v>3.7944754967671699</v>
      </c>
      <c r="AG252" s="78">
        <v>4.9778478803256601</v>
      </c>
      <c r="AH252" s="78">
        <v>6.2646135062767101</v>
      </c>
      <c r="AI252" s="78">
        <v>8.5090222821474999</v>
      </c>
      <c r="AJ252" s="78">
        <v>10.950741719633299</v>
      </c>
      <c r="AK252" s="78">
        <v>13.343133491715401</v>
      </c>
      <c r="AL252" s="78">
        <v>16.715912613697</v>
      </c>
      <c r="AM252" s="78">
        <v>22.413257967830599</v>
      </c>
      <c r="AN252" s="78">
        <v>28.5607182687734</v>
      </c>
      <c r="AO252" s="78">
        <v>34.551974295937697</v>
      </c>
      <c r="AP252" s="78">
        <v>40.111613250818898</v>
      </c>
      <c r="AQ252" s="78">
        <v>45.245801091593002</v>
      </c>
      <c r="AR252" s="78">
        <v>48.815890875189702</v>
      </c>
      <c r="AS252" s="78">
        <v>51.707725259484697</v>
      </c>
      <c r="AT252" s="78">
        <v>54.3693638718957</v>
      </c>
      <c r="AU252" s="78">
        <v>57.260636205245902</v>
      </c>
      <c r="AV252" s="78">
        <v>60.2974919615774</v>
      </c>
      <c r="AW252" s="78">
        <v>63.1530614538705</v>
      </c>
      <c r="AX252" s="78">
        <v>66.332546598433595</v>
      </c>
      <c r="AY252" s="78">
        <v>71.142301390982297</v>
      </c>
      <c r="AZ252" s="78">
        <v>76.140413998175006</v>
      </c>
      <c r="BA252" s="78">
        <v>83.966425561010794</v>
      </c>
      <c r="BB252" s="78">
        <v>94.161820290532205</v>
      </c>
      <c r="BC252" s="78">
        <v>100</v>
      </c>
      <c r="BD252" s="78">
        <v>112.690969469916</v>
      </c>
      <c r="BE252" s="78">
        <v>130.72275725598701</v>
      </c>
      <c r="BF252" s="78">
        <v>141.01158422169601</v>
      </c>
      <c r="BG252" s="78">
        <v>149.65787072662499</v>
      </c>
      <c r="BH252" s="78">
        <v>158.021006257208</v>
      </c>
      <c r="BI252" s="78">
        <v>166.19822402488899</v>
      </c>
      <c r="BJ252" s="78">
        <v>175.03783564471999</v>
      </c>
      <c r="BK252" s="78">
        <v>181.15446015060201</v>
      </c>
      <c r="BL252" s="78">
        <v>187.430158933385</v>
      </c>
      <c r="BM252" s="78">
        <v>193.597155886785</v>
      </c>
      <c r="BN252" s="78">
        <v>200.742671235263</v>
      </c>
      <c r="BO252" s="78">
        <v>209.47552353976201</v>
      </c>
      <c r="BP252" s="78">
        <v>217.43398657654299</v>
      </c>
    </row>
    <row r="253" spans="1:68" x14ac:dyDescent="0.25">
      <c r="A253" s="78" t="s">
        <v>1161</v>
      </c>
      <c r="B253" s="78" t="s">
        <v>1162</v>
      </c>
      <c r="C253" s="78" t="s">
        <v>691</v>
      </c>
      <c r="D253" s="78" t="s">
        <v>692</v>
      </c>
      <c r="E253" s="78"/>
      <c r="F253" s="78"/>
      <c r="G253" s="78"/>
      <c r="H253" s="78"/>
      <c r="I253" s="78"/>
      <c r="J253" s="78"/>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78">
        <v>36.0940476153757</v>
      </c>
      <c r="AM253" s="78">
        <v>39.716720505221403</v>
      </c>
      <c r="AN253" s="78">
        <v>42.318221377066202</v>
      </c>
      <c r="AO253" s="78">
        <v>45.361598307744302</v>
      </c>
      <c r="AP253" s="78">
        <v>49.067196999515801</v>
      </c>
      <c r="AQ253" s="78">
        <v>49.100957278134103</v>
      </c>
      <c r="AR253" s="78">
        <v>51.937700756181698</v>
      </c>
      <c r="AS253" s="78">
        <v>53.699438776651597</v>
      </c>
      <c r="AT253" s="78">
        <v>54.701000563468497</v>
      </c>
      <c r="AU253" s="78">
        <v>54.543730530827801</v>
      </c>
      <c r="AV253" s="78">
        <v>59.278386250326001</v>
      </c>
      <c r="AW253" s="78">
        <v>61.484305392365002</v>
      </c>
      <c r="AX253" s="78">
        <v>66.678946148044901</v>
      </c>
      <c r="AY253" s="78">
        <v>71.553627951571997</v>
      </c>
      <c r="AZ253" s="78">
        <v>75.945955154676795</v>
      </c>
      <c r="BA253" s="78">
        <v>85.0980925051349</v>
      </c>
      <c r="BB253" s="78">
        <v>96.175529218411199</v>
      </c>
      <c r="BC253" s="78">
        <v>100</v>
      </c>
      <c r="BD253" s="78">
        <v>116.564349617451</v>
      </c>
      <c r="BE253" s="78">
        <v>131.34358747639499</v>
      </c>
      <c r="BF253" s="78">
        <v>137.78626463097399</v>
      </c>
      <c r="BG253" s="78">
        <v>142.02416598956</v>
      </c>
      <c r="BH253" s="78">
        <v>149.96287100128501</v>
      </c>
      <c r="BI253" s="78">
        <v>158.52031485060999</v>
      </c>
      <c r="BJ253" s="78">
        <v>166.778774735588</v>
      </c>
      <c r="BK253" s="78">
        <v>171.141727345227</v>
      </c>
      <c r="BL253" s="78">
        <v>176.049367040563</v>
      </c>
      <c r="BM253" s="78">
        <v>181.88245102600399</v>
      </c>
      <c r="BN253" s="78">
        <v>185.892180700766</v>
      </c>
      <c r="BO253" s="78">
        <v>199.26858953079301</v>
      </c>
      <c r="BP253" s="78">
        <v>209.93134822221401</v>
      </c>
    </row>
    <row r="254" spans="1:68" x14ac:dyDescent="0.25">
      <c r="A254" s="78" t="s">
        <v>1163</v>
      </c>
      <c r="B254" s="78" t="s">
        <v>1164</v>
      </c>
      <c r="C254" s="78" t="s">
        <v>691</v>
      </c>
      <c r="D254" s="78" t="s">
        <v>692</v>
      </c>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v>4.1943485214219296E-3</v>
      </c>
      <c r="AL254" s="78">
        <v>0.202793158444112</v>
      </c>
      <c r="AM254" s="78">
        <v>2.0100609405514098</v>
      </c>
      <c r="AN254" s="78">
        <v>9.5828886445887296</v>
      </c>
      <c r="AO254" s="78">
        <v>17.280392002245598</v>
      </c>
      <c r="AP254" s="78">
        <v>20.0349900686554</v>
      </c>
      <c r="AQ254" s="78">
        <v>22.1541232542532</v>
      </c>
      <c r="AR254" s="78">
        <v>27.179491864774601</v>
      </c>
      <c r="AS254" s="78">
        <v>34.844950384423697</v>
      </c>
      <c r="AT254" s="78">
        <v>39.0119912864225</v>
      </c>
      <c r="AU254" s="78">
        <v>39.307476241018797</v>
      </c>
      <c r="AV254" s="78">
        <v>41.343476869116202</v>
      </c>
      <c r="AW254" s="78">
        <v>45.084262712127703</v>
      </c>
      <c r="AX254" s="78">
        <v>51.202006226219297</v>
      </c>
      <c r="AY254" s="78">
        <v>55.837080594949803</v>
      </c>
      <c r="AZ254" s="78">
        <v>63.005880318228897</v>
      </c>
      <c r="BA254" s="78">
        <v>78.900034590107197</v>
      </c>
      <c r="BB254" s="78">
        <v>91.430300933932898</v>
      </c>
      <c r="BC254" s="78">
        <v>100</v>
      </c>
      <c r="BD254" s="78">
        <v>107.955724662747</v>
      </c>
      <c r="BE254" s="78">
        <v>108.569699066067</v>
      </c>
      <c r="BF254" s="78">
        <v>108.310273261847</v>
      </c>
      <c r="BG254" s="78">
        <v>121.385333794535</v>
      </c>
      <c r="BH254" s="78">
        <v>180.49982704946399</v>
      </c>
      <c r="BI254" s="78">
        <v>205.61224489795899</v>
      </c>
      <c r="BJ254" s="78">
        <v>235.29920442753399</v>
      </c>
      <c r="BK254" s="78">
        <v>261.06883431338599</v>
      </c>
      <c r="BL254" s="78">
        <v>281.658595641646</v>
      </c>
      <c r="BM254" s="78">
        <v>289.35489450017297</v>
      </c>
      <c r="BN254" s="78">
        <v>316.44759598754803</v>
      </c>
      <c r="BO254" s="78">
        <v>380.31822898651001</v>
      </c>
      <c r="BP254" s="78">
        <v>429.18540297474902</v>
      </c>
    </row>
    <row r="255" spans="1:68" x14ac:dyDescent="0.25">
      <c r="A255" s="78" t="s">
        <v>1165</v>
      </c>
      <c r="B255" s="78" t="s">
        <v>1166</v>
      </c>
      <c r="C255" s="78" t="s">
        <v>691</v>
      </c>
      <c r="D255" s="78" t="s">
        <v>692</v>
      </c>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c r="AQ255" s="78"/>
      <c r="AR255" s="78"/>
      <c r="AS255" s="78"/>
      <c r="AT255" s="78"/>
      <c r="AU255" s="78"/>
      <c r="AV255" s="78"/>
      <c r="AW255" s="78"/>
      <c r="AX255" s="78"/>
      <c r="AY255" s="78"/>
      <c r="AZ255" s="78"/>
      <c r="BA255" s="78"/>
      <c r="BB255" s="78"/>
      <c r="BC255" s="78"/>
      <c r="BD255" s="78"/>
      <c r="BE255" s="78"/>
      <c r="BF255" s="78"/>
      <c r="BG255" s="78"/>
      <c r="BH255" s="78"/>
      <c r="BI255" s="78"/>
      <c r="BJ255" s="78"/>
      <c r="BK255" s="78"/>
      <c r="BL255" s="78"/>
      <c r="BM255" s="78"/>
      <c r="BN255" s="78"/>
      <c r="BO255" s="78"/>
      <c r="BP255" s="78"/>
    </row>
    <row r="256" spans="1:68" x14ac:dyDescent="0.25">
      <c r="A256" s="78" t="s">
        <v>1167</v>
      </c>
      <c r="B256" s="78" t="s">
        <v>1168</v>
      </c>
      <c r="C256" s="78" t="s">
        <v>691</v>
      </c>
      <c r="D256" s="78" t="s">
        <v>692</v>
      </c>
      <c r="E256" s="80">
        <v>3.7501663138529302E-6</v>
      </c>
      <c r="F256" s="80">
        <v>4.6032265452089599E-6</v>
      </c>
      <c r="G256" s="80">
        <v>5.1053199997224796E-6</v>
      </c>
      <c r="H256" s="80">
        <v>6.1904402310711499E-6</v>
      </c>
      <c r="I256" s="80">
        <v>8.8132935863277393E-6</v>
      </c>
      <c r="J256" s="80">
        <v>1.37977889579837E-5</v>
      </c>
      <c r="K256" s="80">
        <v>2.3934016329413599E-5</v>
      </c>
      <c r="L256" s="80">
        <v>4.5301180559747199E-5</v>
      </c>
      <c r="M256" s="78">
        <v>1.02080317218114E-4</v>
      </c>
      <c r="N256" s="78">
        <v>1.23483157060831E-4</v>
      </c>
      <c r="O256" s="78">
        <v>1.43618499632103E-4</v>
      </c>
      <c r="P256" s="78">
        <v>1.7801956653469201E-4</v>
      </c>
      <c r="Q256" s="78">
        <v>3.14177696317367E-4</v>
      </c>
      <c r="R256" s="78">
        <v>6.1892146998652196E-4</v>
      </c>
      <c r="S256" s="78">
        <v>1.0968118655755299E-3</v>
      </c>
      <c r="T256" s="78">
        <v>1.9896757765788002E-3</v>
      </c>
      <c r="U256" s="78">
        <v>2.9969103310487901E-3</v>
      </c>
      <c r="V256" s="78">
        <v>4.7409975125455601E-3</v>
      </c>
      <c r="W256" s="78">
        <v>6.8530333776896197E-3</v>
      </c>
      <c r="X256" s="78">
        <v>1.1433894621029001E-2</v>
      </c>
      <c r="Y256" s="78">
        <v>1.8691654182386101E-2</v>
      </c>
      <c r="Z256" s="78">
        <v>2.5055290626746201E-2</v>
      </c>
      <c r="AA256" s="78">
        <v>2.9813917023551701E-2</v>
      </c>
      <c r="AB256" s="78">
        <v>4.4481582970332501E-2</v>
      </c>
      <c r="AC256" s="78">
        <v>6.9081866014376297E-2</v>
      </c>
      <c r="AD256" s="78">
        <v>0.11897456120520999</v>
      </c>
      <c r="AE256" s="78">
        <v>0.20984808822207901</v>
      </c>
      <c r="AF256" s="78">
        <v>0.34324151408362502</v>
      </c>
      <c r="AG256" s="78">
        <v>0.55671012707378598</v>
      </c>
      <c r="AH256" s="78">
        <v>1.00456915431025</v>
      </c>
      <c r="AI256" s="78">
        <v>2.13496969230511</v>
      </c>
      <c r="AJ256" s="78">
        <v>4.3120342234120201</v>
      </c>
      <c r="AK256" s="78">
        <v>7.26401809084485</v>
      </c>
      <c r="AL256" s="78">
        <v>11.193909441159899</v>
      </c>
      <c r="AM256" s="78">
        <v>16.201621487235499</v>
      </c>
      <c r="AN256" s="78">
        <v>23.0465343456851</v>
      </c>
      <c r="AO256" s="78">
        <v>29.5783943106542</v>
      </c>
      <c r="AP256" s="78">
        <v>35.440479878520598</v>
      </c>
      <c r="AQ256" s="78">
        <v>39.271975074815899</v>
      </c>
      <c r="AR256" s="78">
        <v>41.494253631163197</v>
      </c>
      <c r="AS256" s="78">
        <v>43.470967146066599</v>
      </c>
      <c r="AT256" s="78">
        <v>45.366014688757701</v>
      </c>
      <c r="AU256" s="78">
        <v>51.704768656932899</v>
      </c>
      <c r="AV256" s="78">
        <v>61.725013309944003</v>
      </c>
      <c r="AW256" s="78">
        <v>67.377546261612906</v>
      </c>
      <c r="AX256" s="78">
        <v>70.543804059261802</v>
      </c>
      <c r="AY256" s="78">
        <v>75.056949558962103</v>
      </c>
      <c r="AZ256" s="78">
        <v>81.147555022694206</v>
      </c>
      <c r="BA256" s="78">
        <v>87.539607775969898</v>
      </c>
      <c r="BB256" s="78">
        <v>93.721846364648499</v>
      </c>
      <c r="BC256" s="78">
        <v>100</v>
      </c>
      <c r="BD256" s="78">
        <v>108.09283206303</v>
      </c>
      <c r="BE256" s="78">
        <v>116.845936456282</v>
      </c>
      <c r="BF256" s="78">
        <v>126.865633296223</v>
      </c>
      <c r="BG256" s="78">
        <v>138.12794382118699</v>
      </c>
      <c r="BH256" s="78">
        <v>150.09848419970899</v>
      </c>
      <c r="BI256" s="78">
        <v>164.56709771345399</v>
      </c>
      <c r="BJ256" s="78">
        <v>174.80003425537399</v>
      </c>
      <c r="BK256" s="78">
        <v>188.09625760041101</v>
      </c>
      <c r="BL256" s="78">
        <v>202.92198338614401</v>
      </c>
      <c r="BM256" s="78">
        <v>222.71987668065401</v>
      </c>
      <c r="BN256" s="78">
        <v>239.97602123833201</v>
      </c>
      <c r="BO256" s="78">
        <v>261.824349714601</v>
      </c>
      <c r="BP256" s="78">
        <v>277.19109204665801</v>
      </c>
    </row>
    <row r="257" spans="1:68" x14ac:dyDescent="0.25">
      <c r="A257" s="78" t="s">
        <v>187</v>
      </c>
      <c r="B257" s="78" t="s">
        <v>186</v>
      </c>
      <c r="C257" s="78" t="s">
        <v>691</v>
      </c>
      <c r="D257" s="78" t="s">
        <v>692</v>
      </c>
      <c r="E257" s="78">
        <v>13.5630607803977</v>
      </c>
      <c r="F257" s="78">
        <v>13.7082837473334</v>
      </c>
      <c r="G257" s="78">
        <v>13.8726149993924</v>
      </c>
      <c r="H257" s="78">
        <v>14.0445895655005</v>
      </c>
      <c r="I257" s="78">
        <v>14.2242074456579</v>
      </c>
      <c r="J257" s="78">
        <v>14.4496852101109</v>
      </c>
      <c r="K257" s="78">
        <v>14.8853541109182</v>
      </c>
      <c r="L257" s="78">
        <v>15.2980930695779</v>
      </c>
      <c r="M257" s="78">
        <v>15.951596420788899</v>
      </c>
      <c r="N257" s="78">
        <v>16.8229342224036</v>
      </c>
      <c r="O257" s="78">
        <v>17.805100077732501</v>
      </c>
      <c r="P257" s="78">
        <v>18.569431482657698</v>
      </c>
      <c r="Q257" s="78">
        <v>19.1770749495732</v>
      </c>
      <c r="R257" s="78">
        <v>20.3617886272073</v>
      </c>
      <c r="S257" s="78">
        <v>22.612744614712</v>
      </c>
      <c r="T257" s="78">
        <v>24.680261065034699</v>
      </c>
      <c r="U257" s="78">
        <v>26.098095821170901</v>
      </c>
      <c r="V257" s="78">
        <v>27.794911540104799</v>
      </c>
      <c r="W257" s="78">
        <v>29.915931188772301</v>
      </c>
      <c r="X257" s="78">
        <v>33.282811027467801</v>
      </c>
      <c r="Y257" s="78">
        <v>37.792366316526397</v>
      </c>
      <c r="Z257" s="78">
        <v>41.698099795694198</v>
      </c>
      <c r="AA257" s="78">
        <v>44.254788345168997</v>
      </c>
      <c r="AB257" s="78">
        <v>45.6764447583299</v>
      </c>
      <c r="AC257" s="78">
        <v>47.640776468987703</v>
      </c>
      <c r="AD257" s="78">
        <v>49.329948873872297</v>
      </c>
      <c r="AE257" s="78">
        <v>50.266254844905703</v>
      </c>
      <c r="AF257" s="78">
        <v>52.108293530775398</v>
      </c>
      <c r="AG257" s="78">
        <v>54.233134836467499</v>
      </c>
      <c r="AH257" s="78">
        <v>56.850969898336302</v>
      </c>
      <c r="AI257" s="78">
        <v>59.919760489110999</v>
      </c>
      <c r="AJ257" s="78">
        <v>62.457340753462603</v>
      </c>
      <c r="AK257" s="78">
        <v>64.349060980652496</v>
      </c>
      <c r="AL257" s="78">
        <v>66.248424521891593</v>
      </c>
      <c r="AM257" s="78">
        <v>67.9758134970225</v>
      </c>
      <c r="AN257" s="78">
        <v>69.882820352310901</v>
      </c>
      <c r="AO257" s="78">
        <v>71.931228517510505</v>
      </c>
      <c r="AP257" s="78">
        <v>73.612757608345902</v>
      </c>
      <c r="AQ257" s="78">
        <v>74.755433058709002</v>
      </c>
      <c r="AR257" s="78">
        <v>76.391102265249003</v>
      </c>
      <c r="AS257" s="78">
        <v>78.970720756871501</v>
      </c>
      <c r="AT257" s="78">
        <v>81.202568459253101</v>
      </c>
      <c r="AU257" s="78">
        <v>82.490466876552006</v>
      </c>
      <c r="AV257" s="78">
        <v>84.363078818618803</v>
      </c>
      <c r="AW257" s="78">
        <v>86.621678120172703</v>
      </c>
      <c r="AX257" s="78">
        <v>89.560532372110202</v>
      </c>
      <c r="AY257" s="78">
        <v>92.449705082727405</v>
      </c>
      <c r="AZ257" s="78">
        <v>95.086992378851505</v>
      </c>
      <c r="BA257" s="78">
        <v>98.737477385344505</v>
      </c>
      <c r="BB257" s="78">
        <v>98.386419971062395</v>
      </c>
      <c r="BC257" s="78">
        <v>100</v>
      </c>
      <c r="BD257" s="78">
        <v>103.156841568622</v>
      </c>
      <c r="BE257" s="78">
        <v>105.29150453286699</v>
      </c>
      <c r="BF257" s="78">
        <v>106.83384887486601</v>
      </c>
      <c r="BG257" s="78">
        <v>108.566932118964</v>
      </c>
      <c r="BH257" s="78">
        <v>108.695721960694</v>
      </c>
      <c r="BI257" s="78">
        <v>110.06700893427001</v>
      </c>
      <c r="BJ257" s="78">
        <v>112.411557302308</v>
      </c>
      <c r="BK257" s="78">
        <v>115.15730322479099</v>
      </c>
      <c r="BL257" s="78">
        <v>117.244195476228</v>
      </c>
      <c r="BM257" s="78">
        <v>118.69050157719801</v>
      </c>
      <c r="BN257" s="78">
        <v>124.266413825838</v>
      </c>
      <c r="BO257" s="78">
        <v>134.21120616846</v>
      </c>
      <c r="BP257" s="78">
        <v>139.73579356325999</v>
      </c>
    </row>
    <row r="258" spans="1:68" x14ac:dyDescent="0.25">
      <c r="A258" s="78" t="s">
        <v>1169</v>
      </c>
      <c r="B258" s="78" t="s">
        <v>1170</v>
      </c>
      <c r="C258" s="78" t="s">
        <v>691</v>
      </c>
      <c r="D258" s="78" t="s">
        <v>692</v>
      </c>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v>100</v>
      </c>
      <c r="BD258" s="78">
        <v>113.77974464766</v>
      </c>
      <c r="BE258" s="78">
        <v>128.80868659527701</v>
      </c>
      <c r="BF258" s="78">
        <v>144.06148138318801</v>
      </c>
      <c r="BG258" s="78">
        <v>157.43484348625501</v>
      </c>
      <c r="BH258" s="78">
        <v>171.213355163693</v>
      </c>
      <c r="BI258" s="78">
        <v>185.13451907916499</v>
      </c>
      <c r="BJ258" s="78">
        <v>210.823308306965</v>
      </c>
      <c r="BK258" s="78">
        <v>247.76836360171501</v>
      </c>
      <c r="BL258" s="78">
        <v>283.75854188117199</v>
      </c>
      <c r="BM258" s="78">
        <v>320.271824153995</v>
      </c>
      <c r="BN258" s="78">
        <v>355.01888221076098</v>
      </c>
      <c r="BO258" s="78">
        <v>395.65662872473598</v>
      </c>
      <c r="BP258" s="78"/>
    </row>
    <row r="259" spans="1:68" x14ac:dyDescent="0.25">
      <c r="A259" s="78" t="s">
        <v>1171</v>
      </c>
      <c r="B259" s="78" t="s">
        <v>1172</v>
      </c>
      <c r="C259" s="78" t="s">
        <v>691</v>
      </c>
      <c r="D259" s="78" t="s">
        <v>692</v>
      </c>
      <c r="E259" s="78"/>
      <c r="F259" s="78"/>
      <c r="G259" s="78"/>
      <c r="H259" s="78"/>
      <c r="I259" s="78"/>
      <c r="J259" s="78"/>
      <c r="K259" s="78"/>
      <c r="L259" s="78"/>
      <c r="M259" s="78"/>
      <c r="N259" s="78"/>
      <c r="O259" s="78"/>
      <c r="P259" s="78"/>
      <c r="Q259" s="78"/>
      <c r="R259" s="78"/>
      <c r="S259" s="78">
        <v>19.623981849996301</v>
      </c>
      <c r="T259" s="78">
        <v>20.957962598133999</v>
      </c>
      <c r="U259" s="78">
        <v>23.323903352837799</v>
      </c>
      <c r="V259" s="78">
        <v>25.6998891432962</v>
      </c>
      <c r="W259" s="78">
        <v>27.866268521030602</v>
      </c>
      <c r="X259" s="78">
        <v>32.215769002723597</v>
      </c>
      <c r="Y259" s="78">
        <v>37.759289401128598</v>
      </c>
      <c r="Z259" s="78">
        <v>42.568182851320799</v>
      </c>
      <c r="AA259" s="78">
        <v>45.645120347323498</v>
      </c>
      <c r="AB259" s="78">
        <v>48.136608114338202</v>
      </c>
      <c r="AC259" s="78">
        <v>49.437237910187598</v>
      </c>
      <c r="AD259" s="78">
        <v>50.495039125230399</v>
      </c>
      <c r="AE259" s="78">
        <v>51.013960475924499</v>
      </c>
      <c r="AF259" s="78">
        <v>52.7004548656802</v>
      </c>
      <c r="AG259" s="78">
        <v>52.820205946609597</v>
      </c>
      <c r="AH259" s="78">
        <v>54.317094458227103</v>
      </c>
      <c r="AI259" s="78">
        <v>58.448506750291401</v>
      </c>
      <c r="AJ259" s="78">
        <v>61.658501002982398</v>
      </c>
      <c r="AK259" s="78">
        <v>63.794061946223401</v>
      </c>
      <c r="AL259" s="78">
        <v>66.531704713026002</v>
      </c>
      <c r="AM259" s="78">
        <v>67.202976050013703</v>
      </c>
      <c r="AN259" s="78">
        <v>68.371214372858006</v>
      </c>
      <c r="AO259" s="78">
        <v>71.384949909581195</v>
      </c>
      <c r="AP259" s="78">
        <v>71.701624990261493</v>
      </c>
      <c r="AQ259" s="78">
        <v>73.237765245072396</v>
      </c>
      <c r="AR259" s="78">
        <v>73.980066940174197</v>
      </c>
      <c r="AS259" s="78">
        <v>74.1041164482331</v>
      </c>
      <c r="AT259" s="78">
        <v>74.771689669633403</v>
      </c>
      <c r="AU259" s="78">
        <v>76.159081355192697</v>
      </c>
      <c r="AV259" s="78">
        <v>76.315955132392901</v>
      </c>
      <c r="AW259" s="78">
        <v>78.574937524077001</v>
      </c>
      <c r="AX259" s="78">
        <v>81.508477157722297</v>
      </c>
      <c r="AY259" s="78">
        <v>83.742359745054301</v>
      </c>
      <c r="AZ259" s="78">
        <v>89.802080010746806</v>
      </c>
      <c r="BA259" s="78">
        <v>98.841774548135703</v>
      </c>
      <c r="BB259" s="78">
        <v>99.258431300379698</v>
      </c>
      <c r="BC259" s="78">
        <v>100</v>
      </c>
      <c r="BD259" s="78">
        <v>103.186031115525</v>
      </c>
      <c r="BE259" s="78">
        <v>105.86726249586199</v>
      </c>
      <c r="BF259" s="78">
        <v>106.719629261834</v>
      </c>
      <c r="BG259" s="78">
        <v>106.926514399206</v>
      </c>
      <c r="BH259" s="78">
        <v>105.07282356835501</v>
      </c>
      <c r="BI259" s="78">
        <v>104.915590863952</v>
      </c>
      <c r="BJ259" s="78">
        <v>107.174776564052</v>
      </c>
      <c r="BK259" s="78">
        <v>109.66567361800701</v>
      </c>
      <c r="BL259" s="78">
        <v>110.666997682887</v>
      </c>
      <c r="BM259" s="78">
        <v>109.971863621317</v>
      </c>
      <c r="BN259" s="78">
        <v>111.701423369745</v>
      </c>
      <c r="BO259" s="78">
        <v>118.023833167825</v>
      </c>
      <c r="BP259" s="78">
        <v>123.411122144985</v>
      </c>
    </row>
    <row r="260" spans="1:68" x14ac:dyDescent="0.25">
      <c r="A260" s="78" t="s">
        <v>1173</v>
      </c>
      <c r="B260" s="78" t="s">
        <v>1174</v>
      </c>
      <c r="C260" s="78" t="s">
        <v>691</v>
      </c>
      <c r="D260" s="78" t="s">
        <v>692</v>
      </c>
      <c r="E260" s="78"/>
      <c r="F260" s="78"/>
      <c r="G260" s="78"/>
      <c r="H260" s="78"/>
      <c r="I260" s="78"/>
      <c r="J260" s="78"/>
      <c r="K260" s="78"/>
      <c r="L260" s="78"/>
      <c r="M260" s="78"/>
      <c r="N260" s="78"/>
      <c r="O260" s="78"/>
      <c r="P260" s="78"/>
      <c r="Q260" s="78"/>
      <c r="R260" s="78"/>
      <c r="S260" s="78"/>
      <c r="T260" s="78"/>
      <c r="U260" s="78"/>
      <c r="V260" s="78"/>
      <c r="W260" s="78"/>
      <c r="X260" s="78"/>
      <c r="Y260" s="78"/>
      <c r="Z260" s="78"/>
      <c r="AA260" s="78"/>
      <c r="AB260" s="78"/>
      <c r="AC260" s="78"/>
      <c r="AD260" s="78"/>
      <c r="AE260" s="78"/>
      <c r="AF260" s="78"/>
      <c r="AG260" s="78"/>
      <c r="AH260" s="78"/>
      <c r="AI260" s="78"/>
      <c r="AJ260" s="78"/>
      <c r="AK260" s="78"/>
      <c r="AL260" s="78"/>
      <c r="AM260" s="78"/>
      <c r="AN260" s="78"/>
      <c r="AO260" s="78"/>
      <c r="AP260" s="78"/>
      <c r="AQ260" s="78"/>
      <c r="AR260" s="78"/>
      <c r="AS260" s="78"/>
      <c r="AT260" s="78"/>
      <c r="AU260" s="78"/>
      <c r="AV260" s="78"/>
      <c r="AW260" s="78"/>
      <c r="AX260" s="78"/>
      <c r="AY260" s="78"/>
      <c r="AZ260" s="78"/>
      <c r="BA260" s="78">
        <v>61.386661968108498</v>
      </c>
      <c r="BB260" s="78">
        <v>78.010747951722294</v>
      </c>
      <c r="BC260" s="78">
        <v>100</v>
      </c>
      <c r="BD260" s="78">
        <v>126.090212316096</v>
      </c>
      <c r="BE260" s="78">
        <v>152.656153642851</v>
      </c>
      <c r="BF260" s="78">
        <v>214.69474055149399</v>
      </c>
      <c r="BG260" s="78">
        <v>348.16756232931101</v>
      </c>
      <c r="BH260" s="78">
        <v>772.02008633600497</v>
      </c>
      <c r="BI260" s="78">
        <v>2740.2739846709601</v>
      </c>
      <c r="BJ260" s="78"/>
      <c r="BK260" s="78"/>
      <c r="BL260" s="78"/>
      <c r="BM260" s="78"/>
      <c r="BN260" s="78"/>
      <c r="BO260" s="78"/>
      <c r="BP260" s="78"/>
    </row>
    <row r="261" spans="1:68" x14ac:dyDescent="0.25">
      <c r="A261" s="78" t="s">
        <v>1175</v>
      </c>
      <c r="B261" s="78" t="s">
        <v>1176</v>
      </c>
      <c r="C261" s="78" t="s">
        <v>691</v>
      </c>
      <c r="D261" s="78" t="s">
        <v>692</v>
      </c>
      <c r="E261" s="78"/>
      <c r="F261" s="78"/>
      <c r="G261" s="78"/>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row>
    <row r="262" spans="1:68" x14ac:dyDescent="0.25">
      <c r="A262" s="78" t="s">
        <v>1177</v>
      </c>
      <c r="B262" s="78" t="s">
        <v>1178</v>
      </c>
      <c r="C262" s="78" t="s">
        <v>691</v>
      </c>
      <c r="D262" s="78" t="s">
        <v>692</v>
      </c>
      <c r="E262" s="78"/>
      <c r="F262" s="78"/>
      <c r="G262" s="78"/>
      <c r="H262" s="78"/>
      <c r="I262" s="78"/>
      <c r="J262" s="78"/>
      <c r="K262" s="78"/>
      <c r="L262" s="78"/>
      <c r="M262" s="78"/>
      <c r="N262" s="78"/>
      <c r="O262" s="78"/>
      <c r="P262" s="78"/>
      <c r="Q262" s="78"/>
      <c r="R262" s="78"/>
      <c r="S262" s="78"/>
      <c r="T262" s="78"/>
      <c r="U262" s="78"/>
      <c r="V262" s="78"/>
      <c r="W262" s="78"/>
      <c r="X262" s="78"/>
      <c r="Y262" s="78"/>
      <c r="Z262" s="78"/>
      <c r="AA262" s="78"/>
      <c r="AB262" s="78"/>
      <c r="AC262" s="78"/>
      <c r="AD262" s="78"/>
      <c r="AE262" s="78"/>
      <c r="AF262" s="78"/>
      <c r="AG262" s="78"/>
      <c r="AH262" s="78"/>
      <c r="AI262" s="78"/>
      <c r="AJ262" s="78"/>
      <c r="AK262" s="78"/>
      <c r="AL262" s="78"/>
      <c r="AM262" s="78"/>
      <c r="AN262" s="78"/>
      <c r="AO262" s="78"/>
      <c r="AP262" s="78"/>
      <c r="AQ262" s="78"/>
      <c r="AR262" s="78"/>
      <c r="AS262" s="78"/>
      <c r="AT262" s="78"/>
      <c r="AU262" s="78"/>
      <c r="AV262" s="78"/>
      <c r="AW262" s="78"/>
      <c r="AX262" s="78"/>
      <c r="AY262" s="78"/>
      <c r="AZ262" s="78"/>
      <c r="BA262" s="78"/>
      <c r="BB262" s="78"/>
      <c r="BC262" s="78"/>
      <c r="BD262" s="78"/>
      <c r="BE262" s="78"/>
      <c r="BF262" s="78"/>
      <c r="BG262" s="78"/>
      <c r="BH262" s="78"/>
      <c r="BI262" s="78"/>
      <c r="BJ262" s="78"/>
      <c r="BK262" s="78"/>
      <c r="BL262" s="78"/>
      <c r="BM262" s="78"/>
      <c r="BN262" s="78"/>
      <c r="BO262" s="78"/>
      <c r="BP262" s="78"/>
    </row>
    <row r="263" spans="1:68" x14ac:dyDescent="0.25">
      <c r="A263" s="78" t="s">
        <v>1179</v>
      </c>
      <c r="B263" s="78" t="s">
        <v>1180</v>
      </c>
      <c r="C263" s="78" t="s">
        <v>691</v>
      </c>
      <c r="D263" s="78" t="s">
        <v>692</v>
      </c>
      <c r="E263" s="78"/>
      <c r="F263" s="78"/>
      <c r="G263" s="78"/>
      <c r="H263" s="78"/>
      <c r="I263" s="78"/>
      <c r="J263" s="78"/>
      <c r="K263" s="78"/>
      <c r="L263" s="78"/>
      <c r="M263" s="78"/>
      <c r="N263" s="78"/>
      <c r="O263" s="78"/>
      <c r="P263" s="78"/>
      <c r="Q263" s="78"/>
      <c r="R263" s="78"/>
      <c r="S263" s="78"/>
      <c r="T263" s="78"/>
      <c r="U263" s="78"/>
      <c r="V263" s="78"/>
      <c r="W263" s="78"/>
      <c r="X263" s="78"/>
      <c r="Y263" s="78"/>
      <c r="Z263" s="78"/>
      <c r="AA263" s="78"/>
      <c r="AB263" s="78"/>
      <c r="AC263" s="78"/>
      <c r="AD263" s="78"/>
      <c r="AE263" s="78"/>
      <c r="AF263" s="78"/>
      <c r="AG263" s="78"/>
      <c r="AH263" s="78"/>
      <c r="AI263" s="78"/>
      <c r="AJ263" s="78"/>
      <c r="AK263" s="78"/>
      <c r="AL263" s="78"/>
      <c r="AM263" s="78"/>
      <c r="AN263" s="78">
        <v>40.165720382289898</v>
      </c>
      <c r="AO263" s="78">
        <v>42.445125013984899</v>
      </c>
      <c r="AP263" s="78">
        <v>43.807412363617701</v>
      </c>
      <c r="AQ263" s="78">
        <v>46.990545703914101</v>
      </c>
      <c r="AR263" s="78">
        <v>48.9251945689942</v>
      </c>
      <c r="AS263" s="78">
        <v>48.088408727696603</v>
      </c>
      <c r="AT263" s="78">
        <v>47.880885839054798</v>
      </c>
      <c r="AU263" s="78">
        <v>49.715120403179398</v>
      </c>
      <c r="AV263" s="78">
        <v>51.323229636975398</v>
      </c>
      <c r="AW263" s="78">
        <v>55.303319144004497</v>
      </c>
      <c r="AX263" s="78">
        <v>59.8849626753953</v>
      </c>
      <c r="AY263" s="78">
        <v>64.327239477576697</v>
      </c>
      <c r="AZ263" s="78">
        <v>69.694993103108899</v>
      </c>
      <c r="BA263" s="78">
        <v>85.805303234615295</v>
      </c>
      <c r="BB263" s="78">
        <v>91.568830608469398</v>
      </c>
      <c r="BC263" s="78">
        <v>100</v>
      </c>
      <c r="BD263" s="78">
        <v>118.677732277071</v>
      </c>
      <c r="BE263" s="78">
        <v>129.47112002426101</v>
      </c>
      <c r="BF263" s="78">
        <v>138.00672987428501</v>
      </c>
      <c r="BG263" s="78">
        <v>143.64368992326499</v>
      </c>
      <c r="BH263" s="78">
        <v>144.55037019428801</v>
      </c>
      <c r="BI263" s="78">
        <v>148.40733280127799</v>
      </c>
      <c r="BJ263" s="78">
        <v>153.63165215668499</v>
      </c>
      <c r="BK263" s="78">
        <v>159.06964122458299</v>
      </c>
      <c r="BL263" s="78">
        <v>163.516947912918</v>
      </c>
      <c r="BM263" s="78">
        <v>168.78372148333801</v>
      </c>
      <c r="BN263" s="78">
        <v>171.88042266406299</v>
      </c>
      <c r="BO263" s="78">
        <v>177.305841095852</v>
      </c>
      <c r="BP263" s="78">
        <v>183.073410082137</v>
      </c>
    </row>
    <row r="264" spans="1:68" x14ac:dyDescent="0.25">
      <c r="A264" s="78" t="s">
        <v>1181</v>
      </c>
      <c r="B264" s="78" t="s">
        <v>1182</v>
      </c>
      <c r="C264" s="78" t="s">
        <v>691</v>
      </c>
      <c r="D264" s="78" t="s">
        <v>692</v>
      </c>
      <c r="E264" s="78"/>
      <c r="F264" s="78"/>
      <c r="G264" s="78"/>
      <c r="H264" s="78"/>
      <c r="I264" s="78"/>
      <c r="J264" s="78"/>
      <c r="K264" s="78"/>
      <c r="L264" s="78"/>
      <c r="M264" s="78"/>
      <c r="N264" s="78"/>
      <c r="O264" s="78"/>
      <c r="P264" s="78"/>
      <c r="Q264" s="78"/>
      <c r="R264" s="78"/>
      <c r="S264" s="78"/>
      <c r="T264" s="78"/>
      <c r="U264" s="78">
        <v>19.574098899955199</v>
      </c>
      <c r="V264" s="78">
        <v>20.696968938941399</v>
      </c>
      <c r="W264" s="78">
        <v>22.0244297053701</v>
      </c>
      <c r="X264" s="78">
        <v>22.942709016913899</v>
      </c>
      <c r="Y264" s="78">
        <v>25.521503767466999</v>
      </c>
      <c r="Z264" s="78">
        <v>32.372914174840801</v>
      </c>
      <c r="AA264" s="78">
        <v>34.533011622721098</v>
      </c>
      <c r="AB264" s="78">
        <v>35.103962490002303</v>
      </c>
      <c r="AC264" s="78">
        <v>37.040437514864102</v>
      </c>
      <c r="AD264" s="78">
        <v>37.435345198066898</v>
      </c>
      <c r="AE264" s="78">
        <v>39.219566658320502</v>
      </c>
      <c r="AF264" s="78">
        <v>45.510147874006101</v>
      </c>
      <c r="AG264" s="78">
        <v>49.496941670789198</v>
      </c>
      <c r="AH264" s="78">
        <v>53.331988990878301</v>
      </c>
      <c r="AI264" s="78">
        <v>55.870293691944397</v>
      </c>
      <c r="AJ264" s="78">
        <v>59.484618864114601</v>
      </c>
      <c r="AK264" s="78">
        <v>61.8987673569764</v>
      </c>
      <c r="AL264" s="78">
        <v>64.1059888361644</v>
      </c>
      <c r="AM264" s="78">
        <v>65.582068200371296</v>
      </c>
      <c r="AN264" s="78">
        <v>67.044352430333205</v>
      </c>
      <c r="AO264" s="78">
        <v>67.652005171393697</v>
      </c>
      <c r="AP264" s="78">
        <v>69.567031991705306</v>
      </c>
      <c r="AQ264" s="78">
        <v>71.850333200538401</v>
      </c>
      <c r="AR264" s="78">
        <v>73.286603315772098</v>
      </c>
      <c r="AS264" s="78">
        <v>75.146388977805501</v>
      </c>
      <c r="AT264" s="78">
        <v>77.834792014012294</v>
      </c>
      <c r="AU264" s="78">
        <v>79.363130726376298</v>
      </c>
      <c r="AV264" s="78">
        <v>81.756914251765906</v>
      </c>
      <c r="AW264" s="78">
        <v>82.916978575608496</v>
      </c>
      <c r="AX264" s="78">
        <v>83.911319424616494</v>
      </c>
      <c r="AY264" s="78">
        <v>85.623795331241297</v>
      </c>
      <c r="AZ264" s="78">
        <v>88.993505986212696</v>
      </c>
      <c r="BA264" s="78">
        <v>93.3023163319139</v>
      </c>
      <c r="BB264" s="78">
        <v>97.311578191892295</v>
      </c>
      <c r="BC264" s="78">
        <v>100</v>
      </c>
      <c r="BD264" s="78">
        <v>100.873793104781</v>
      </c>
      <c r="BE264" s="78">
        <v>102.23297025356</v>
      </c>
      <c r="BF264" s="78">
        <v>103.72448152707101</v>
      </c>
      <c r="BG264" s="78">
        <v>104.55309890124499</v>
      </c>
      <c r="BH264" s="78">
        <v>107.149433340321</v>
      </c>
      <c r="BI264" s="78">
        <v>108.051705592199</v>
      </c>
      <c r="BJ264" s="78">
        <v>111.384588808318</v>
      </c>
      <c r="BK264" s="78">
        <v>113.980923247394</v>
      </c>
      <c r="BL264" s="78">
        <v>117.129669269253</v>
      </c>
      <c r="BM264" s="78">
        <v>123.37192015469201</v>
      </c>
      <c r="BN264" s="78">
        <v>126.26287410458499</v>
      </c>
      <c r="BO264" s="78">
        <v>134.69635760172699</v>
      </c>
      <c r="BP264" s="78"/>
    </row>
    <row r="265" spans="1:68" x14ac:dyDescent="0.25">
      <c r="A265" s="78" t="s">
        <v>1183</v>
      </c>
      <c r="B265" s="78" t="s">
        <v>1184</v>
      </c>
      <c r="C265" s="78" t="s">
        <v>691</v>
      </c>
      <c r="D265" s="78" t="s">
        <v>692</v>
      </c>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row>
    <row r="266" spans="1:68" x14ac:dyDescent="0.25">
      <c r="A266" s="78" t="s">
        <v>1185</v>
      </c>
      <c r="B266" s="78" t="s">
        <v>1186</v>
      </c>
      <c r="C266" s="78" t="s">
        <v>691</v>
      </c>
      <c r="D266" s="78" t="s">
        <v>692</v>
      </c>
      <c r="E266" s="78"/>
      <c r="F266" s="78">
        <v>3.6283948844660601</v>
      </c>
      <c r="G266" s="78">
        <v>3.7247239521952502</v>
      </c>
      <c r="H266" s="78">
        <v>3.7504117035897</v>
      </c>
      <c r="I266" s="78">
        <v>3.9494917768966902</v>
      </c>
      <c r="J266" s="78">
        <v>4.0329769689286499</v>
      </c>
      <c r="K266" s="78">
        <v>4.1485718502036697</v>
      </c>
      <c r="L266" s="78">
        <v>4.1271653907083099</v>
      </c>
      <c r="M266" s="78">
        <v>4.19780670704304</v>
      </c>
      <c r="N266" s="78">
        <v>4.37119902895558</v>
      </c>
      <c r="O266" s="78">
        <v>4.49107520212966</v>
      </c>
      <c r="P266" s="78">
        <v>4.7051397970834303</v>
      </c>
      <c r="Q266" s="78">
        <v>5.0583463787571201</v>
      </c>
      <c r="R266" s="78">
        <v>5.6534225383328103</v>
      </c>
      <c r="S266" s="78">
        <v>7.0660815954786198</v>
      </c>
      <c r="T266" s="78">
        <v>7.6870306315906296</v>
      </c>
      <c r="U266" s="78">
        <v>8.0639785400525099</v>
      </c>
      <c r="V266" s="78">
        <v>9.2421895316302294</v>
      </c>
      <c r="W266" s="78">
        <v>9.4324546850057907</v>
      </c>
      <c r="X266" s="78">
        <v>10.4813012940729</v>
      </c>
      <c r="Y266" s="78">
        <v>13.9450823916488</v>
      </c>
      <c r="Z266" s="78">
        <v>16.804748066546999</v>
      </c>
      <c r="AA266" s="78">
        <v>19.879382514438099</v>
      </c>
      <c r="AB266" s="78">
        <v>23.1515558345451</v>
      </c>
      <c r="AC266" s="78">
        <v>25.8973461596518</v>
      </c>
      <c r="AD266" s="78">
        <v>28.251544720182</v>
      </c>
      <c r="AE266" s="78">
        <v>29.8713634731855</v>
      </c>
      <c r="AF266" s="78">
        <v>31.235543685519001</v>
      </c>
      <c r="AG266" s="78">
        <v>33.8930225147584</v>
      </c>
      <c r="AH266" s="78">
        <v>36.083380010655198</v>
      </c>
      <c r="AI266" s="78">
        <v>41.581932621044501</v>
      </c>
      <c r="AJ266" s="78">
        <v>40.825474939437598</v>
      </c>
      <c r="AK266" s="78">
        <v>44.512479891416803</v>
      </c>
      <c r="AL266" s="78">
        <v>45.275909533222801</v>
      </c>
      <c r="AM266" s="78">
        <v>50.745412309449001</v>
      </c>
      <c r="AN266" s="78">
        <v>49.272004720697197</v>
      </c>
      <c r="AO266" s="78">
        <v>51.920187603004301</v>
      </c>
      <c r="AP266" s="78">
        <v>55.482859264765601</v>
      </c>
      <c r="AQ266" s="78">
        <v>56.713932192218699</v>
      </c>
      <c r="AR266" s="78">
        <v>56.864292244426899</v>
      </c>
      <c r="AS266" s="78">
        <v>57.4140461853125</v>
      </c>
      <c r="AT266" s="78">
        <v>59.6177607004864</v>
      </c>
      <c r="AU266" s="78">
        <v>64.417177914110397</v>
      </c>
      <c r="AV266" s="78">
        <v>64.4917924059028</v>
      </c>
      <c r="AW266" s="78">
        <v>75.012435748632001</v>
      </c>
      <c r="AX266" s="78">
        <v>76.405239595423595</v>
      </c>
      <c r="AY266" s="78">
        <v>79.232299784446994</v>
      </c>
      <c r="AZ266" s="78">
        <v>83.651135798374995</v>
      </c>
      <c r="BA266" s="78">
        <v>93.326148234123707</v>
      </c>
      <c r="BB266" s="78">
        <v>99.228983584811701</v>
      </c>
      <c r="BC266" s="78">
        <v>100</v>
      </c>
      <c r="BD266" s="78">
        <v>105.235415914784</v>
      </c>
      <c r="BE266" s="78">
        <v>107.391709408192</v>
      </c>
      <c r="BF266" s="78">
        <v>108.04689089272701</v>
      </c>
      <c r="BG266" s="78">
        <v>107.60733875753201</v>
      </c>
      <c r="BH266" s="78">
        <v>108.386921789764</v>
      </c>
      <c r="BI266" s="78">
        <v>109.80106621915699</v>
      </c>
      <c r="BJ266" s="78">
        <v>111.722471535674</v>
      </c>
      <c r="BK266" s="78">
        <v>116.41197634551899</v>
      </c>
      <c r="BL266" s="78">
        <v>117.55552211969299</v>
      </c>
      <c r="BM266" s="78">
        <v>115.711178865273</v>
      </c>
      <c r="BN266" s="78">
        <v>119.336646996638</v>
      </c>
      <c r="BO266" s="78">
        <v>132.41818969606999</v>
      </c>
      <c r="BP266" s="78">
        <v>143.16882282028399</v>
      </c>
    </row>
    <row r="267" spans="1:68" x14ac:dyDescent="0.25">
      <c r="A267" s="78" t="s">
        <v>1187</v>
      </c>
      <c r="B267" s="78" t="s">
        <v>1188</v>
      </c>
      <c r="C267" s="78" t="s">
        <v>691</v>
      </c>
      <c r="D267" s="78" t="s">
        <v>692</v>
      </c>
      <c r="E267" s="78"/>
      <c r="F267" s="78"/>
      <c r="G267" s="78"/>
      <c r="H267" s="78"/>
      <c r="I267" s="78"/>
      <c r="J267" s="78"/>
      <c r="K267" s="78"/>
      <c r="L267" s="78"/>
      <c r="M267" s="78"/>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78"/>
      <c r="AM267" s="78"/>
      <c r="AN267" s="78"/>
      <c r="AO267" s="78"/>
      <c r="AP267" s="78"/>
      <c r="AQ267" s="78"/>
      <c r="AR267" s="78"/>
      <c r="AS267" s="78"/>
      <c r="AT267" s="78"/>
      <c r="AU267" s="78">
        <v>89.359626036936703</v>
      </c>
      <c r="AV267" s="78">
        <v>88.390241533577395</v>
      </c>
      <c r="AW267" s="78">
        <v>87.449126796608098</v>
      </c>
      <c r="AX267" s="78">
        <v>86.237790996548497</v>
      </c>
      <c r="AY267" s="78">
        <v>86.773885584196293</v>
      </c>
      <c r="AZ267" s="78">
        <v>90.555922743629296</v>
      </c>
      <c r="BA267" s="78">
        <v>99.023279723874595</v>
      </c>
      <c r="BB267" s="78">
        <v>96.636557244620704</v>
      </c>
      <c r="BC267" s="78">
        <v>100</v>
      </c>
      <c r="BD267" s="78">
        <v>107.336417713153</v>
      </c>
      <c r="BE267" s="78">
        <v>109.994859366968</v>
      </c>
      <c r="BF267" s="78">
        <v>111.938825227216</v>
      </c>
      <c r="BG267" s="78">
        <v>112.418995558574</v>
      </c>
      <c r="BH267" s="78">
        <v>111.815384928396</v>
      </c>
      <c r="BI267" s="78">
        <v>112.12083037922601</v>
      </c>
      <c r="BJ267" s="78">
        <v>113.78945104101599</v>
      </c>
      <c r="BK267" s="78">
        <v>114.988561700519</v>
      </c>
      <c r="BL267" s="78">
        <v>118.065646442895</v>
      </c>
      <c r="BM267" s="78">
        <v>118.29968552161</v>
      </c>
      <c r="BN267" s="78">
        <v>122.267091891806</v>
      </c>
      <c r="BO267" s="78">
        <v>136.426245250384</v>
      </c>
      <c r="BP267" s="78">
        <v>143.17146863473499</v>
      </c>
    </row>
    <row r="268" spans="1:68" x14ac:dyDescent="0.25">
      <c r="A268" s="78" t="s">
        <v>1189</v>
      </c>
      <c r="B268" s="78" t="s">
        <v>1190</v>
      </c>
      <c r="C268" s="78" t="s">
        <v>691</v>
      </c>
      <c r="D268" s="78" t="s">
        <v>692</v>
      </c>
      <c r="E268" s="78"/>
      <c r="F268" s="78"/>
      <c r="G268" s="78"/>
      <c r="H268" s="78"/>
      <c r="I268" s="78"/>
      <c r="J268" s="78"/>
      <c r="K268" s="78"/>
      <c r="L268" s="78"/>
      <c r="M268" s="78"/>
      <c r="N268" s="78"/>
      <c r="O268" s="78"/>
      <c r="P268" s="78"/>
      <c r="Q268" s="78"/>
      <c r="R268" s="78"/>
      <c r="S268" s="78"/>
      <c r="T268" s="78"/>
      <c r="U268" s="78"/>
      <c r="V268" s="78"/>
      <c r="W268" s="78"/>
      <c r="X268" s="78"/>
      <c r="Y268" s="78"/>
      <c r="Z268" s="78"/>
      <c r="AA268" s="78"/>
      <c r="AB268" s="78"/>
      <c r="AC268" s="78"/>
      <c r="AD268" s="78"/>
      <c r="AE268" s="78"/>
      <c r="AF268" s="78"/>
      <c r="AG268" s="78"/>
      <c r="AH268" s="78"/>
      <c r="AI268" s="78">
        <v>3.84468633427295</v>
      </c>
      <c r="AJ268" s="78">
        <v>5.2287734146112097</v>
      </c>
      <c r="AK268" s="78">
        <v>6.7666479483203901</v>
      </c>
      <c r="AL268" s="78">
        <v>9.1858800885278296</v>
      </c>
      <c r="AM268" s="78">
        <v>13.7231679725975</v>
      </c>
      <c r="AN268" s="78">
        <v>21.282040789564999</v>
      </c>
      <c r="AO268" s="78">
        <v>27.822806440626501</v>
      </c>
      <c r="AP268" s="78">
        <v>28.428432889798898</v>
      </c>
      <c r="AQ268" s="78">
        <v>30.127460603963499</v>
      </c>
      <c r="AR268" s="78">
        <v>32.736564820127697</v>
      </c>
      <c r="AS268" s="78">
        <v>34.239173145371502</v>
      </c>
      <c r="AT268" s="78">
        <v>38.317603512545801</v>
      </c>
      <c r="AU268" s="78">
        <v>43.007116423029103</v>
      </c>
      <c r="AV268" s="78">
        <v>47.6658024016401</v>
      </c>
      <c r="AW268" s="78">
        <v>53.631222925987899</v>
      </c>
      <c r="AX268" s="78">
        <v>59.965748218682599</v>
      </c>
      <c r="AY268" s="78">
        <v>66.468912896805904</v>
      </c>
      <c r="AZ268" s="78">
        <v>71.723358754955996</v>
      </c>
      <c r="BA268" s="78">
        <v>85.333767951035398</v>
      </c>
      <c r="BB268" s="78">
        <v>89.948414157716797</v>
      </c>
      <c r="BC268" s="78">
        <v>100</v>
      </c>
      <c r="BD268" s="78">
        <v>119.543561713114</v>
      </c>
      <c r="BE268" s="78">
        <v>131.36090559519701</v>
      </c>
      <c r="BF268" s="78">
        <v>145.76915053314801</v>
      </c>
      <c r="BG268" s="78">
        <v>157.58334053767501</v>
      </c>
      <c r="BH268" s="78"/>
      <c r="BI268" s="78"/>
      <c r="BJ268" s="78"/>
      <c r="BK268" s="78"/>
      <c r="BL268" s="78"/>
      <c r="BM268" s="78"/>
      <c r="BN268" s="78"/>
      <c r="BO268" s="78"/>
      <c r="BP268" s="78"/>
    </row>
    <row r="269" spans="1:68" x14ac:dyDescent="0.25">
      <c r="A269" s="78" t="s">
        <v>1191</v>
      </c>
      <c r="B269" s="78" t="s">
        <v>1192</v>
      </c>
      <c r="C269" s="78" t="s">
        <v>691</v>
      </c>
      <c r="D269" s="78" t="s">
        <v>692</v>
      </c>
      <c r="E269" s="78">
        <v>1.7724596246884601</v>
      </c>
      <c r="F269" s="78">
        <v>1.80972335434687</v>
      </c>
      <c r="G269" s="78">
        <v>1.83227767189562</v>
      </c>
      <c r="H269" s="78">
        <v>1.85679299222988</v>
      </c>
      <c r="I269" s="78">
        <v>1.90386219029468</v>
      </c>
      <c r="J269" s="78">
        <v>1.98133088989884</v>
      </c>
      <c r="K269" s="78">
        <v>2.0504641548160101</v>
      </c>
      <c r="L269" s="78">
        <v>2.12302990763818</v>
      </c>
      <c r="M269" s="78">
        <v>2.1651961589209798</v>
      </c>
      <c r="N269" s="78">
        <v>2.2353100718369801</v>
      </c>
      <c r="O269" s="78">
        <v>2.3468940038117601</v>
      </c>
      <c r="P269" s="78">
        <v>2.4867078141035099</v>
      </c>
      <c r="Q269" s="78">
        <v>2.6464964081512998</v>
      </c>
      <c r="R269" s="78">
        <v>2.8961665444949398</v>
      </c>
      <c r="S269" s="78">
        <v>3.2357167570737402</v>
      </c>
      <c r="T269" s="78">
        <v>3.6701422078874102</v>
      </c>
      <c r="U269" s="78">
        <v>4.07460621609735</v>
      </c>
      <c r="V269" s="78">
        <v>4.5290048380002901</v>
      </c>
      <c r="W269" s="78">
        <v>5.0333370473537604</v>
      </c>
      <c r="X269" s="78">
        <v>5.7024516933000999</v>
      </c>
      <c r="Y269" s="78">
        <v>6.4814203196012299</v>
      </c>
      <c r="Z269" s="78">
        <v>7.4701120070371001</v>
      </c>
      <c r="AA269" s="78">
        <v>8.5636641254947996</v>
      </c>
      <c r="AB269" s="78">
        <v>9.6172694619557308</v>
      </c>
      <c r="AC269" s="78">
        <v>10.7258022284123</v>
      </c>
      <c r="AD269" s="78">
        <v>12.4734887846357</v>
      </c>
      <c r="AE269" s="78">
        <v>14.8004080046914</v>
      </c>
      <c r="AF269" s="78">
        <v>17.1922399941358</v>
      </c>
      <c r="AG269" s="78">
        <v>19.389330010262402</v>
      </c>
      <c r="AH269" s="78">
        <v>22.2455563700337</v>
      </c>
      <c r="AI269" s="78">
        <v>25.431332649171701</v>
      </c>
      <c r="AJ269" s="78">
        <v>29.331177246738001</v>
      </c>
      <c r="AK269" s="78">
        <v>33.400784342471802</v>
      </c>
      <c r="AL269" s="78">
        <v>36.646494648878502</v>
      </c>
      <c r="AM269" s="78">
        <v>39.9221507110394</v>
      </c>
      <c r="AN269" s="78">
        <v>43.387570737428597</v>
      </c>
      <c r="AO269" s="78">
        <v>46.578341885354</v>
      </c>
      <c r="AP269" s="78">
        <v>50.583046474124103</v>
      </c>
      <c r="AQ269" s="78">
        <v>54.063436446268902</v>
      </c>
      <c r="AR269" s="78">
        <v>56.864729511801798</v>
      </c>
      <c r="AS269" s="78">
        <v>59.900709573376297</v>
      </c>
      <c r="AT269" s="78">
        <v>63.316188242193199</v>
      </c>
      <c r="AU269" s="78">
        <v>69.327877144113799</v>
      </c>
      <c r="AV269" s="78">
        <v>73.265296877290695</v>
      </c>
      <c r="AW269" s="78">
        <v>72.758278844744197</v>
      </c>
      <c r="AX269" s="78">
        <v>74.259170209646697</v>
      </c>
      <c r="AY269" s="78">
        <v>76.668069198064899</v>
      </c>
      <c r="AZ269" s="78">
        <v>81.404474417240905</v>
      </c>
      <c r="BA269" s="78">
        <v>89.605629673068506</v>
      </c>
      <c r="BB269" s="78">
        <v>96.070957337633899</v>
      </c>
      <c r="BC269" s="78">
        <v>100</v>
      </c>
      <c r="BD269" s="78">
        <v>104.99926696965299</v>
      </c>
      <c r="BE269" s="78">
        <v>111.010115818795</v>
      </c>
      <c r="BF269" s="78">
        <v>117.431461662513</v>
      </c>
      <c r="BG269" s="78">
        <v>124.629819674535</v>
      </c>
      <c r="BH269" s="78">
        <v>130.288813956898</v>
      </c>
      <c r="BI269" s="78">
        <v>138.85060841518799</v>
      </c>
      <c r="BJ269" s="78">
        <v>146.04896642720999</v>
      </c>
      <c r="BK269" s="78">
        <v>152.64623955431799</v>
      </c>
      <c r="BL269" s="78">
        <v>158.93563993549299</v>
      </c>
      <c r="BM269" s="78">
        <v>164.03753115379001</v>
      </c>
      <c r="BN269" s="78">
        <v>171.60240433953999</v>
      </c>
      <c r="BO269" s="78">
        <v>183.682744465621</v>
      </c>
      <c r="BP269" s="78">
        <v>194.839466353907</v>
      </c>
    </row>
    <row r="270" spans="1:68" x14ac:dyDescent="0.25">
      <c r="A270" s="78" t="s">
        <v>1193</v>
      </c>
      <c r="B270" s="78" t="s">
        <v>1194</v>
      </c>
      <c r="C270" s="78" t="s">
        <v>691</v>
      </c>
      <c r="D270" s="78" t="s">
        <v>692</v>
      </c>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1.3551938010276101E-2</v>
      </c>
      <c r="AE270" s="78">
        <v>2.1117743893313799E-2</v>
      </c>
      <c r="AF270" s="78">
        <v>3.1053060410049901E-2</v>
      </c>
      <c r="AG270" s="78">
        <v>4.68913683300353E-2</v>
      </c>
      <c r="AH270" s="78">
        <v>0.104757312226675</v>
      </c>
      <c r="AI270" s="78">
        <v>0.21687257852641301</v>
      </c>
      <c r="AJ270" s="78">
        <v>0.42863200252747702</v>
      </c>
      <c r="AK270" s="78">
        <v>1.1389032075691301</v>
      </c>
      <c r="AL270" s="78">
        <v>3.2266499276675602</v>
      </c>
      <c r="AM270" s="78">
        <v>4.98844343936545</v>
      </c>
      <c r="AN270" s="78">
        <v>6.7308861512495799</v>
      </c>
      <c r="AO270" s="78">
        <v>9.6300873393305206</v>
      </c>
      <c r="AP270" s="78">
        <v>11.9816315535675</v>
      </c>
      <c r="AQ270" s="78">
        <v>14.912153677314199</v>
      </c>
      <c r="AR270" s="78">
        <v>18.9067761726999</v>
      </c>
      <c r="AS270" s="78">
        <v>23.8282878664427</v>
      </c>
      <c r="AT270" s="78">
        <v>28.9260598696352</v>
      </c>
      <c r="AU270" s="78">
        <v>35.357290452119102</v>
      </c>
      <c r="AV270" s="78">
        <v>42.924308684879897</v>
      </c>
      <c r="AW270" s="78">
        <v>50.636857945758798</v>
      </c>
      <c r="AX270" s="78">
        <v>59.915778446598502</v>
      </c>
      <c r="AY270" s="78">
        <v>65.319925505911101</v>
      </c>
      <c r="AZ270" s="78">
        <v>72.281298325545606</v>
      </c>
      <c r="BA270" s="78">
        <v>81.2771246612011</v>
      </c>
      <c r="BB270" s="78">
        <v>92.164402467616199</v>
      </c>
      <c r="BC270" s="78">
        <v>100</v>
      </c>
      <c r="BD270" s="78">
        <v>106.42939681072301</v>
      </c>
      <c r="BE270" s="78">
        <v>113.428087204376</v>
      </c>
      <c r="BF270" s="78">
        <v>121.34273168477</v>
      </c>
      <c r="BG270" s="78">
        <v>130.81580771897401</v>
      </c>
      <c r="BH270" s="78">
        <v>144.042061474463</v>
      </c>
      <c r="BI270" s="78">
        <v>169.78198906093499</v>
      </c>
      <c r="BJ270" s="78">
        <v>180.94907942377299</v>
      </c>
      <c r="BK270" s="78">
        <v>194.51043833294801</v>
      </c>
      <c r="BL270" s="78">
        <v>212.308758955396</v>
      </c>
      <c r="BM270" s="78">
        <v>245.71142438949201</v>
      </c>
      <c r="BN270" s="78">
        <v>299.81896618134198</v>
      </c>
      <c r="BO270" s="78">
        <v>332.77867652723199</v>
      </c>
      <c r="BP270" s="78">
        <v>369.000077035667</v>
      </c>
    </row>
    <row r="271" spans="1:68" x14ac:dyDescent="0.25">
      <c r="A271" s="78" t="s">
        <v>1195</v>
      </c>
      <c r="B271" s="78" t="s">
        <v>1196</v>
      </c>
      <c r="C271" s="78" t="s">
        <v>691</v>
      </c>
      <c r="D271" s="78" t="s">
        <v>692</v>
      </c>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c r="AC271" s="78"/>
      <c r="AD271" s="78"/>
      <c r="AE271" s="78"/>
      <c r="AF271" s="78"/>
      <c r="AG271" s="78"/>
      <c r="AH271" s="78"/>
      <c r="AI271" s="78"/>
      <c r="AJ271" s="78"/>
      <c r="AK271" s="78"/>
      <c r="AL271" s="78"/>
      <c r="AM271" s="78"/>
      <c r="AN271" s="78"/>
      <c r="AO271" s="78"/>
      <c r="AP271" s="78"/>
      <c r="AQ271" s="78"/>
      <c r="AR271" s="78"/>
      <c r="AS271" s="78"/>
      <c r="AT271" s="78"/>
      <c r="AU271" s="78"/>
      <c r="AV271" s="78"/>
      <c r="AW271" s="78"/>
      <c r="AX271" s="78"/>
      <c r="AY271" s="78"/>
      <c r="AZ271" s="78"/>
      <c r="BA271" s="78"/>
      <c r="BB271" s="78">
        <v>97.066014669926602</v>
      </c>
      <c r="BC271" s="78">
        <v>100</v>
      </c>
      <c r="BD271" s="78">
        <v>103.46612972817501</v>
      </c>
      <c r="BE271" s="78">
        <v>107.320581044154</v>
      </c>
      <c r="BF271" s="78">
        <v>109.07521932978599</v>
      </c>
      <c r="BG271" s="78">
        <v>108.85948511433899</v>
      </c>
      <c r="BH271" s="78">
        <v>106.213145404861</v>
      </c>
      <c r="BI271" s="78">
        <v>104.573565367467</v>
      </c>
      <c r="BJ271" s="78">
        <v>105.508413634402</v>
      </c>
      <c r="BK271" s="78">
        <v>116.712210556594</v>
      </c>
      <c r="BL271" s="78">
        <v>414.68430893139703</v>
      </c>
      <c r="BM271" s="78">
        <v>2725.3128146124</v>
      </c>
      <c r="BN271" s="78">
        <v>5411.0024449877701</v>
      </c>
      <c r="BO271" s="78">
        <v>11076.6017877336</v>
      </c>
      <c r="BP271" s="7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0CC7-462B-4E60-A863-98C6EFCEA40A}">
  <sheetPr>
    <tabColor theme="9" tint="0.39997558519241921"/>
  </sheetPr>
  <dimension ref="A1:S15"/>
  <sheetViews>
    <sheetView topLeftCell="B1" workbookViewId="0">
      <selection activeCell="I10" sqref="I10:R15"/>
    </sheetView>
  </sheetViews>
  <sheetFormatPr defaultRowHeight="15" x14ac:dyDescent="0.25"/>
  <cols>
    <col min="1" max="1" width="28.5703125" bestFit="1" customWidth="1"/>
    <col min="2" max="2" width="63.5703125" bestFit="1" customWidth="1"/>
    <col min="3" max="3" width="12.28515625" bestFit="1" customWidth="1"/>
    <col min="4" max="4" width="11.28515625" bestFit="1" customWidth="1"/>
    <col min="7" max="7" width="12" bestFit="1" customWidth="1"/>
    <col min="9" max="9" width="18" bestFit="1" customWidth="1"/>
    <col min="12" max="12" width="24.7109375" bestFit="1" customWidth="1"/>
    <col min="13" max="13" width="21.5703125" bestFit="1" customWidth="1"/>
    <col min="14" max="14" width="63.5703125" bestFit="1" customWidth="1"/>
    <col min="15" max="15" width="6.85546875" bestFit="1" customWidth="1"/>
    <col min="16" max="16" width="7.85546875" bestFit="1" customWidth="1"/>
    <col min="17" max="17" width="8.42578125" bestFit="1" customWidth="1"/>
    <col min="18" max="18" width="10.42578125" bestFit="1" customWidth="1"/>
    <col min="19" max="19" width="7.85546875" bestFit="1" customWidth="1"/>
  </cols>
  <sheetData>
    <row r="1" spans="1:19" s="57" customFormat="1" ht="23.25" x14ac:dyDescent="0.25">
      <c r="A1" s="105" t="s">
        <v>312</v>
      </c>
    </row>
    <row r="2" spans="1:19" s="57" customFormat="1" ht="18.75" x14ac:dyDescent="0.25">
      <c r="A2" s="56" t="s">
        <v>313</v>
      </c>
    </row>
    <row r="3" spans="1:19" s="57" customFormat="1" x14ac:dyDescent="0.25"/>
    <row r="4" spans="1:19" s="57" customFormat="1" ht="18.75" x14ac:dyDescent="0.25">
      <c r="A4" s="56"/>
      <c r="G4"/>
      <c r="H4"/>
      <c r="L4" s="56" t="s">
        <v>314</v>
      </c>
    </row>
    <row r="5" spans="1:19" s="57" customFormat="1" ht="18.75" x14ac:dyDescent="0.25">
      <c r="A5" s="56"/>
      <c r="G5"/>
      <c r="H5"/>
    </row>
    <row r="6" spans="1:19" s="57" customFormat="1" ht="15.75" x14ac:dyDescent="0.25">
      <c r="A6" s="106" t="s">
        <v>315</v>
      </c>
      <c r="B6" s="106"/>
      <c r="C6"/>
      <c r="D6"/>
      <c r="E6"/>
      <c r="F6"/>
      <c r="G6"/>
      <c r="H6"/>
      <c r="I6"/>
      <c r="J6"/>
      <c r="K6" s="70"/>
      <c r="L6" s="107" t="s">
        <v>316</v>
      </c>
      <c r="M6" s="70"/>
      <c r="N6" s="70"/>
      <c r="O6" s="70"/>
      <c r="P6" s="70"/>
    </row>
    <row r="7" spans="1:19" s="57" customFormat="1" ht="16.5" thickBot="1" x14ac:dyDescent="0.3">
      <c r="A7" s="108" t="s">
        <v>317</v>
      </c>
      <c r="B7" s="108" t="s">
        <v>318</v>
      </c>
      <c r="C7" s="71" t="s">
        <v>319</v>
      </c>
      <c r="D7" s="71" t="s">
        <v>320</v>
      </c>
      <c r="E7" s="71" t="s">
        <v>240</v>
      </c>
      <c r="F7" s="71" t="s">
        <v>321</v>
      </c>
      <c r="G7" s="53" t="s">
        <v>322</v>
      </c>
      <c r="H7" s="53" t="s">
        <v>243</v>
      </c>
      <c r="I7" s="53" t="s">
        <v>323</v>
      </c>
      <c r="J7" s="53">
        <v>2020</v>
      </c>
      <c r="L7" s="53" t="s">
        <v>324</v>
      </c>
      <c r="M7" s="53" t="s">
        <v>317</v>
      </c>
      <c r="N7" s="53" t="s">
        <v>325</v>
      </c>
      <c r="O7" s="53" t="s">
        <v>326</v>
      </c>
      <c r="P7" s="53" t="s">
        <v>327</v>
      </c>
      <c r="Q7" s="53" t="s">
        <v>328</v>
      </c>
      <c r="R7" s="53" t="s">
        <v>329</v>
      </c>
      <c r="S7" s="53" t="s">
        <v>330</v>
      </c>
    </row>
    <row r="8" spans="1:19" s="57" customFormat="1" ht="51" x14ac:dyDescent="0.25">
      <c r="A8" s="72" t="s">
        <v>331</v>
      </c>
      <c r="B8" s="72" t="s">
        <v>332</v>
      </c>
      <c r="C8" s="72" t="s">
        <v>333</v>
      </c>
      <c r="D8" s="72" t="s">
        <v>334</v>
      </c>
      <c r="E8" s="72"/>
      <c r="F8" s="72"/>
      <c r="G8" s="72" t="s">
        <v>335</v>
      </c>
      <c r="H8" s="72"/>
      <c r="I8" s="72"/>
      <c r="J8" s="72"/>
      <c r="L8" s="73" t="s">
        <v>336</v>
      </c>
      <c r="M8" s="73" t="s">
        <v>337</v>
      </c>
      <c r="N8" s="73" t="s">
        <v>23</v>
      </c>
      <c r="O8" s="73" t="s">
        <v>338</v>
      </c>
      <c r="P8" s="73" t="s">
        <v>339</v>
      </c>
      <c r="Q8" s="73" t="s">
        <v>340</v>
      </c>
      <c r="R8" s="72" t="s">
        <v>341</v>
      </c>
      <c r="S8" s="72" t="s">
        <v>342</v>
      </c>
    </row>
    <row r="9" spans="1:19" s="57" customFormat="1" x14ac:dyDescent="0.25">
      <c r="A9" s="109" t="s">
        <v>343</v>
      </c>
      <c r="B9" s="109"/>
      <c r="C9" s="109"/>
      <c r="D9" s="109"/>
      <c r="E9" s="109"/>
      <c r="F9" s="109"/>
      <c r="G9" s="109"/>
      <c r="H9" s="109"/>
      <c r="I9" s="109"/>
      <c r="J9" s="109" t="s">
        <v>80</v>
      </c>
      <c r="L9" s="109" t="s">
        <v>344</v>
      </c>
      <c r="M9" s="109"/>
      <c r="N9" s="109"/>
      <c r="O9" s="109"/>
      <c r="P9" s="109"/>
      <c r="Q9" s="109"/>
      <c r="R9" s="109"/>
      <c r="S9" s="109"/>
    </row>
    <row r="10" spans="1:19" x14ac:dyDescent="0.25">
      <c r="A10" s="57" t="str">
        <f>M10</f>
        <v>U-TRF-BIOWOO_01</v>
      </c>
      <c r="B10" s="57" t="str">
        <f>N10</f>
        <v>UPS Transformation: Traditional woody biomass production - New</v>
      </c>
      <c r="C10" s="57"/>
      <c r="D10" s="57"/>
      <c r="E10" s="57"/>
      <c r="F10" s="57"/>
      <c r="G10" s="57" t="s">
        <v>345</v>
      </c>
      <c r="H10" s="57"/>
      <c r="I10" s="57" t="s">
        <v>1197</v>
      </c>
      <c r="J10" s="110">
        <v>1</v>
      </c>
      <c r="L10" s="57" t="s">
        <v>346</v>
      </c>
      <c r="M10" t="str">
        <f>"U-TRF-"&amp;$C$15&amp;"_01"</f>
        <v>U-TRF-BIOWOO_01</v>
      </c>
      <c r="N10" t="str">
        <f>"UPS Transformation: "&amp;Commodities!D13&amp;" production - New"</f>
        <v>UPS Transformation: Traditional woody biomass production - New</v>
      </c>
      <c r="O10" s="57" t="s">
        <v>45</v>
      </c>
      <c r="P10" s="57" t="s">
        <v>1199</v>
      </c>
      <c r="Q10" s="57"/>
      <c r="R10" s="57"/>
      <c r="S10" s="57"/>
    </row>
    <row r="11" spans="1:19" ht="15.75" x14ac:dyDescent="0.25">
      <c r="G11" s="57" t="s">
        <v>347</v>
      </c>
      <c r="H11" s="57"/>
      <c r="I11" s="57" t="s">
        <v>348</v>
      </c>
      <c r="J11" s="111">
        <v>100</v>
      </c>
    </row>
    <row r="12" spans="1:19" x14ac:dyDescent="0.25">
      <c r="G12" s="57" t="s">
        <v>349</v>
      </c>
      <c r="H12" s="57"/>
      <c r="I12" s="57" t="s">
        <v>1198</v>
      </c>
      <c r="J12" s="113"/>
    </row>
    <row r="13" spans="1:19" x14ac:dyDescent="0.25">
      <c r="G13" s="57" t="s">
        <v>351</v>
      </c>
      <c r="H13" s="57"/>
      <c r="I13" s="57" t="s">
        <v>1198</v>
      </c>
      <c r="J13" s="113"/>
    </row>
    <row r="14" spans="1:19" x14ac:dyDescent="0.25">
      <c r="G14" s="57" t="s">
        <v>352</v>
      </c>
      <c r="H14" s="57"/>
      <c r="I14" s="57" t="s">
        <v>1200</v>
      </c>
      <c r="J14" s="113"/>
    </row>
    <row r="15" spans="1:19" x14ac:dyDescent="0.25">
      <c r="A15" s="92"/>
      <c r="B15" s="92"/>
      <c r="C15" s="92" t="str">
        <f>Commodities!$C$7</f>
        <v>BIOWOO</v>
      </c>
      <c r="D15" s="92" t="str">
        <f>Commodities!$C$13</f>
        <v>BIOMASS</v>
      </c>
      <c r="E15" s="92"/>
      <c r="F15" s="92"/>
      <c r="G15" s="117" t="s">
        <v>353</v>
      </c>
      <c r="H15" s="92"/>
      <c r="I15" s="92" t="s">
        <v>1201</v>
      </c>
      <c r="J15" s="17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4FF86-A9B9-4395-B19F-A49835667D65}">
  <sheetPr>
    <tabColor theme="9" tint="0.39997558519241921"/>
  </sheetPr>
  <dimension ref="A1:S29"/>
  <sheetViews>
    <sheetView workbookViewId="0">
      <selection activeCell="J14" sqref="J14"/>
    </sheetView>
  </sheetViews>
  <sheetFormatPr defaultRowHeight="15" x14ac:dyDescent="0.25"/>
  <cols>
    <col min="1" max="1" width="29.140625" bestFit="1" customWidth="1"/>
    <col min="2" max="2" width="55" bestFit="1" customWidth="1"/>
    <col min="3" max="3" width="13.140625" bestFit="1" customWidth="1"/>
    <col min="4" max="4" width="14.5703125" bestFit="1" customWidth="1"/>
    <col min="5" max="5" width="14.85546875" bestFit="1" customWidth="1"/>
    <col min="6" max="6" width="12.5703125" bestFit="1" customWidth="1"/>
    <col min="7" max="7" width="12.85546875" bestFit="1" customWidth="1"/>
    <col min="8" max="8" width="11.140625" bestFit="1" customWidth="1"/>
    <col min="9" max="9" width="28.7109375" bestFit="1" customWidth="1"/>
    <col min="10" max="10" width="15.42578125" bestFit="1" customWidth="1"/>
    <col min="12" max="12" width="24.7109375" bestFit="1" customWidth="1"/>
    <col min="13" max="13" width="23.85546875" bestFit="1" customWidth="1"/>
    <col min="14" max="14" width="128.140625" bestFit="1" customWidth="1"/>
    <col min="15" max="15" width="6.85546875" bestFit="1" customWidth="1"/>
    <col min="16" max="16" width="7.85546875" bestFit="1" customWidth="1"/>
    <col min="17" max="17" width="8.85546875" bestFit="1" customWidth="1"/>
    <col min="18" max="18" width="13.5703125" bestFit="1" customWidth="1"/>
    <col min="19" max="19" width="10.5703125" bestFit="1" customWidth="1"/>
  </cols>
  <sheetData>
    <row r="1" spans="1:19" s="57" customFormat="1" ht="23.25" x14ac:dyDescent="0.25">
      <c r="A1" s="105" t="s">
        <v>312</v>
      </c>
    </row>
    <row r="2" spans="1:19" s="57" customFormat="1" ht="18.75" x14ac:dyDescent="0.25">
      <c r="A2" s="56" t="s">
        <v>313</v>
      </c>
    </row>
    <row r="3" spans="1:19" s="57" customFormat="1" x14ac:dyDescent="0.25"/>
    <row r="4" spans="1:19" s="57" customFormat="1" ht="18.75" x14ac:dyDescent="0.25">
      <c r="A4" s="56"/>
      <c r="G4"/>
      <c r="H4"/>
      <c r="L4" s="56" t="s">
        <v>314</v>
      </c>
    </row>
    <row r="5" spans="1:19" s="57" customFormat="1" ht="18.75" x14ac:dyDescent="0.25">
      <c r="A5" s="56"/>
      <c r="G5"/>
      <c r="H5"/>
    </row>
    <row r="6" spans="1:19" s="57" customFormat="1" ht="15.75" x14ac:dyDescent="0.25">
      <c r="A6" s="106" t="s">
        <v>315</v>
      </c>
      <c r="B6" s="106"/>
      <c r="C6"/>
      <c r="D6"/>
      <c r="E6"/>
      <c r="F6"/>
      <c r="G6"/>
      <c r="H6"/>
      <c r="I6"/>
      <c r="J6"/>
      <c r="K6" s="70"/>
      <c r="L6" s="107" t="s">
        <v>316</v>
      </c>
      <c r="M6" s="70"/>
      <c r="N6" s="70"/>
      <c r="O6" s="70"/>
      <c r="P6" s="70"/>
    </row>
    <row r="7" spans="1:19" s="57" customFormat="1" ht="16.5" thickBot="1" x14ac:dyDescent="0.3">
      <c r="A7" s="108" t="s">
        <v>317</v>
      </c>
      <c r="B7" s="108" t="s">
        <v>318</v>
      </c>
      <c r="C7" s="71" t="s">
        <v>319</v>
      </c>
      <c r="D7" s="71" t="s">
        <v>320</v>
      </c>
      <c r="E7" s="71" t="s">
        <v>240</v>
      </c>
      <c r="F7" s="71" t="s">
        <v>321</v>
      </c>
      <c r="G7" s="53" t="s">
        <v>322</v>
      </c>
      <c r="H7" s="53" t="s">
        <v>243</v>
      </c>
      <c r="I7" s="53" t="s">
        <v>323</v>
      </c>
      <c r="J7" s="53">
        <v>2020</v>
      </c>
      <c r="L7" s="53" t="s">
        <v>324</v>
      </c>
      <c r="M7" s="53" t="s">
        <v>317</v>
      </c>
      <c r="N7" s="53" t="s">
        <v>325</v>
      </c>
      <c r="O7" s="53" t="s">
        <v>326</v>
      </c>
      <c r="P7" s="53" t="s">
        <v>327</v>
      </c>
      <c r="Q7" s="53" t="s">
        <v>328</v>
      </c>
      <c r="R7" s="53" t="s">
        <v>329</v>
      </c>
      <c r="S7" s="53" t="s">
        <v>330</v>
      </c>
    </row>
    <row r="8" spans="1:19" s="57" customFormat="1" ht="51" x14ac:dyDescent="0.25">
      <c r="A8" s="72" t="s">
        <v>331</v>
      </c>
      <c r="B8" s="72" t="s">
        <v>332</v>
      </c>
      <c r="C8" s="72" t="s">
        <v>333</v>
      </c>
      <c r="D8" s="72" t="s">
        <v>334</v>
      </c>
      <c r="E8" s="72"/>
      <c r="F8" s="72"/>
      <c r="G8" s="72" t="s">
        <v>335</v>
      </c>
      <c r="H8" s="72"/>
      <c r="I8" s="72"/>
      <c r="J8" s="72"/>
      <c r="L8" s="73" t="s">
        <v>336</v>
      </c>
      <c r="M8" s="73" t="s">
        <v>337</v>
      </c>
      <c r="N8" s="73" t="s">
        <v>23</v>
      </c>
      <c r="O8" s="73" t="s">
        <v>338</v>
      </c>
      <c r="P8" s="73" t="s">
        <v>339</v>
      </c>
      <c r="Q8" s="73" t="s">
        <v>340</v>
      </c>
      <c r="R8" s="72" t="s">
        <v>341</v>
      </c>
      <c r="S8" s="72" t="s">
        <v>342</v>
      </c>
    </row>
    <row r="9" spans="1:19" s="57" customFormat="1" x14ac:dyDescent="0.25">
      <c r="A9" s="109" t="s">
        <v>343</v>
      </c>
      <c r="B9" s="109"/>
      <c r="C9" s="109"/>
      <c r="D9" s="109"/>
      <c r="E9" s="109"/>
      <c r="F9" s="109"/>
      <c r="G9" s="109"/>
      <c r="H9" s="109"/>
      <c r="I9" s="109"/>
      <c r="J9" s="109" t="s">
        <v>80</v>
      </c>
      <c r="L9" s="109" t="s">
        <v>344</v>
      </c>
      <c r="M9" s="109"/>
      <c r="N9" s="109"/>
      <c r="O9" s="109"/>
      <c r="P9" s="109"/>
      <c r="Q9" s="109"/>
      <c r="R9" s="109"/>
      <c r="S9" s="109"/>
    </row>
    <row r="10" spans="1:19" s="57" customFormat="1" x14ac:dyDescent="0.25">
      <c r="A10" s="57" t="str">
        <f>M10</f>
        <v>U-TRF-BIODSL_TRD_02</v>
      </c>
      <c r="B10" s="57" t="str">
        <f>N10</f>
        <v>UPS Transformation:  production - Transesterification - New</v>
      </c>
      <c r="G10" s="57" t="s">
        <v>345</v>
      </c>
      <c r="I10" s="57" t="s">
        <v>1197</v>
      </c>
      <c r="J10" s="110">
        <v>1</v>
      </c>
      <c r="L10" s="57" t="s">
        <v>346</v>
      </c>
      <c r="M10" t="str">
        <f>"U-TRF-"&amp;$D$16&amp;"_TRD_02"</f>
        <v>U-TRF-BIODSL_TRD_02</v>
      </c>
      <c r="N10" t="str">
        <f>"UPS Transformation: "&amp;Commodities!$D$72&amp;" production - Transesterification - New"</f>
        <v>UPS Transformation:  production - Transesterification - New</v>
      </c>
      <c r="O10" s="57" t="s">
        <v>45</v>
      </c>
      <c r="P10" s="57" t="s">
        <v>1199</v>
      </c>
    </row>
    <row r="11" spans="1:19" ht="15.75" x14ac:dyDescent="0.25">
      <c r="G11" s="57" t="s">
        <v>347</v>
      </c>
      <c r="H11" s="57"/>
      <c r="I11" s="57" t="s">
        <v>348</v>
      </c>
      <c r="J11" s="115">
        <f>'Key input_Biofuel production'!$C$28</f>
        <v>10</v>
      </c>
      <c r="L11" s="57" t="s">
        <v>346</v>
      </c>
      <c r="M11" t="str">
        <f>"U-TRF-"&amp;$D$26&amp;"_FRM_02"</f>
        <v>U-TRF-BIOETH_FRM_02</v>
      </c>
      <c r="N11" t="str">
        <f>"UPS Transformation: "&amp;Commodities!$D$73&amp;" production - Fermentation - New"</f>
        <v>UPS Transformation:  production - Fermentation - New</v>
      </c>
      <c r="O11" s="57" t="s">
        <v>45</v>
      </c>
      <c r="P11" s="57" t="s">
        <v>1199</v>
      </c>
      <c r="Q11" s="57"/>
      <c r="R11" s="57"/>
      <c r="S11" s="57"/>
    </row>
    <row r="12" spans="1:19" ht="15.75" x14ac:dyDescent="0.25">
      <c r="G12" s="57" t="s">
        <v>354</v>
      </c>
      <c r="H12" s="57"/>
      <c r="I12" s="57"/>
      <c r="J12" s="112">
        <v>2020</v>
      </c>
      <c r="L12" s="57"/>
      <c r="O12" s="57"/>
      <c r="P12" s="57"/>
      <c r="Q12" s="57"/>
      <c r="R12" s="57"/>
      <c r="S12" s="57"/>
    </row>
    <row r="13" spans="1:19" x14ac:dyDescent="0.25">
      <c r="G13" s="57" t="s">
        <v>349</v>
      </c>
      <c r="H13" s="57"/>
      <c r="I13" s="57" t="s">
        <v>1198</v>
      </c>
      <c r="J13" s="114">
        <f>'Key input_Biofuel production'!$C$29*1000</f>
        <v>6.2818079776226918</v>
      </c>
    </row>
    <row r="14" spans="1:19" x14ac:dyDescent="0.25">
      <c r="G14" s="57" t="s">
        <v>351</v>
      </c>
      <c r="H14" s="57"/>
      <c r="I14" s="57" t="s">
        <v>1198</v>
      </c>
      <c r="J14" s="114">
        <f>'Key input_Biofuel production'!$C$30*1000</f>
        <v>2.5835606001584388</v>
      </c>
    </row>
    <row r="15" spans="1:19" x14ac:dyDescent="0.25">
      <c r="G15" s="57" t="s">
        <v>352</v>
      </c>
      <c r="H15" s="57"/>
      <c r="I15" s="57" t="s">
        <v>1200</v>
      </c>
      <c r="J15" s="114">
        <f>'Key input_Biofuel production'!$C$31*1000</f>
        <v>1.4214261242982407</v>
      </c>
    </row>
    <row r="16" spans="1:19" ht="15.75" x14ac:dyDescent="0.25">
      <c r="C16" t="str">
        <f>Commodities!C10</f>
        <v>BIOOLC</v>
      </c>
      <c r="D16" t="str">
        <f>Commodities!$C$23</f>
        <v>BIODSL</v>
      </c>
      <c r="G16" s="57" t="s">
        <v>355</v>
      </c>
      <c r="I16" t="s">
        <v>1202</v>
      </c>
      <c r="J16" s="111">
        <v>1</v>
      </c>
    </row>
    <row r="17" spans="1:19" x14ac:dyDescent="0.25">
      <c r="E17" s="57" t="s">
        <v>356</v>
      </c>
      <c r="F17" s="57" t="s">
        <v>357</v>
      </c>
      <c r="G17" s="57" t="s">
        <v>358</v>
      </c>
      <c r="I17" t="s">
        <v>1203</v>
      </c>
      <c r="J17" s="116">
        <f>1/'Key input_Biofuel production'!$C$27</f>
        <v>25.066312997347477</v>
      </c>
    </row>
    <row r="18" spans="1:19" x14ac:dyDescent="0.25">
      <c r="C18" t="str">
        <f>Commodities!$C$26</f>
        <v>UPSELC</v>
      </c>
      <c r="F18" t="s">
        <v>356</v>
      </c>
      <c r="G18" s="57" t="s">
        <v>359</v>
      </c>
      <c r="H18" t="s">
        <v>360</v>
      </c>
      <c r="I18" s="57" t="s">
        <v>361</v>
      </c>
      <c r="J18" s="116">
        <f>'Key input_Biofuel production'!$C$24/SUM('Key input_Biofuel production'!$C$24:$C$25)</f>
        <v>7.161803713527852E-2</v>
      </c>
    </row>
    <row r="19" spans="1:19" x14ac:dyDescent="0.25">
      <c r="A19" s="92"/>
      <c r="B19" s="92"/>
      <c r="C19" s="92" t="str">
        <f>Commodities!$C$28</f>
        <v>UPSHET</v>
      </c>
      <c r="D19" s="92"/>
      <c r="E19" s="92"/>
      <c r="F19" s="92" t="s">
        <v>356</v>
      </c>
      <c r="G19" s="117" t="s">
        <v>359</v>
      </c>
      <c r="H19" s="92" t="s">
        <v>360</v>
      </c>
      <c r="I19" s="92" t="s">
        <v>361</v>
      </c>
      <c r="J19" s="118">
        <f>1-J18</f>
        <v>0.92838196286472152</v>
      </c>
    </row>
    <row r="20" spans="1:19" x14ac:dyDescent="0.25">
      <c r="A20" s="57" t="str">
        <f>M11</f>
        <v>U-TRF-BIOETH_FRM_02</v>
      </c>
      <c r="B20" s="57" t="str">
        <f>N11</f>
        <v>UPS Transformation:  production - Fermentation - New</v>
      </c>
      <c r="C20" s="57"/>
      <c r="D20" s="57"/>
      <c r="E20" s="57"/>
      <c r="F20" s="57"/>
      <c r="G20" s="57" t="s">
        <v>345</v>
      </c>
      <c r="H20" s="57"/>
      <c r="I20" s="57" t="s">
        <v>1197</v>
      </c>
      <c r="J20" s="110">
        <v>1</v>
      </c>
    </row>
    <row r="21" spans="1:19" ht="15.75" x14ac:dyDescent="0.25">
      <c r="G21" s="57" t="s">
        <v>347</v>
      </c>
      <c r="H21" s="57"/>
      <c r="I21" s="57" t="s">
        <v>348</v>
      </c>
      <c r="J21" s="115">
        <f>'Key input_Biofuel production'!$C$8</f>
        <v>30</v>
      </c>
    </row>
    <row r="22" spans="1:19" ht="15.75" x14ac:dyDescent="0.25">
      <c r="G22" s="57" t="s">
        <v>354</v>
      </c>
      <c r="H22" s="57"/>
      <c r="I22" s="57"/>
      <c r="J22" s="112">
        <v>2020</v>
      </c>
    </row>
    <row r="23" spans="1:19" x14ac:dyDescent="0.25">
      <c r="G23" s="57" t="s">
        <v>349</v>
      </c>
      <c r="H23" s="57"/>
      <c r="I23" s="57" t="s">
        <v>1198</v>
      </c>
      <c r="J23" s="119">
        <f>'Key input_Biofuel production'!$C$9*1000</f>
        <v>18.011475276308801</v>
      </c>
    </row>
    <row r="24" spans="1:19" x14ac:dyDescent="0.25">
      <c r="G24" s="57" t="s">
        <v>351</v>
      </c>
      <c r="H24" s="57"/>
      <c r="I24" s="57" t="s">
        <v>1198</v>
      </c>
      <c r="J24" s="119">
        <f>'Key input_Biofuel production'!$C$10*1000</f>
        <v>0.54034425828926402</v>
      </c>
    </row>
    <row r="25" spans="1:19" x14ac:dyDescent="0.25">
      <c r="G25" s="57" t="s">
        <v>352</v>
      </c>
      <c r="H25" s="57"/>
      <c r="I25" s="57" t="s">
        <v>1200</v>
      </c>
      <c r="J25" s="113"/>
    </row>
    <row r="26" spans="1:19" ht="15.75" x14ac:dyDescent="0.25">
      <c r="C26" t="str">
        <f>Commodities!C11</f>
        <v>BIOCRL</v>
      </c>
      <c r="D26" t="str">
        <f>Commodities!C24</f>
        <v>BIOETH</v>
      </c>
      <c r="G26" s="57" t="s">
        <v>355</v>
      </c>
      <c r="I26" t="s">
        <v>1202</v>
      </c>
      <c r="J26" s="111">
        <v>1</v>
      </c>
    </row>
    <row r="27" spans="1:19" x14ac:dyDescent="0.25">
      <c r="E27" s="57" t="s">
        <v>356</v>
      </c>
      <c r="F27" s="57" t="s">
        <v>357</v>
      </c>
      <c r="G27" s="57" t="s">
        <v>358</v>
      </c>
      <c r="I27" t="s">
        <v>1203</v>
      </c>
      <c r="J27" s="116">
        <f>1/'Key input_Biofuel production'!$C$11</f>
        <v>2.67839627690201</v>
      </c>
    </row>
    <row r="28" spans="1:19" x14ac:dyDescent="0.25">
      <c r="C28" t="str">
        <f>Commodities!$C$26</f>
        <v>UPSELC</v>
      </c>
      <c r="F28" t="s">
        <v>356</v>
      </c>
      <c r="G28" s="57" t="s">
        <v>359</v>
      </c>
      <c r="H28" t="s">
        <v>360</v>
      </c>
      <c r="I28" s="57" t="s">
        <v>361</v>
      </c>
      <c r="J28" s="116">
        <f>'Key input_Biofuel production'!$C$12/SUM('Key input_Biofuel production'!$C$12:$C$13)</f>
        <v>6.4629517812473058E-2</v>
      </c>
    </row>
    <row r="29" spans="1:19" x14ac:dyDescent="0.25">
      <c r="A29" s="92"/>
      <c r="B29" s="92"/>
      <c r="C29" s="92" t="str">
        <f>Commodities!$C$27</f>
        <v>UPSGAS</v>
      </c>
      <c r="D29" s="92"/>
      <c r="E29" s="92"/>
      <c r="F29" s="92" t="s">
        <v>356</v>
      </c>
      <c r="G29" s="117" t="s">
        <v>359</v>
      </c>
      <c r="H29" s="92" t="s">
        <v>360</v>
      </c>
      <c r="I29" s="92" t="s">
        <v>361</v>
      </c>
      <c r="J29" s="118">
        <f>1-J28</f>
        <v>0.93537048218752694</v>
      </c>
      <c r="L29" s="57"/>
      <c r="M29" s="57"/>
      <c r="N29" s="57"/>
      <c r="O29" s="57"/>
      <c r="P29" s="57"/>
      <c r="Q29" s="57"/>
      <c r="R29" s="57"/>
      <c r="S29"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7DAB-8A45-4293-895B-1AC5E63F6BD4}">
  <sheetPr>
    <tabColor theme="9" tint="0.39997558519241921"/>
  </sheetPr>
  <dimension ref="A1:S48"/>
  <sheetViews>
    <sheetView topLeftCell="I1" workbookViewId="0">
      <selection activeCell="N10" sqref="N10:Q10"/>
    </sheetView>
  </sheetViews>
  <sheetFormatPr defaultRowHeight="15" x14ac:dyDescent="0.25"/>
  <cols>
    <col min="1" max="1" width="29.140625" bestFit="1" customWidth="1"/>
    <col min="2" max="2" width="128.140625" bestFit="1" customWidth="1"/>
    <col min="3" max="3" width="13.140625" bestFit="1" customWidth="1"/>
    <col min="4" max="4" width="14.5703125" bestFit="1" customWidth="1"/>
    <col min="5" max="5" width="14.85546875" bestFit="1" customWidth="1"/>
    <col min="6" max="6" width="12.5703125" bestFit="1" customWidth="1"/>
    <col min="7" max="7" width="12.85546875" bestFit="1" customWidth="1"/>
    <col min="8" max="8" width="11.140625" bestFit="1" customWidth="1"/>
    <col min="9" max="9" width="28.7109375" bestFit="1" customWidth="1"/>
    <col min="10" max="10" width="15.42578125" bestFit="1" customWidth="1"/>
    <col min="12" max="12" width="24.7109375" bestFit="1" customWidth="1"/>
    <col min="13" max="13" width="23.85546875" bestFit="1" customWidth="1"/>
    <col min="14" max="14" width="128.140625" bestFit="1" customWidth="1"/>
    <col min="15" max="15" width="6.85546875" bestFit="1" customWidth="1"/>
    <col min="16" max="16" width="7.85546875" bestFit="1" customWidth="1"/>
    <col min="17" max="17" width="8.85546875" bestFit="1" customWidth="1"/>
    <col min="18" max="18" width="13.5703125" bestFit="1" customWidth="1"/>
    <col min="19" max="19" width="10.5703125" bestFit="1" customWidth="1"/>
  </cols>
  <sheetData>
    <row r="1" spans="1:19" s="57" customFormat="1" ht="23.25" x14ac:dyDescent="0.25">
      <c r="A1" s="105" t="s">
        <v>312</v>
      </c>
    </row>
    <row r="2" spans="1:19" s="57" customFormat="1" ht="18.75" x14ac:dyDescent="0.25">
      <c r="A2" s="56" t="s">
        <v>313</v>
      </c>
    </row>
    <row r="3" spans="1:19" s="57" customFormat="1" x14ac:dyDescent="0.25"/>
    <row r="4" spans="1:19" s="57" customFormat="1" ht="18.75" x14ac:dyDescent="0.25">
      <c r="A4" s="56"/>
      <c r="G4"/>
      <c r="H4"/>
      <c r="L4" s="56" t="s">
        <v>314</v>
      </c>
    </row>
    <row r="5" spans="1:19" s="57" customFormat="1" ht="18.75" x14ac:dyDescent="0.25">
      <c r="A5" s="56"/>
      <c r="G5"/>
      <c r="H5"/>
    </row>
    <row r="6" spans="1:19" s="57" customFormat="1" ht="15.75" x14ac:dyDescent="0.25">
      <c r="A6" s="106" t="s">
        <v>315</v>
      </c>
      <c r="B6" s="106"/>
      <c r="C6"/>
      <c r="D6"/>
      <c r="E6"/>
      <c r="F6"/>
      <c r="G6"/>
      <c r="H6"/>
      <c r="I6"/>
      <c r="J6"/>
      <c r="K6" s="70"/>
      <c r="L6" s="107" t="s">
        <v>316</v>
      </c>
      <c r="M6" s="70"/>
      <c r="N6" s="70"/>
      <c r="O6" s="70"/>
      <c r="P6" s="70"/>
    </row>
    <row r="7" spans="1:19" s="57" customFormat="1" ht="16.5" thickBot="1" x14ac:dyDescent="0.3">
      <c r="A7" s="108" t="s">
        <v>317</v>
      </c>
      <c r="B7" s="108" t="s">
        <v>318</v>
      </c>
      <c r="C7" s="71" t="s">
        <v>319</v>
      </c>
      <c r="D7" s="71" t="s">
        <v>320</v>
      </c>
      <c r="E7" s="71" t="s">
        <v>240</v>
      </c>
      <c r="F7" s="71" t="s">
        <v>321</v>
      </c>
      <c r="G7" s="53" t="s">
        <v>322</v>
      </c>
      <c r="H7" s="53" t="s">
        <v>243</v>
      </c>
      <c r="I7" s="53" t="s">
        <v>323</v>
      </c>
      <c r="J7" s="53">
        <v>2020</v>
      </c>
      <c r="L7" s="53" t="s">
        <v>324</v>
      </c>
      <c r="M7" s="53" t="s">
        <v>317</v>
      </c>
      <c r="N7" s="53" t="s">
        <v>325</v>
      </c>
      <c r="O7" s="53" t="s">
        <v>326</v>
      </c>
      <c r="P7" s="53" t="s">
        <v>327</v>
      </c>
      <c r="Q7" s="53" t="s">
        <v>328</v>
      </c>
      <c r="R7" s="53" t="s">
        <v>329</v>
      </c>
      <c r="S7" s="53" t="s">
        <v>330</v>
      </c>
    </row>
    <row r="8" spans="1:19" s="57" customFormat="1" ht="51" x14ac:dyDescent="0.25">
      <c r="A8" s="72" t="s">
        <v>331</v>
      </c>
      <c r="B8" s="72" t="s">
        <v>332</v>
      </c>
      <c r="C8" s="72" t="s">
        <v>333</v>
      </c>
      <c r="D8" s="72" t="s">
        <v>334</v>
      </c>
      <c r="E8" s="72"/>
      <c r="F8" s="72"/>
      <c r="G8" s="72" t="s">
        <v>335</v>
      </c>
      <c r="H8" s="72"/>
      <c r="I8" s="72"/>
      <c r="J8" s="72"/>
      <c r="L8" s="73" t="s">
        <v>336</v>
      </c>
      <c r="M8" s="73" t="s">
        <v>337</v>
      </c>
      <c r="N8" s="73" t="s">
        <v>23</v>
      </c>
      <c r="O8" s="73" t="s">
        <v>338</v>
      </c>
      <c r="P8" s="73" t="s">
        <v>339</v>
      </c>
      <c r="Q8" s="73" t="s">
        <v>340</v>
      </c>
      <c r="R8" s="72" t="s">
        <v>341</v>
      </c>
      <c r="S8" s="72" t="s">
        <v>342</v>
      </c>
    </row>
    <row r="9" spans="1:19" s="57" customFormat="1" x14ac:dyDescent="0.25">
      <c r="A9" s="109" t="s">
        <v>343</v>
      </c>
      <c r="B9" s="109"/>
      <c r="C9" s="109"/>
      <c r="D9" s="109"/>
      <c r="E9" s="109"/>
      <c r="F9" s="109"/>
      <c r="G9" s="109"/>
      <c r="H9" s="109"/>
      <c r="I9" s="109"/>
      <c r="J9" s="109" t="s">
        <v>80</v>
      </c>
      <c r="L9" s="109" t="s">
        <v>344</v>
      </c>
      <c r="M9" s="109"/>
      <c r="N9" s="109"/>
      <c r="O9" s="109"/>
      <c r="P9" s="109"/>
      <c r="Q9" s="109"/>
      <c r="R9" s="109"/>
      <c r="S9" s="109"/>
    </row>
    <row r="10" spans="1:19" s="57" customFormat="1" x14ac:dyDescent="0.25">
      <c r="A10" s="57" t="str">
        <f>M10</f>
        <v>U-TRF-BIORNG_ADU_02</v>
      </c>
      <c r="B10" s="57" t="str">
        <f>N10</f>
        <v>UPS Transformation: Renewable natural gas production - Anaerovic digester + Upgrading - New</v>
      </c>
      <c r="G10" s="57" t="s">
        <v>345</v>
      </c>
      <c r="I10" s="57" t="s">
        <v>1197</v>
      </c>
      <c r="J10" s="110">
        <v>1</v>
      </c>
      <c r="L10" s="57" t="s">
        <v>346</v>
      </c>
      <c r="M10" t="str">
        <f>"U-TRF-"&amp;$D$16&amp;"_ADU_02"</f>
        <v>U-TRF-BIORNG_ADU_02</v>
      </c>
      <c r="N10" t="str">
        <f>"UPS Transformation: "&amp;Commodities!$D$18&amp;" production - Anaerovic digester + Upgrading - New"</f>
        <v>UPS Transformation: Renewable natural gas production - Anaerovic digester + Upgrading - New</v>
      </c>
      <c r="O10" s="57" t="s">
        <v>45</v>
      </c>
      <c r="P10" s="57" t="s">
        <v>1199</v>
      </c>
    </row>
    <row r="11" spans="1:19" ht="15.75" x14ac:dyDescent="0.25">
      <c r="G11" s="57" t="s">
        <v>347</v>
      </c>
      <c r="H11" s="57"/>
      <c r="I11" s="57" t="s">
        <v>348</v>
      </c>
      <c r="J11" s="115">
        <f>'Key input_Biofuel production'!$C$49</f>
        <v>20</v>
      </c>
      <c r="L11" s="57"/>
      <c r="O11" s="57"/>
      <c r="P11" s="57"/>
      <c r="Q11" s="57"/>
      <c r="R11" s="57"/>
      <c r="S11" s="57"/>
    </row>
    <row r="12" spans="1:19" ht="15.75" x14ac:dyDescent="0.25">
      <c r="G12" s="57" t="s">
        <v>354</v>
      </c>
      <c r="H12" s="57"/>
      <c r="I12" s="57"/>
      <c r="J12" s="112">
        <v>2020</v>
      </c>
    </row>
    <row r="13" spans="1:19" x14ac:dyDescent="0.25">
      <c r="G13" s="57" t="s">
        <v>349</v>
      </c>
      <c r="H13" s="57"/>
      <c r="I13" s="57" t="s">
        <v>1198</v>
      </c>
      <c r="J13" s="94">
        <f>('Key input_Biofuel production'!$C$45+'Key input_Biofuel production'!$C$46)*1000</f>
        <v>42.066872114277416</v>
      </c>
    </row>
    <row r="14" spans="1:19" x14ac:dyDescent="0.25">
      <c r="G14" s="57" t="s">
        <v>351</v>
      </c>
      <c r="H14" s="57"/>
      <c r="I14" s="57" t="s">
        <v>1198</v>
      </c>
      <c r="J14" s="113"/>
    </row>
    <row r="15" spans="1:19" x14ac:dyDescent="0.25">
      <c r="G15" s="57" t="s">
        <v>352</v>
      </c>
      <c r="H15" s="57"/>
      <c r="I15" s="57" t="s">
        <v>1200</v>
      </c>
      <c r="J15" s="113"/>
    </row>
    <row r="16" spans="1:19" x14ac:dyDescent="0.25">
      <c r="C16" t="str">
        <f>Commodities!$C$9</f>
        <v>BIOAGR</v>
      </c>
      <c r="D16" t="str">
        <f>Commodities!$C$18</f>
        <v>BIORNG</v>
      </c>
      <c r="G16" s="57" t="s">
        <v>355</v>
      </c>
      <c r="I16" t="s">
        <v>1202</v>
      </c>
      <c r="J16" s="116">
        <f>1/('Key input_Biofuel production'!$C$41/'Key input_Biomass'!$C$8)</f>
        <v>3.4299404855576898</v>
      </c>
    </row>
    <row r="17" spans="1:19" x14ac:dyDescent="0.25">
      <c r="E17" s="57" t="s">
        <v>356</v>
      </c>
      <c r="F17" s="57" t="s">
        <v>357</v>
      </c>
      <c r="G17" s="57" t="s">
        <v>358</v>
      </c>
      <c r="I17" t="s">
        <v>1203</v>
      </c>
      <c r="J17" s="116">
        <f>1/'Key input_Biofuel production'!$C$42</f>
        <v>11.4169460810089</v>
      </c>
    </row>
    <row r="18" spans="1:19" x14ac:dyDescent="0.25">
      <c r="C18" t="str">
        <f>Commodities!$C$26</f>
        <v>UPSELC</v>
      </c>
      <c r="F18" t="s">
        <v>356</v>
      </c>
      <c r="G18" s="57" t="s">
        <v>359</v>
      </c>
      <c r="H18" t="s">
        <v>360</v>
      </c>
      <c r="I18" s="57" t="s">
        <v>361</v>
      </c>
      <c r="J18" s="116">
        <f>'Key input_Biofuel production'!$C$43/SUM('Key input_Biofuel production'!$C$43:$C$44)</f>
        <v>0.89256853770980549</v>
      </c>
    </row>
    <row r="19" spans="1:19" x14ac:dyDescent="0.25">
      <c r="A19" s="92"/>
      <c r="B19" s="92"/>
      <c r="C19" s="92" t="str">
        <f>Commodities!$C$28</f>
        <v>UPSHET</v>
      </c>
      <c r="D19" s="92"/>
      <c r="E19" s="92"/>
      <c r="F19" s="92" t="s">
        <v>356</v>
      </c>
      <c r="G19" s="117" t="s">
        <v>359</v>
      </c>
      <c r="H19" s="92" t="s">
        <v>360</v>
      </c>
      <c r="I19" s="92" t="s">
        <v>361</v>
      </c>
      <c r="J19" s="118">
        <f>1-J18</f>
        <v>0.10743146229019451</v>
      </c>
    </row>
    <row r="32" spans="1:19" x14ac:dyDescent="0.25">
      <c r="L32" s="57"/>
      <c r="M32" s="57"/>
      <c r="N32" s="57"/>
      <c r="O32" s="57"/>
      <c r="P32" s="57"/>
      <c r="Q32" s="57"/>
      <c r="R32" s="57"/>
      <c r="S32" s="57"/>
    </row>
    <row r="42" spans="1:19" x14ac:dyDescent="0.25">
      <c r="L42" s="57"/>
      <c r="M42" s="57"/>
      <c r="N42" s="57"/>
      <c r="O42" s="57"/>
      <c r="P42" s="57"/>
      <c r="Q42" s="57"/>
      <c r="R42" s="57"/>
      <c r="S42" s="57"/>
    </row>
    <row r="48" spans="1:19" s="57" customFormat="1" x14ac:dyDescent="0.25">
      <c r="A48"/>
      <c r="B48"/>
      <c r="C48"/>
      <c r="D48"/>
      <c r="E48"/>
      <c r="F48"/>
      <c r="G48"/>
      <c r="H48"/>
      <c r="I48"/>
      <c r="J48"/>
      <c r="L48"/>
      <c r="M48"/>
      <c r="N48"/>
      <c r="O48"/>
      <c r="P48"/>
      <c r="Q48"/>
      <c r="R48"/>
      <c r="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BE6E-2E53-4C07-BC0B-09708BD802F5}">
  <sheetPr>
    <tabColor theme="9" tint="0.39997558519241921"/>
  </sheetPr>
  <dimension ref="A1:S100"/>
  <sheetViews>
    <sheetView topLeftCell="I1" workbookViewId="0">
      <selection activeCell="N9" sqref="N9:Q18"/>
    </sheetView>
  </sheetViews>
  <sheetFormatPr defaultRowHeight="15" x14ac:dyDescent="0.25"/>
  <cols>
    <col min="1" max="1" width="28.5703125" bestFit="1" customWidth="1"/>
    <col min="2" max="2" width="86.85546875" bestFit="1" customWidth="1"/>
    <col min="3" max="3" width="12.28515625" bestFit="1" customWidth="1"/>
    <col min="4" max="4" width="15.140625" bestFit="1" customWidth="1"/>
    <col min="5" max="5" width="12" bestFit="1" customWidth="1"/>
    <col min="6" max="6" width="10" bestFit="1" customWidth="1"/>
    <col min="7" max="7" width="12.42578125" bestFit="1" customWidth="1"/>
    <col min="8" max="8" width="8.42578125" bestFit="1" customWidth="1"/>
    <col min="9" max="9" width="26.5703125" bestFit="1" customWidth="1"/>
    <col min="10" max="10" width="10.42578125" bestFit="1" customWidth="1"/>
    <col min="12" max="12" width="24.7109375" bestFit="1" customWidth="1"/>
    <col min="13" max="13" width="25.28515625" bestFit="1" customWidth="1"/>
    <col min="14" max="14" width="90.42578125" bestFit="1" customWidth="1"/>
    <col min="15" max="15" width="10.42578125" bestFit="1" customWidth="1"/>
    <col min="16" max="16" width="11.42578125" bestFit="1" customWidth="1"/>
    <col min="17" max="17" width="28" bestFit="1" customWidth="1"/>
    <col min="18" max="18" width="22.28515625" bestFit="1" customWidth="1"/>
    <col min="19" max="19" width="14.140625" bestFit="1" customWidth="1"/>
  </cols>
  <sheetData>
    <row r="1" spans="1:19" s="57" customFormat="1" ht="23.25" x14ac:dyDescent="0.25">
      <c r="A1" s="105" t="s">
        <v>312</v>
      </c>
    </row>
    <row r="2" spans="1:19" s="57" customFormat="1" ht="18.75" x14ac:dyDescent="0.25">
      <c r="A2" s="56" t="s">
        <v>313</v>
      </c>
    </row>
    <row r="3" spans="1:19" s="57" customFormat="1" x14ac:dyDescent="0.25"/>
    <row r="4" spans="1:19" s="57" customFormat="1" ht="18.75" x14ac:dyDescent="0.25">
      <c r="A4" s="56"/>
      <c r="G4"/>
      <c r="H4"/>
      <c r="L4" s="56" t="s">
        <v>314</v>
      </c>
    </row>
    <row r="5" spans="1:19" s="57" customFormat="1" ht="18.75" x14ac:dyDescent="0.25">
      <c r="A5" s="56"/>
      <c r="G5"/>
      <c r="H5"/>
    </row>
    <row r="6" spans="1:19" s="57" customFormat="1" ht="15.75" x14ac:dyDescent="0.25">
      <c r="A6" s="106" t="s">
        <v>315</v>
      </c>
      <c r="B6" s="106"/>
      <c r="C6"/>
      <c r="D6"/>
      <c r="E6"/>
      <c r="F6"/>
      <c r="G6"/>
      <c r="H6"/>
      <c r="I6"/>
      <c r="J6"/>
      <c r="K6" s="70"/>
      <c r="L6" s="107" t="s">
        <v>316</v>
      </c>
      <c r="M6" s="70"/>
      <c r="N6" s="70"/>
      <c r="O6" s="70"/>
      <c r="P6" s="70"/>
    </row>
    <row r="7" spans="1:19" s="57" customFormat="1" ht="16.5" thickBot="1" x14ac:dyDescent="0.3">
      <c r="A7" s="108" t="s">
        <v>317</v>
      </c>
      <c r="B7" s="108" t="s">
        <v>318</v>
      </c>
      <c r="C7" s="71" t="s">
        <v>319</v>
      </c>
      <c r="D7" s="71" t="s">
        <v>320</v>
      </c>
      <c r="E7" s="71" t="s">
        <v>240</v>
      </c>
      <c r="F7" s="71" t="s">
        <v>321</v>
      </c>
      <c r="G7" s="53" t="s">
        <v>322</v>
      </c>
      <c r="H7" s="53" t="s">
        <v>243</v>
      </c>
      <c r="I7" s="53" t="s">
        <v>323</v>
      </c>
      <c r="J7" s="53">
        <v>2020</v>
      </c>
      <c r="L7" s="53" t="s">
        <v>324</v>
      </c>
      <c r="M7" s="53" t="s">
        <v>317</v>
      </c>
      <c r="N7" s="53" t="s">
        <v>325</v>
      </c>
      <c r="O7" s="53" t="s">
        <v>326</v>
      </c>
      <c r="P7" s="53" t="s">
        <v>327</v>
      </c>
      <c r="Q7" s="53" t="s">
        <v>328</v>
      </c>
      <c r="R7" s="53" t="s">
        <v>329</v>
      </c>
      <c r="S7" s="53" t="s">
        <v>330</v>
      </c>
    </row>
    <row r="8" spans="1:19" s="57" customFormat="1" ht="25.5" x14ac:dyDescent="0.25">
      <c r="A8" s="72" t="s">
        <v>331</v>
      </c>
      <c r="B8" s="72" t="s">
        <v>332</v>
      </c>
      <c r="C8" s="72" t="s">
        <v>333</v>
      </c>
      <c r="D8" s="72" t="s">
        <v>334</v>
      </c>
      <c r="E8" s="72"/>
      <c r="F8" s="72"/>
      <c r="G8" s="72" t="s">
        <v>335</v>
      </c>
      <c r="H8" s="72"/>
      <c r="I8" s="72"/>
      <c r="J8" s="72"/>
      <c r="L8" s="73" t="s">
        <v>336</v>
      </c>
      <c r="M8" s="73" t="s">
        <v>337</v>
      </c>
      <c r="N8" s="73" t="s">
        <v>23</v>
      </c>
      <c r="O8" s="73" t="s">
        <v>338</v>
      </c>
      <c r="P8" s="73" t="s">
        <v>339</v>
      </c>
      <c r="Q8" s="73" t="s">
        <v>340</v>
      </c>
      <c r="R8" s="72" t="s">
        <v>341</v>
      </c>
      <c r="S8" s="72" t="s">
        <v>342</v>
      </c>
    </row>
    <row r="9" spans="1:19" s="57" customFormat="1" x14ac:dyDescent="0.25">
      <c r="A9" s="109" t="s">
        <v>343</v>
      </c>
      <c r="B9" s="109"/>
      <c r="C9" s="109"/>
      <c r="D9" s="109"/>
      <c r="E9" s="109"/>
      <c r="F9" s="109"/>
      <c r="G9" s="109"/>
      <c r="H9" s="109"/>
      <c r="I9" s="109"/>
      <c r="J9" s="109" t="s">
        <v>80</v>
      </c>
      <c r="L9" s="109" t="s">
        <v>344</v>
      </c>
      <c r="M9" s="109"/>
      <c r="N9" s="109"/>
      <c r="O9" s="109"/>
      <c r="P9" s="109"/>
      <c r="Q9" s="109"/>
      <c r="R9" s="109"/>
      <c r="S9" s="109"/>
    </row>
    <row r="10" spans="1:19" x14ac:dyDescent="0.25">
      <c r="A10" s="57" t="str">
        <f>M10</f>
        <v>U-TRF-BIOPEL_STD_01</v>
      </c>
      <c r="B10" s="57" t="str">
        <f>N10</f>
        <v>UPS Transformation: Woody pellet high quality production - Standard - New</v>
      </c>
      <c r="C10" s="57"/>
      <c r="D10" s="57"/>
      <c r="E10" s="57"/>
      <c r="F10" s="57"/>
      <c r="G10" s="57" t="s">
        <v>345</v>
      </c>
      <c r="H10" s="57"/>
      <c r="I10" s="57" t="s">
        <v>1197</v>
      </c>
      <c r="J10" s="110">
        <v>1</v>
      </c>
      <c r="L10" s="57" t="s">
        <v>346</v>
      </c>
      <c r="M10" t="str">
        <f>"U-TRF-"&amp;Commodities!$C$14&amp;"_STD_01"</f>
        <v>U-TRF-BIOPEL_STD_01</v>
      </c>
      <c r="N10" t="str">
        <f>"UPS Transformation: "&amp;Commodities!$D$14&amp;" production - Standard - New"</f>
        <v>UPS Transformation: Woody pellet high quality production - Standard - New</v>
      </c>
      <c r="O10" s="57" t="s">
        <v>45</v>
      </c>
      <c r="P10" s="57" t="s">
        <v>1199</v>
      </c>
      <c r="Q10" s="57"/>
      <c r="R10" s="57"/>
      <c r="S10" s="57"/>
    </row>
    <row r="11" spans="1:19" ht="15.75" x14ac:dyDescent="0.25">
      <c r="G11" s="57" t="s">
        <v>347</v>
      </c>
      <c r="H11" s="57"/>
      <c r="I11" s="57" t="s">
        <v>348</v>
      </c>
      <c r="J11" s="115">
        <f>'Key input_Biofuel production2'!$C$6</f>
        <v>30</v>
      </c>
      <c r="L11" s="57" t="s">
        <v>346</v>
      </c>
      <c r="M11" t="str">
        <f>"U-TRF-"&amp;Commodities!$C$15&amp;"_GAS_01"</f>
        <v>U-TRF-BIOJET_GAS_01</v>
      </c>
      <c r="N11" t="str">
        <f>"UPS Transformation: "&amp;Commodities!$D$15&amp;" production - Gasification - New"</f>
        <v>UPS Transformation: Biojet production - Gasification - New</v>
      </c>
      <c r="O11" s="57" t="s">
        <v>45</v>
      </c>
      <c r="P11" s="57" t="s">
        <v>1199</v>
      </c>
      <c r="Q11" s="57"/>
      <c r="R11" s="57"/>
      <c r="S11" s="57"/>
    </row>
    <row r="12" spans="1:19" ht="15.75" x14ac:dyDescent="0.25">
      <c r="G12" s="57" t="s">
        <v>354</v>
      </c>
      <c r="H12" s="57"/>
      <c r="I12" s="57"/>
      <c r="J12" s="112">
        <v>2025</v>
      </c>
      <c r="L12" s="57" t="s">
        <v>346</v>
      </c>
      <c r="M12" t="str">
        <f>"U-TRF-"&amp;Commodities!$C$16&amp;"_GASLIQ_01"</f>
        <v>U-TRF-BIOETHC_GASLIQ_01</v>
      </c>
      <c r="N12" t="str">
        <f>"UPS Transformation: "&amp;Commodities!$D$16&amp;" production - Gasification &amp; Liquefaction - New"</f>
        <v>UPS Transformation: Cellulosic ethanol - 2nd gen production - Gasification &amp; Liquefaction - New</v>
      </c>
      <c r="O12" s="57" t="s">
        <v>45</v>
      </c>
      <c r="P12" s="57" t="s">
        <v>1199</v>
      </c>
      <c r="Q12" s="57"/>
    </row>
    <row r="13" spans="1:19" ht="15.75" x14ac:dyDescent="0.25">
      <c r="G13" s="57" t="s">
        <v>362</v>
      </c>
      <c r="H13" s="57" t="s">
        <v>360</v>
      </c>
      <c r="I13" s="57"/>
      <c r="J13" s="112">
        <f>'Key input_Biofuel production2'!$C$12</f>
        <v>0.83713850837138504</v>
      </c>
      <c r="L13" s="57" t="s">
        <v>346</v>
      </c>
      <c r="M13" t="str">
        <f>"U-TRF-"&amp;Commodities!$C$17&amp;"_GAS_01"</f>
        <v>U-TRF-BIOSYN_GAS_01</v>
      </c>
      <c r="N13" t="str">
        <f>"UPS Transformation: "&amp;Commodities!$D$17&amp;" production - Gasification - New"</f>
        <v>UPS Transformation: Syngas production - Gasification - New</v>
      </c>
      <c r="O13" s="57" t="s">
        <v>45</v>
      </c>
      <c r="P13" s="57" t="s">
        <v>1199</v>
      </c>
      <c r="Q13" s="57"/>
    </row>
    <row r="14" spans="1:19" ht="15.75" x14ac:dyDescent="0.25">
      <c r="G14" s="57" t="s">
        <v>349</v>
      </c>
      <c r="H14" s="57"/>
      <c r="I14" s="57" t="s">
        <v>1198</v>
      </c>
      <c r="J14" s="161">
        <f>'Key input_Biofuel production2'!$C$9*1000</f>
        <v>13.719003278245809</v>
      </c>
      <c r="L14" s="57" t="s">
        <v>346</v>
      </c>
      <c r="M14" t="str">
        <f>"U-TRF-"&amp;"BIOOIL"&amp;"_HYDLIQ_01"</f>
        <v>U-TRF-BIOOIL_HYDLIQ_01</v>
      </c>
      <c r="N14" t="str">
        <f>"UPS Transformation: "&amp;"Renewable diesel and gasoline"&amp;" production - Hydrothermal liquefaction - New"</f>
        <v>UPS Transformation: Renewable diesel and gasoline production - Hydrothermal liquefaction - New</v>
      </c>
      <c r="O14" s="57" t="s">
        <v>45</v>
      </c>
      <c r="P14" s="57" t="s">
        <v>1199</v>
      </c>
      <c r="Q14" s="57"/>
    </row>
    <row r="15" spans="1:19" ht="15.75" x14ac:dyDescent="0.25">
      <c r="G15" s="57" t="s">
        <v>351</v>
      </c>
      <c r="H15" s="57"/>
      <c r="I15" s="57" t="s">
        <v>1198</v>
      </c>
      <c r="J15" s="161">
        <f>'Key input_Biofuel production2'!$C$10*1000</f>
        <v>342.97508195614523</v>
      </c>
      <c r="L15" s="57" t="s">
        <v>346</v>
      </c>
      <c r="M15" t="str">
        <f>"U-TRF-"&amp;"BIOOIL"&amp;"_HYDPRO_01"</f>
        <v>U-TRF-BIOOIL_HYDPRO_01</v>
      </c>
      <c r="N15" t="str">
        <f>"UPS Transformation: "&amp;"FT Diesel and renewable gasoline"&amp;" production - Hydro processing - New"</f>
        <v>UPS Transformation: FT Diesel and renewable gasoline production - Hydro processing - New</v>
      </c>
      <c r="O15" s="57" t="s">
        <v>45</v>
      </c>
      <c r="P15" s="57" t="s">
        <v>1199</v>
      </c>
      <c r="Q15" s="57"/>
    </row>
    <row r="16" spans="1:19" ht="15.75" x14ac:dyDescent="0.25">
      <c r="G16" s="57" t="s">
        <v>352</v>
      </c>
      <c r="H16" s="57"/>
      <c r="I16" s="57" t="s">
        <v>1200</v>
      </c>
      <c r="J16" s="161"/>
      <c r="L16" s="57" t="s">
        <v>346</v>
      </c>
      <c r="M16" t="str">
        <f>"U-TRF-"&amp;Commodities!$C$22&amp;"_PYR_01"</f>
        <v>U-TRF-BIOCHAR_PYR_01</v>
      </c>
      <c r="N16" t="str">
        <f>"UPS Transformation: "&amp;Commodities!$D$22&amp;" production - Pyrolysis - New"</f>
        <v>UPS Transformation: Biochar production - Pyrolysis - New</v>
      </c>
      <c r="O16" s="57" t="s">
        <v>45</v>
      </c>
      <c r="P16" s="57" t="s">
        <v>1199</v>
      </c>
      <c r="Q16" s="57"/>
    </row>
    <row r="17" spans="1:10" ht="15.75" x14ac:dyDescent="0.25">
      <c r="E17" t="s">
        <v>363</v>
      </c>
      <c r="F17" t="s">
        <v>357</v>
      </c>
      <c r="G17" s="57" t="s">
        <v>358</v>
      </c>
      <c r="H17" s="57"/>
      <c r="I17" t="s">
        <v>1203</v>
      </c>
      <c r="J17" s="161">
        <f>'Key input_Biofuel production2'!$C$7/'Key input_Biomass'!$C$6</f>
        <v>0.56842105263157894</v>
      </c>
    </row>
    <row r="18" spans="1:10" ht="15.75" x14ac:dyDescent="0.25">
      <c r="C18" t="str">
        <f>Commodities!$C$7</f>
        <v>BIOWOO</v>
      </c>
      <c r="F18" t="s">
        <v>363</v>
      </c>
      <c r="G18" s="57" t="s">
        <v>359</v>
      </c>
      <c r="H18" t="s">
        <v>360</v>
      </c>
      <c r="I18" s="57" t="s">
        <v>361</v>
      </c>
      <c r="J18" s="158">
        <v>1</v>
      </c>
    </row>
    <row r="19" spans="1:10" ht="15.75" x14ac:dyDescent="0.25">
      <c r="D19" t="str">
        <f>Commodities!$C$14</f>
        <v>BIOPEL</v>
      </c>
      <c r="G19" s="57"/>
      <c r="I19" s="57"/>
      <c r="J19" s="111"/>
    </row>
    <row r="20" spans="1:10" x14ac:dyDescent="0.25">
      <c r="A20" s="92"/>
      <c r="B20" s="92"/>
      <c r="C20" s="92" t="str">
        <f>Commodities!$C$26</f>
        <v>UPSELC</v>
      </c>
      <c r="D20" s="92"/>
      <c r="E20" s="92"/>
      <c r="F20" s="92"/>
      <c r="G20" s="117" t="s">
        <v>355</v>
      </c>
      <c r="H20" s="92"/>
      <c r="I20" s="117" t="s">
        <v>1204</v>
      </c>
      <c r="J20" s="118">
        <f>'Key input_Biofuel production2'!$C$8</f>
        <v>0.81111111111111112</v>
      </c>
    </row>
    <row r="21" spans="1:10" x14ac:dyDescent="0.25">
      <c r="A21" s="57" t="str">
        <f>M11</f>
        <v>U-TRF-BIOJET_GAS_01</v>
      </c>
      <c r="B21" s="57" t="str">
        <f>N11</f>
        <v>UPS Transformation: Biojet production - Gasification - New</v>
      </c>
      <c r="C21" s="57"/>
      <c r="D21" s="57"/>
      <c r="E21" s="57"/>
      <c r="F21" s="57"/>
      <c r="G21" s="57" t="s">
        <v>345</v>
      </c>
      <c r="H21" s="57"/>
      <c r="I21" s="57" t="s">
        <v>1197</v>
      </c>
      <c r="J21" s="110">
        <v>1</v>
      </c>
    </row>
    <row r="22" spans="1:10" ht="15.75" x14ac:dyDescent="0.25">
      <c r="G22" s="57" t="s">
        <v>347</v>
      </c>
      <c r="H22" s="57"/>
      <c r="I22" s="57" t="s">
        <v>348</v>
      </c>
      <c r="J22" s="115">
        <f>'Key input_Biofuel production2'!$C$16</f>
        <v>20</v>
      </c>
    </row>
    <row r="23" spans="1:10" ht="15.75" x14ac:dyDescent="0.25">
      <c r="G23" s="57" t="s">
        <v>354</v>
      </c>
      <c r="H23" s="57"/>
      <c r="I23" s="57"/>
      <c r="J23" s="112">
        <v>2025</v>
      </c>
    </row>
    <row r="24" spans="1:10" ht="15.75" x14ac:dyDescent="0.25">
      <c r="G24" s="57" t="s">
        <v>362</v>
      </c>
      <c r="H24" s="57" t="s">
        <v>360</v>
      </c>
      <c r="I24" s="57"/>
      <c r="J24" s="112">
        <f>'Key input_Biofuel production2'!$C$24</f>
        <v>0.91324200913242004</v>
      </c>
    </row>
    <row r="25" spans="1:10" ht="15.75" x14ac:dyDescent="0.25">
      <c r="G25" s="57" t="s">
        <v>349</v>
      </c>
      <c r="H25" s="57"/>
      <c r="I25" s="57" t="s">
        <v>1198</v>
      </c>
      <c r="J25" s="161">
        <f>'Key input_Biofuel production2'!$C$21*1000</f>
        <v>160.89718602246148</v>
      </c>
    </row>
    <row r="26" spans="1:10" ht="15.75" x14ac:dyDescent="0.25">
      <c r="G26" s="57" t="s">
        <v>351</v>
      </c>
      <c r="H26" s="57"/>
      <c r="I26" s="57" t="s">
        <v>1198</v>
      </c>
      <c r="J26" s="161">
        <f>'Key input_Biofuel production2'!$C$22*1000</f>
        <v>7.1822193151555584</v>
      </c>
    </row>
    <row r="27" spans="1:10" ht="15.75" x14ac:dyDescent="0.25">
      <c r="G27" s="57" t="s">
        <v>352</v>
      </c>
      <c r="H27" s="57"/>
      <c r="I27" s="57" t="s">
        <v>1200</v>
      </c>
      <c r="J27" s="161"/>
    </row>
    <row r="28" spans="1:10" ht="15.75" x14ac:dyDescent="0.25">
      <c r="E28" t="s">
        <v>363</v>
      </c>
      <c r="F28" t="s">
        <v>357</v>
      </c>
      <c r="G28" s="57" t="s">
        <v>358</v>
      </c>
      <c r="H28" s="57"/>
      <c r="I28" t="s">
        <v>1203</v>
      </c>
      <c r="J28" s="161">
        <f>'Key input_Biofuel production2'!$C$17/AVERAGE('Key input_Biomass'!$C$6,'Key input_Biomass'!$C$7,'Key input_Biomass'!$C$8)</f>
        <v>0.31138257317826717</v>
      </c>
    </row>
    <row r="29" spans="1:10" ht="15.75" x14ac:dyDescent="0.25">
      <c r="C29" t="str">
        <f>Commodities!$C$7</f>
        <v>BIOWOO</v>
      </c>
      <c r="F29" t="s">
        <v>363</v>
      </c>
      <c r="G29" s="57" t="s">
        <v>359</v>
      </c>
      <c r="H29" t="s">
        <v>360</v>
      </c>
      <c r="I29" s="57" t="s">
        <v>361</v>
      </c>
      <c r="J29" s="158">
        <v>1</v>
      </c>
    </row>
    <row r="30" spans="1:10" ht="15.75" x14ac:dyDescent="0.25">
      <c r="C30" t="str">
        <f>Commodities!$C$8</f>
        <v>BIOCRP</v>
      </c>
      <c r="F30" t="s">
        <v>363</v>
      </c>
      <c r="G30" s="57" t="s">
        <v>359</v>
      </c>
      <c r="H30" t="s">
        <v>360</v>
      </c>
      <c r="I30" s="57" t="s">
        <v>361</v>
      </c>
      <c r="J30" s="158">
        <v>1</v>
      </c>
    </row>
    <row r="31" spans="1:10" ht="15.75" x14ac:dyDescent="0.25">
      <c r="C31" t="str">
        <f>Commodities!$C$9</f>
        <v>BIOAGR</v>
      </c>
      <c r="F31" t="s">
        <v>363</v>
      </c>
      <c r="G31" s="57" t="s">
        <v>359</v>
      </c>
      <c r="H31" t="s">
        <v>360</v>
      </c>
      <c r="I31" s="57" t="s">
        <v>361</v>
      </c>
      <c r="J31" s="158">
        <v>1</v>
      </c>
    </row>
    <row r="32" spans="1:10" ht="15.75" x14ac:dyDescent="0.25">
      <c r="A32" s="92"/>
      <c r="B32" s="92"/>
      <c r="C32" s="92"/>
      <c r="D32" s="92" t="str">
        <f>Commodities!$C$15</f>
        <v>BIOJET</v>
      </c>
      <c r="E32" s="92"/>
      <c r="F32" s="92"/>
      <c r="G32" s="117"/>
      <c r="H32" s="92"/>
      <c r="I32" s="117"/>
      <c r="J32" s="159"/>
    </row>
    <row r="33" spans="1:10" x14ac:dyDescent="0.25">
      <c r="A33" s="57" t="str">
        <f>M12</f>
        <v>U-TRF-BIOETHC_GASLIQ_01</v>
      </c>
      <c r="B33" s="57" t="str">
        <f>N12</f>
        <v>UPS Transformation: Cellulosic ethanol - 2nd gen production - Gasification &amp; Liquefaction - New</v>
      </c>
      <c r="C33" s="57"/>
      <c r="D33" s="57"/>
      <c r="E33" s="57"/>
      <c r="F33" s="57"/>
      <c r="G33" s="57" t="s">
        <v>345</v>
      </c>
      <c r="H33" s="57"/>
      <c r="I33" s="57" t="s">
        <v>1197</v>
      </c>
      <c r="J33" s="110">
        <v>1</v>
      </c>
    </row>
    <row r="34" spans="1:10" ht="15.75" x14ac:dyDescent="0.25">
      <c r="G34" s="57" t="s">
        <v>347</v>
      </c>
      <c r="H34" s="57"/>
      <c r="I34" s="57" t="s">
        <v>348</v>
      </c>
      <c r="J34" s="115">
        <f>'Key input_Biofuel production2'!$C$28</f>
        <v>30</v>
      </c>
    </row>
    <row r="35" spans="1:10" ht="15.75" x14ac:dyDescent="0.25">
      <c r="G35" s="57" t="s">
        <v>354</v>
      </c>
      <c r="H35" s="57"/>
      <c r="I35" s="57"/>
      <c r="J35" s="112">
        <v>2025</v>
      </c>
    </row>
    <row r="36" spans="1:10" ht="15.75" x14ac:dyDescent="0.25">
      <c r="G36" s="57" t="s">
        <v>362</v>
      </c>
      <c r="H36" s="57" t="s">
        <v>360</v>
      </c>
      <c r="I36" s="57"/>
      <c r="J36" s="112">
        <f>'Key input_Biofuel production2'!$C$36</f>
        <v>0.96004566210045661</v>
      </c>
    </row>
    <row r="37" spans="1:10" ht="15.75" x14ac:dyDescent="0.25">
      <c r="G37" s="57" t="s">
        <v>349</v>
      </c>
      <c r="H37" s="57"/>
      <c r="I37" s="57" t="s">
        <v>1198</v>
      </c>
      <c r="J37" s="161">
        <f>'Key input_Biofuel production2'!$C$33*1000</f>
        <v>50.546921856732403</v>
      </c>
    </row>
    <row r="38" spans="1:10" ht="15.75" x14ac:dyDescent="0.25">
      <c r="G38" s="57" t="s">
        <v>351</v>
      </c>
      <c r="H38" s="57"/>
      <c r="I38" s="57" t="s">
        <v>1198</v>
      </c>
      <c r="J38" s="161">
        <f>'Key input_Biofuel production2'!$C$34*1000</f>
        <v>2.2772767989114082</v>
      </c>
    </row>
    <row r="39" spans="1:10" ht="15.75" x14ac:dyDescent="0.25">
      <c r="G39" s="57" t="s">
        <v>352</v>
      </c>
      <c r="H39" s="57"/>
      <c r="I39" s="57" t="s">
        <v>1200</v>
      </c>
      <c r="J39" s="161">
        <f>'Key input_Biofuel production2'!$C$35*1000</f>
        <v>0.74305196584682931</v>
      </c>
    </row>
    <row r="40" spans="1:10" ht="15.75" x14ac:dyDescent="0.25">
      <c r="E40" t="s">
        <v>363</v>
      </c>
      <c r="F40" t="s">
        <v>357</v>
      </c>
      <c r="G40" s="57" t="s">
        <v>358</v>
      </c>
      <c r="H40" s="57"/>
      <c r="I40" t="s">
        <v>1203</v>
      </c>
      <c r="J40" s="161">
        <f>'Key input_Biofuel production2'!$C$29/AVERAGE('Key input_Biomass'!$C$6,'Key input_Biomass'!$C$7,'Key input_Biomass'!$C$8)</f>
        <v>1.0008935990494461</v>
      </c>
    </row>
    <row r="41" spans="1:10" ht="15.75" x14ac:dyDescent="0.25">
      <c r="C41" t="str">
        <f>Commodities!$C$7</f>
        <v>BIOWOO</v>
      </c>
      <c r="F41" t="s">
        <v>363</v>
      </c>
      <c r="G41" s="57" t="s">
        <v>359</v>
      </c>
      <c r="H41" t="s">
        <v>360</v>
      </c>
      <c r="I41" s="57" t="s">
        <v>361</v>
      </c>
      <c r="J41" s="158">
        <v>1</v>
      </c>
    </row>
    <row r="42" spans="1:10" ht="15.75" x14ac:dyDescent="0.25">
      <c r="C42" t="str">
        <f>Commodities!$C$8</f>
        <v>BIOCRP</v>
      </c>
      <c r="F42" t="s">
        <v>363</v>
      </c>
      <c r="G42" s="57" t="s">
        <v>359</v>
      </c>
      <c r="H42" t="s">
        <v>360</v>
      </c>
      <c r="I42" s="57" t="s">
        <v>361</v>
      </c>
      <c r="J42" s="158">
        <v>1</v>
      </c>
    </row>
    <row r="43" spans="1:10" ht="15.75" x14ac:dyDescent="0.25">
      <c r="C43" t="str">
        <f>Commodities!$C$9</f>
        <v>BIOAGR</v>
      </c>
      <c r="F43" t="s">
        <v>363</v>
      </c>
      <c r="G43" s="57" t="s">
        <v>359</v>
      </c>
      <c r="H43" t="s">
        <v>360</v>
      </c>
      <c r="I43" s="57" t="s">
        <v>361</v>
      </c>
      <c r="J43" s="158">
        <v>1</v>
      </c>
    </row>
    <row r="44" spans="1:10" ht="15.75" x14ac:dyDescent="0.25">
      <c r="D44" t="str">
        <f>Commodities!$C$16</f>
        <v>BIOETHC</v>
      </c>
      <c r="G44" s="57"/>
      <c r="I44" s="57"/>
      <c r="J44" s="111"/>
    </row>
    <row r="45" spans="1:10" x14ac:dyDescent="0.25">
      <c r="C45" t="str">
        <f>Commodities!$C$26</f>
        <v>UPSELC</v>
      </c>
      <c r="G45" s="57" t="s">
        <v>355</v>
      </c>
      <c r="I45" s="57" t="s">
        <v>1204</v>
      </c>
      <c r="J45" s="116">
        <f>'Key input_Biofuel production2'!$C$31*'Key input_Biofuel production2'!$C$30</f>
        <v>0.37373266367102687</v>
      </c>
    </row>
    <row r="46" spans="1:10" x14ac:dyDescent="0.25">
      <c r="A46" s="92"/>
      <c r="B46" s="92"/>
      <c r="C46" s="92" t="str">
        <f>Commodities!$C$28</f>
        <v>UPSHET</v>
      </c>
      <c r="D46" s="92"/>
      <c r="E46" s="92"/>
      <c r="F46" s="92"/>
      <c r="G46" s="117" t="s">
        <v>355</v>
      </c>
      <c r="H46" s="92"/>
      <c r="I46" s="92" t="s">
        <v>1204</v>
      </c>
      <c r="J46" s="118">
        <f>'Key input_Biofuel production2'!$C$32*'Key input_Biofuel production2'!$C$30</f>
        <v>0.13577780689113061</v>
      </c>
    </row>
    <row r="47" spans="1:10" x14ac:dyDescent="0.25">
      <c r="A47" s="57" t="str">
        <f>M13</f>
        <v>U-TRF-BIOSYN_GAS_01</v>
      </c>
      <c r="B47" s="57" t="str">
        <f>N13</f>
        <v>UPS Transformation: Syngas production - Gasification - New</v>
      </c>
      <c r="C47" s="57"/>
      <c r="D47" s="57"/>
      <c r="E47" s="57"/>
      <c r="F47" s="57"/>
      <c r="G47" s="57" t="s">
        <v>345</v>
      </c>
      <c r="H47" s="57"/>
      <c r="I47" s="57" t="s">
        <v>1197</v>
      </c>
      <c r="J47" s="110">
        <v>1</v>
      </c>
    </row>
    <row r="48" spans="1:10" ht="15.75" x14ac:dyDescent="0.25">
      <c r="G48" s="57" t="s">
        <v>347</v>
      </c>
      <c r="H48" s="57"/>
      <c r="I48" s="57" t="s">
        <v>348</v>
      </c>
      <c r="J48" s="115">
        <f>'Key input_Biofuel production2'!$C$40</f>
        <v>25</v>
      </c>
    </row>
    <row r="49" spans="1:10" ht="15.75" x14ac:dyDescent="0.25">
      <c r="G49" s="57" t="s">
        <v>354</v>
      </c>
      <c r="H49" s="57"/>
      <c r="I49" s="57"/>
      <c r="J49" s="112">
        <v>2025</v>
      </c>
    </row>
    <row r="50" spans="1:10" ht="15.75" x14ac:dyDescent="0.25">
      <c r="G50" s="57" t="s">
        <v>362</v>
      </c>
      <c r="H50" s="57" t="s">
        <v>360</v>
      </c>
      <c r="I50" s="57"/>
      <c r="J50" s="112">
        <f>'Key input_Biofuel production2'!$C$46</f>
        <v>0.91324200913242004</v>
      </c>
    </row>
    <row r="51" spans="1:10" ht="15.75" x14ac:dyDescent="0.25">
      <c r="G51" s="57" t="s">
        <v>349</v>
      </c>
      <c r="H51" s="57"/>
      <c r="I51" s="57" t="s">
        <v>1198</v>
      </c>
      <c r="J51" s="161">
        <f>'Key input_Biofuel production2'!$C$43*1000</f>
        <v>30.282945007815492</v>
      </c>
    </row>
    <row r="52" spans="1:10" ht="15.75" x14ac:dyDescent="0.25">
      <c r="G52" s="57" t="s">
        <v>351</v>
      </c>
      <c r="H52" s="57"/>
      <c r="I52" s="57" t="s">
        <v>1198</v>
      </c>
      <c r="J52" s="161">
        <f>'Key input_Biofuel production2'!$C$44*1000</f>
        <v>1.2204169730957886</v>
      </c>
    </row>
    <row r="53" spans="1:10" ht="15.75" x14ac:dyDescent="0.25">
      <c r="G53" s="57" t="s">
        <v>352</v>
      </c>
      <c r="H53" s="57"/>
      <c r="I53" s="57" t="s">
        <v>1200</v>
      </c>
      <c r="J53" s="161">
        <f>'Key input_Biofuel production2'!$C$45*1000</f>
        <v>0.17947308427879238</v>
      </c>
    </row>
    <row r="54" spans="1:10" ht="15.75" x14ac:dyDescent="0.25">
      <c r="E54" t="s">
        <v>363</v>
      </c>
      <c r="F54" t="s">
        <v>357</v>
      </c>
      <c r="G54" s="57" t="s">
        <v>358</v>
      </c>
      <c r="H54" s="57"/>
      <c r="I54" t="s">
        <v>1203</v>
      </c>
      <c r="J54" s="161">
        <f>'Key input_Biofuel production2'!$C$41/AVERAGE('Key input_Biomass'!$C$6,'Key input_Biomass'!$C$7,'Key input_Biomass'!$C$8)</f>
        <v>0.90620031796502387</v>
      </c>
    </row>
    <row r="55" spans="1:10" ht="15.75" x14ac:dyDescent="0.25">
      <c r="C55" t="str">
        <f>Commodities!$C$7</f>
        <v>BIOWOO</v>
      </c>
      <c r="F55" t="s">
        <v>363</v>
      </c>
      <c r="G55" s="57" t="s">
        <v>359</v>
      </c>
      <c r="H55" t="s">
        <v>360</v>
      </c>
      <c r="I55" s="57" t="s">
        <v>361</v>
      </c>
      <c r="J55" s="158">
        <v>1</v>
      </c>
    </row>
    <row r="56" spans="1:10" ht="15.75" x14ac:dyDescent="0.25">
      <c r="C56" t="str">
        <f>Commodities!$C$8</f>
        <v>BIOCRP</v>
      </c>
      <c r="F56" t="s">
        <v>363</v>
      </c>
      <c r="G56" s="57" t="s">
        <v>359</v>
      </c>
      <c r="H56" t="s">
        <v>360</v>
      </c>
      <c r="I56" s="57" t="s">
        <v>361</v>
      </c>
      <c r="J56" s="158">
        <v>1</v>
      </c>
    </row>
    <row r="57" spans="1:10" ht="15.75" x14ac:dyDescent="0.25">
      <c r="C57" t="str">
        <f>Commodities!$C$9</f>
        <v>BIOAGR</v>
      </c>
      <c r="F57" t="s">
        <v>363</v>
      </c>
      <c r="G57" s="57" t="s">
        <v>359</v>
      </c>
      <c r="H57" t="s">
        <v>360</v>
      </c>
      <c r="I57" s="57" t="s">
        <v>361</v>
      </c>
      <c r="J57" s="158">
        <v>1</v>
      </c>
    </row>
    <row r="58" spans="1:10" ht="15.75" x14ac:dyDescent="0.25">
      <c r="A58" s="92"/>
      <c r="B58" s="92"/>
      <c r="C58" s="92"/>
      <c r="D58" s="92" t="str">
        <f>Commodities!C17</f>
        <v>BIOSYN</v>
      </c>
      <c r="E58" s="92"/>
      <c r="F58" s="92"/>
      <c r="G58" s="117"/>
      <c r="H58" s="92"/>
      <c r="I58" s="117"/>
      <c r="J58" s="169"/>
    </row>
    <row r="59" spans="1:10" x14ac:dyDescent="0.25">
      <c r="A59" s="57" t="str">
        <f>M14</f>
        <v>U-TRF-BIOOIL_HYDLIQ_01</v>
      </c>
      <c r="B59" s="57" t="str">
        <f>N14</f>
        <v>UPS Transformation: Renewable diesel and gasoline production - Hydrothermal liquefaction - New</v>
      </c>
      <c r="C59" s="57"/>
      <c r="D59" s="57"/>
      <c r="E59" s="57"/>
      <c r="F59" s="57"/>
      <c r="G59" s="57" t="s">
        <v>345</v>
      </c>
      <c r="H59" s="57"/>
      <c r="I59" s="57" t="s">
        <v>1197</v>
      </c>
      <c r="J59" s="110">
        <v>1</v>
      </c>
    </row>
    <row r="60" spans="1:10" ht="15.75" x14ac:dyDescent="0.25">
      <c r="G60" s="57" t="s">
        <v>347</v>
      </c>
      <c r="H60" s="57"/>
      <c r="I60" s="57" t="s">
        <v>348</v>
      </c>
      <c r="J60" s="115">
        <f>'Key input_Biofuel production2'!$C$60</f>
        <v>20</v>
      </c>
    </row>
    <row r="61" spans="1:10" ht="15.75" x14ac:dyDescent="0.25">
      <c r="G61" s="57" t="s">
        <v>354</v>
      </c>
      <c r="H61" s="57"/>
      <c r="I61" s="57"/>
      <c r="J61" s="112">
        <v>2025</v>
      </c>
    </row>
    <row r="62" spans="1:10" ht="15.75" x14ac:dyDescent="0.25">
      <c r="G62" s="57" t="s">
        <v>362</v>
      </c>
      <c r="H62" s="57" t="s">
        <v>360</v>
      </c>
      <c r="I62" s="57"/>
      <c r="J62" s="112">
        <f>'Key input_Biofuel production2'!$C$69</f>
        <v>0.91324200913242004</v>
      </c>
    </row>
    <row r="63" spans="1:10" ht="15.75" x14ac:dyDescent="0.25">
      <c r="G63" s="57" t="s">
        <v>349</v>
      </c>
      <c r="H63" s="57"/>
      <c r="I63" s="57" t="s">
        <v>1198</v>
      </c>
      <c r="J63" s="161">
        <f>'Key input_Biofuel production2'!$C79*1000</f>
        <v>156.5699535935247</v>
      </c>
    </row>
    <row r="64" spans="1:10" ht="15.75" x14ac:dyDescent="0.25">
      <c r="G64" s="57" t="s">
        <v>351</v>
      </c>
      <c r="H64" s="57"/>
      <c r="I64" s="57" t="s">
        <v>1198</v>
      </c>
      <c r="J64" s="161">
        <f>'Key input_Biofuel production2'!$C80*1000</f>
        <v>3.6171276407744983</v>
      </c>
    </row>
    <row r="65" spans="1:10" ht="15.75" x14ac:dyDescent="0.25">
      <c r="G65" s="57" t="s">
        <v>352</v>
      </c>
      <c r="H65" s="57"/>
      <c r="I65" s="57" t="s">
        <v>1200</v>
      </c>
      <c r="J65" s="161">
        <f>'Key input_Biofuel production2'!$C81*1000</f>
        <v>3.3587613807191774</v>
      </c>
    </row>
    <row r="66" spans="1:10" ht="15.75" x14ac:dyDescent="0.25">
      <c r="E66" t="s">
        <v>363</v>
      </c>
      <c r="F66" t="s">
        <v>357</v>
      </c>
      <c r="G66" s="57" t="s">
        <v>358</v>
      </c>
      <c r="H66" s="57"/>
      <c r="I66" t="s">
        <v>1203</v>
      </c>
      <c r="J66" s="161">
        <f>'Key input_Biofuel production2'!$C$61/AVERAGE('Key input_Biomass'!$C$6,'Key input_Biomass'!$C$7,'Key input_Biomass'!$C$8)</f>
        <v>0.76457268078889706</v>
      </c>
    </row>
    <row r="67" spans="1:10" ht="15.75" x14ac:dyDescent="0.25">
      <c r="C67" t="str">
        <f>Commodities!$C$7</f>
        <v>BIOWOO</v>
      </c>
      <c r="F67" t="s">
        <v>363</v>
      </c>
      <c r="G67" s="57" t="s">
        <v>359</v>
      </c>
      <c r="H67" t="s">
        <v>360</v>
      </c>
      <c r="I67" s="57" t="s">
        <v>361</v>
      </c>
      <c r="J67" s="158">
        <v>1</v>
      </c>
    </row>
    <row r="68" spans="1:10" ht="15.75" x14ac:dyDescent="0.25">
      <c r="C68" t="str">
        <f>Commodities!$C$8</f>
        <v>BIOCRP</v>
      </c>
      <c r="F68" t="s">
        <v>363</v>
      </c>
      <c r="G68" s="57" t="s">
        <v>359</v>
      </c>
      <c r="H68" t="s">
        <v>360</v>
      </c>
      <c r="I68" s="57" t="s">
        <v>361</v>
      </c>
      <c r="J68" s="158">
        <v>1</v>
      </c>
    </row>
    <row r="69" spans="1:10" ht="15.75" x14ac:dyDescent="0.25">
      <c r="C69" t="str">
        <f>Commodities!$C$9</f>
        <v>BIOAGR</v>
      </c>
      <c r="F69" t="s">
        <v>363</v>
      </c>
      <c r="G69" s="57" t="s">
        <v>359</v>
      </c>
      <c r="H69" t="s">
        <v>360</v>
      </c>
      <c r="I69" s="57" t="s">
        <v>361</v>
      </c>
      <c r="J69" s="158">
        <v>1</v>
      </c>
    </row>
    <row r="70" spans="1:10" ht="15.75" x14ac:dyDescent="0.25">
      <c r="D70" t="str">
        <f>Commodities!$C$19</f>
        <v>BIODIER</v>
      </c>
      <c r="G70" s="57" t="s">
        <v>364</v>
      </c>
      <c r="H70" t="s">
        <v>360</v>
      </c>
      <c r="I70" s="57" t="s">
        <v>361</v>
      </c>
      <c r="J70" s="161">
        <f>'Key input_Biofuel production2'!$C62</f>
        <v>0.48470012239902088</v>
      </c>
    </row>
    <row r="71" spans="1:10" ht="15.75" x14ac:dyDescent="0.25">
      <c r="D71" t="str">
        <f>Commodities!$C$20</f>
        <v>BIOGSLR</v>
      </c>
      <c r="G71" s="57" t="s">
        <v>364</v>
      </c>
      <c r="H71" t="s">
        <v>360</v>
      </c>
      <c r="I71" s="57" t="s">
        <v>361</v>
      </c>
      <c r="J71" s="161">
        <f>'Key input_Biofuel production2'!$C63</f>
        <v>0.51529987760097917</v>
      </c>
    </row>
    <row r="72" spans="1:10" x14ac:dyDescent="0.25">
      <c r="C72" t="str">
        <f>Commodities!$C$26</f>
        <v>UPSELC</v>
      </c>
      <c r="G72" s="57" t="s">
        <v>355</v>
      </c>
      <c r="I72" s="57" t="s">
        <v>1204</v>
      </c>
      <c r="J72" s="116">
        <f>'Key input_Biofuel production2'!$C$64</f>
        <v>4.8675219260533108E-2</v>
      </c>
    </row>
    <row r="73" spans="1:10" x14ac:dyDescent="0.25">
      <c r="A73" s="92"/>
      <c r="B73" s="92"/>
      <c r="C73" s="92" t="s">
        <v>365</v>
      </c>
      <c r="D73" s="92"/>
      <c r="E73" s="92"/>
      <c r="F73" s="92"/>
      <c r="G73" s="117" t="s">
        <v>355</v>
      </c>
      <c r="H73" s="92"/>
      <c r="I73" s="92" t="s">
        <v>1204</v>
      </c>
      <c r="J73" s="160">
        <f>'Key input_Biofuel production2'!$C$65</f>
        <v>0.17876182287188302</v>
      </c>
    </row>
    <row r="74" spans="1:10" x14ac:dyDescent="0.25">
      <c r="A74" s="57" t="str">
        <f>M15</f>
        <v>U-TRF-BIOOIL_HYDPRO_01</v>
      </c>
      <c r="B74" s="57" t="str">
        <f>N15</f>
        <v>UPS Transformation: FT Diesel and renewable gasoline production - Hydro processing - New</v>
      </c>
      <c r="C74" s="57"/>
      <c r="D74" s="57"/>
      <c r="E74" s="57"/>
      <c r="F74" s="57"/>
      <c r="G74" s="57" t="s">
        <v>345</v>
      </c>
      <c r="H74" s="57"/>
      <c r="I74" s="57" t="s">
        <v>1197</v>
      </c>
      <c r="J74" s="110">
        <v>1</v>
      </c>
    </row>
    <row r="75" spans="1:10" ht="15.75" x14ac:dyDescent="0.25">
      <c r="G75" s="57" t="s">
        <v>347</v>
      </c>
      <c r="H75" s="57"/>
      <c r="I75" s="57" t="s">
        <v>348</v>
      </c>
      <c r="J75" s="115">
        <f>'Key input_Biofuel production2'!$C$73</f>
        <v>20</v>
      </c>
    </row>
    <row r="76" spans="1:10" ht="15.75" x14ac:dyDescent="0.25">
      <c r="G76" s="57" t="s">
        <v>354</v>
      </c>
      <c r="H76" s="57"/>
      <c r="I76" s="57"/>
      <c r="J76" s="112">
        <v>2025</v>
      </c>
    </row>
    <row r="77" spans="1:10" ht="15.75" x14ac:dyDescent="0.25">
      <c r="G77" s="57" t="s">
        <v>362</v>
      </c>
      <c r="H77" s="57" t="s">
        <v>360</v>
      </c>
      <c r="I77" s="57"/>
      <c r="J77" s="112">
        <f>'Key input_Biofuel production2'!$C$82</f>
        <v>0.83713850837138504</v>
      </c>
    </row>
    <row r="78" spans="1:10" ht="15.75" x14ac:dyDescent="0.25">
      <c r="G78" s="57" t="s">
        <v>349</v>
      </c>
      <c r="H78" s="57"/>
      <c r="I78" s="57" t="s">
        <v>1198</v>
      </c>
      <c r="J78" s="161">
        <f>'Key input_Biofuel production2'!$C79*1000</f>
        <v>156.5699535935247</v>
      </c>
    </row>
    <row r="79" spans="1:10" ht="15.75" x14ac:dyDescent="0.25">
      <c r="G79" s="57" t="s">
        <v>351</v>
      </c>
      <c r="H79" s="57"/>
      <c r="I79" s="57" t="s">
        <v>1198</v>
      </c>
      <c r="J79" s="161">
        <f>'Key input_Biofuel production2'!$C80*1000</f>
        <v>3.6171276407744983</v>
      </c>
    </row>
    <row r="80" spans="1:10" ht="15.75" x14ac:dyDescent="0.25">
      <c r="G80" s="57" t="s">
        <v>352</v>
      </c>
      <c r="H80" s="57"/>
      <c r="I80" s="57" t="s">
        <v>1200</v>
      </c>
      <c r="J80" s="161">
        <f>'Key input_Biofuel production2'!$C81*1000</f>
        <v>3.3587613807191774</v>
      </c>
    </row>
    <row r="81" spans="1:10" ht="15.75" x14ac:dyDescent="0.25">
      <c r="E81" t="s">
        <v>363</v>
      </c>
      <c r="F81" t="s">
        <v>357</v>
      </c>
      <c r="G81" s="57" t="s">
        <v>358</v>
      </c>
      <c r="H81" s="57"/>
      <c r="I81" t="s">
        <v>1203</v>
      </c>
      <c r="J81" s="161">
        <f>'Key input_Biofuel production2'!$C$74/AVERAGE('Key input_Biomass'!$C$6,'Key input_Biomass'!$C$7,'Key input_Biomass'!$C$8)</f>
        <v>0.37960490108768524</v>
      </c>
    </row>
    <row r="82" spans="1:10" ht="15.75" x14ac:dyDescent="0.25">
      <c r="C82" t="str">
        <f>Commodities!$C$7</f>
        <v>BIOWOO</v>
      </c>
      <c r="F82" t="s">
        <v>363</v>
      </c>
      <c r="G82" s="57" t="s">
        <v>359</v>
      </c>
      <c r="H82" t="s">
        <v>360</v>
      </c>
      <c r="I82" s="57" t="s">
        <v>361</v>
      </c>
      <c r="J82" s="158">
        <v>1</v>
      </c>
    </row>
    <row r="83" spans="1:10" ht="15.75" x14ac:dyDescent="0.25">
      <c r="C83" t="str">
        <f>Commodities!$C$8</f>
        <v>BIOCRP</v>
      </c>
      <c r="F83" t="s">
        <v>363</v>
      </c>
      <c r="G83" s="57" t="s">
        <v>359</v>
      </c>
      <c r="H83" t="s">
        <v>360</v>
      </c>
      <c r="I83" s="57" t="s">
        <v>361</v>
      </c>
      <c r="J83" s="158">
        <v>1</v>
      </c>
    </row>
    <row r="84" spans="1:10" ht="15.75" x14ac:dyDescent="0.25">
      <c r="C84" t="str">
        <f>Commodities!$C$9</f>
        <v>BIOAGR</v>
      </c>
      <c r="F84" t="s">
        <v>363</v>
      </c>
      <c r="G84" s="57" t="s">
        <v>359</v>
      </c>
      <c r="H84" t="s">
        <v>360</v>
      </c>
      <c r="I84" s="57" t="s">
        <v>361</v>
      </c>
      <c r="J84" s="158">
        <v>1</v>
      </c>
    </row>
    <row r="85" spans="1:10" ht="15.75" x14ac:dyDescent="0.25">
      <c r="D85" t="str">
        <f>Commodities!$C$21</f>
        <v>BIOFTD</v>
      </c>
      <c r="G85" s="57" t="s">
        <v>364</v>
      </c>
      <c r="H85" t="s">
        <v>360</v>
      </c>
      <c r="I85" s="57" t="s">
        <v>361</v>
      </c>
      <c r="J85" s="161">
        <f>'Key input_Biofuel production2'!$C75</f>
        <v>0.62</v>
      </c>
    </row>
    <row r="86" spans="1:10" ht="15.75" x14ac:dyDescent="0.25">
      <c r="D86" t="str">
        <f>Commodities!$C$20</f>
        <v>BIOGSLR</v>
      </c>
      <c r="G86" s="57" t="s">
        <v>364</v>
      </c>
      <c r="H86" t="s">
        <v>360</v>
      </c>
      <c r="I86" s="57" t="s">
        <v>361</v>
      </c>
      <c r="J86" s="161">
        <f>1-J85</f>
        <v>0.38</v>
      </c>
    </row>
    <row r="87" spans="1:10" x14ac:dyDescent="0.25">
      <c r="A87" s="92"/>
      <c r="B87" s="92"/>
      <c r="C87" s="92" t="str">
        <f>Commodities!$C$26</f>
        <v>UPSELC</v>
      </c>
      <c r="D87" s="92"/>
      <c r="E87" s="92"/>
      <c r="F87" s="92"/>
      <c r="G87" s="117" t="s">
        <v>355</v>
      </c>
      <c r="H87" s="92"/>
      <c r="I87" s="117" t="s">
        <v>1204</v>
      </c>
      <c r="J87" s="118">
        <f>'Key input_Biofuel production2'!$C$78</f>
        <v>0.13716156505957641</v>
      </c>
    </row>
    <row r="88" spans="1:10" x14ac:dyDescent="0.25">
      <c r="A88" s="57" t="str">
        <f>M16</f>
        <v>U-TRF-BIOCHAR_PYR_01</v>
      </c>
      <c r="B88" s="57" t="str">
        <f>N16</f>
        <v>UPS Transformation: Biochar production - Pyrolysis - New</v>
      </c>
      <c r="C88" s="57"/>
      <c r="D88" s="57"/>
      <c r="E88" s="57"/>
      <c r="F88" s="57"/>
      <c r="G88" s="57" t="s">
        <v>345</v>
      </c>
      <c r="H88" s="57"/>
      <c r="I88" s="57" t="s">
        <v>1197</v>
      </c>
      <c r="J88" s="110">
        <v>1</v>
      </c>
    </row>
    <row r="89" spans="1:10" ht="15.75" x14ac:dyDescent="0.25">
      <c r="G89" s="57" t="s">
        <v>347</v>
      </c>
      <c r="H89" s="57"/>
      <c r="I89" s="57" t="s">
        <v>348</v>
      </c>
      <c r="J89" s="115">
        <f>'Key input_Biofuel production2'!$C$87</f>
        <v>25</v>
      </c>
    </row>
    <row r="90" spans="1:10" ht="15.75" x14ac:dyDescent="0.25">
      <c r="G90" s="57" t="s">
        <v>354</v>
      </c>
      <c r="H90" s="57"/>
      <c r="I90" s="57"/>
      <c r="J90" s="112">
        <v>2025</v>
      </c>
    </row>
    <row r="91" spans="1:10" ht="15.75" x14ac:dyDescent="0.25">
      <c r="G91" s="57" t="s">
        <v>362</v>
      </c>
      <c r="H91" s="57" t="s">
        <v>360</v>
      </c>
      <c r="I91" s="57"/>
      <c r="J91" s="112">
        <f>'Key input_Biofuel production2'!$C$95</f>
        <v>0.91324200913242004</v>
      </c>
    </row>
    <row r="92" spans="1:10" ht="15.75" x14ac:dyDescent="0.25">
      <c r="G92" s="57" t="s">
        <v>349</v>
      </c>
      <c r="H92" s="57"/>
      <c r="I92" s="57" t="s">
        <v>1198</v>
      </c>
      <c r="J92" s="161">
        <f>'Key input_Biofuel production2'!$C92*1000</f>
        <v>12.456445707557249</v>
      </c>
    </row>
    <row r="93" spans="1:10" ht="15.75" x14ac:dyDescent="0.25">
      <c r="G93" s="57" t="s">
        <v>351</v>
      </c>
      <c r="H93" s="57"/>
      <c r="I93" s="57" t="s">
        <v>1198</v>
      </c>
      <c r="J93" s="161">
        <f>'Key input_Biofuel production2'!$C93*1000</f>
        <v>0.70890341425122549</v>
      </c>
    </row>
    <row r="94" spans="1:10" ht="15.75" x14ac:dyDescent="0.25">
      <c r="G94" s="57" t="s">
        <v>352</v>
      </c>
      <c r="H94" s="57"/>
      <c r="I94" s="57" t="s">
        <v>1200</v>
      </c>
      <c r="J94" s="161">
        <f>'Key input_Biofuel production2'!$C94*1000</f>
        <v>0</v>
      </c>
    </row>
    <row r="95" spans="1:10" ht="15.75" x14ac:dyDescent="0.25">
      <c r="E95" t="s">
        <v>363</v>
      </c>
      <c r="F95" t="s">
        <v>357</v>
      </c>
      <c r="G95" s="57" t="s">
        <v>358</v>
      </c>
      <c r="H95" s="57"/>
      <c r="I95" t="s">
        <v>1203</v>
      </c>
      <c r="J95" s="161">
        <f>'Key input_Biofuel production2'!$C88/AVERAGE('Key input_Biomass'!$C$6,'Key input_Biomass'!$C$7,'Key input_Biomass'!$C$8)</f>
        <v>0.92087289992695398</v>
      </c>
    </row>
    <row r="96" spans="1:10" ht="15.75" x14ac:dyDescent="0.25">
      <c r="C96" t="str">
        <f>Commodities!$C$7</f>
        <v>BIOWOO</v>
      </c>
      <c r="F96" t="s">
        <v>363</v>
      </c>
      <c r="G96" s="57" t="s">
        <v>359</v>
      </c>
      <c r="H96" t="s">
        <v>360</v>
      </c>
      <c r="I96" s="57" t="s">
        <v>361</v>
      </c>
      <c r="J96" s="158">
        <v>1</v>
      </c>
    </row>
    <row r="97" spans="1:10" ht="15.75" x14ac:dyDescent="0.25">
      <c r="C97" t="str">
        <f>Commodities!$C$8</f>
        <v>BIOCRP</v>
      </c>
      <c r="F97" t="s">
        <v>363</v>
      </c>
      <c r="G97" s="57" t="s">
        <v>359</v>
      </c>
      <c r="H97" t="s">
        <v>360</v>
      </c>
      <c r="I97" s="57" t="s">
        <v>361</v>
      </c>
      <c r="J97" s="158">
        <v>1</v>
      </c>
    </row>
    <row r="98" spans="1:10" ht="15.75" x14ac:dyDescent="0.25">
      <c r="C98" t="str">
        <f>Commodities!$C$9</f>
        <v>BIOAGR</v>
      </c>
      <c r="F98" t="s">
        <v>363</v>
      </c>
      <c r="G98" s="57" t="s">
        <v>359</v>
      </c>
      <c r="H98" t="s">
        <v>360</v>
      </c>
      <c r="I98" s="57" t="s">
        <v>361</v>
      </c>
      <c r="J98" s="158">
        <v>1</v>
      </c>
    </row>
    <row r="99" spans="1:10" ht="15.75" x14ac:dyDescent="0.25">
      <c r="D99" t="str">
        <f>Commodities!C22</f>
        <v>BIOCHAR</v>
      </c>
      <c r="G99" s="57" t="s">
        <v>364</v>
      </c>
      <c r="H99" t="s">
        <v>360</v>
      </c>
      <c r="I99" s="57" t="s">
        <v>361</v>
      </c>
      <c r="J99" s="161">
        <f>'Key input_Biofuel production2'!$C89</f>
        <v>0.64519007674460105</v>
      </c>
    </row>
    <row r="100" spans="1:10" ht="15.75" x14ac:dyDescent="0.25">
      <c r="A100" s="92"/>
      <c r="B100" s="92"/>
      <c r="C100" s="92"/>
      <c r="D100" s="92" t="str">
        <f>Commodities!C17</f>
        <v>BIOSYN</v>
      </c>
      <c r="E100" s="92"/>
      <c r="F100" s="92"/>
      <c r="G100" s="117" t="s">
        <v>364</v>
      </c>
      <c r="H100" s="92" t="s">
        <v>360</v>
      </c>
      <c r="I100" s="117" t="s">
        <v>361</v>
      </c>
      <c r="J100" s="162">
        <f>'Key input_Biofuel production2'!$C90</f>
        <v>0.35480992325539895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A6374-B7F4-47C2-96D3-2718EF7C049F}">
  <sheetPr>
    <tabColor theme="9" tint="0.39997558519241921"/>
  </sheetPr>
  <dimension ref="A1:S82"/>
  <sheetViews>
    <sheetView topLeftCell="I1" workbookViewId="0">
      <selection activeCell="O10" sqref="O10:P15"/>
    </sheetView>
  </sheetViews>
  <sheetFormatPr defaultRowHeight="15" x14ac:dyDescent="0.25"/>
  <cols>
    <col min="1" max="1" width="28.5703125" bestFit="1" customWidth="1"/>
    <col min="2" max="2" width="86.85546875" bestFit="1" customWidth="1"/>
    <col min="3" max="3" width="12.28515625" bestFit="1" customWidth="1"/>
    <col min="4" max="4" width="15.140625" bestFit="1" customWidth="1"/>
    <col min="5" max="5" width="12" bestFit="1" customWidth="1"/>
    <col min="6" max="6" width="10" bestFit="1" customWidth="1"/>
    <col min="7" max="7" width="12.42578125" bestFit="1" customWidth="1"/>
    <col min="8" max="8" width="8.42578125" bestFit="1" customWidth="1"/>
    <col min="9" max="9" width="26.5703125" bestFit="1" customWidth="1"/>
    <col min="10" max="10" width="10.42578125" bestFit="1" customWidth="1"/>
    <col min="12" max="12" width="24.7109375" bestFit="1" customWidth="1"/>
    <col min="13" max="13" width="29.85546875" bestFit="1" customWidth="1"/>
    <col min="14" max="14" width="90.42578125" bestFit="1" customWidth="1"/>
    <col min="15" max="15" width="10.42578125" bestFit="1" customWidth="1"/>
    <col min="16" max="16" width="11.42578125" bestFit="1" customWidth="1"/>
    <col min="17" max="17" width="28" bestFit="1" customWidth="1"/>
    <col min="18" max="18" width="22.28515625" bestFit="1" customWidth="1"/>
    <col min="19" max="19" width="14.140625" bestFit="1" customWidth="1"/>
  </cols>
  <sheetData>
    <row r="1" spans="1:19" s="57" customFormat="1" ht="23.25" x14ac:dyDescent="0.25">
      <c r="A1" s="105" t="s">
        <v>312</v>
      </c>
    </row>
    <row r="2" spans="1:19" s="57" customFormat="1" ht="18.75" x14ac:dyDescent="0.25">
      <c r="A2" s="56" t="s">
        <v>313</v>
      </c>
    </row>
    <row r="3" spans="1:19" s="57" customFormat="1" x14ac:dyDescent="0.25"/>
    <row r="4" spans="1:19" s="57" customFormat="1" ht="18.75" x14ac:dyDescent="0.25">
      <c r="A4" s="56"/>
      <c r="G4"/>
      <c r="H4"/>
      <c r="L4" s="56" t="s">
        <v>314</v>
      </c>
    </row>
    <row r="5" spans="1:19" s="57" customFormat="1" ht="18.75" x14ac:dyDescent="0.25">
      <c r="A5" s="56"/>
      <c r="G5"/>
      <c r="H5"/>
    </row>
    <row r="6" spans="1:19" s="57" customFormat="1" ht="15.75" x14ac:dyDescent="0.25">
      <c r="A6" s="106" t="s">
        <v>315</v>
      </c>
      <c r="B6" s="106"/>
      <c r="C6"/>
      <c r="D6"/>
      <c r="E6"/>
      <c r="F6"/>
      <c r="G6"/>
      <c r="H6"/>
      <c r="I6"/>
      <c r="J6"/>
      <c r="K6" s="70"/>
      <c r="L6" s="107" t="s">
        <v>316</v>
      </c>
      <c r="M6" s="70"/>
      <c r="N6" s="70"/>
      <c r="O6" s="70"/>
      <c r="P6" s="70"/>
    </row>
    <row r="7" spans="1:19" s="57" customFormat="1" ht="16.5" thickBot="1" x14ac:dyDescent="0.3">
      <c r="A7" s="108" t="s">
        <v>317</v>
      </c>
      <c r="B7" s="108" t="s">
        <v>318</v>
      </c>
      <c r="C7" s="71" t="s">
        <v>319</v>
      </c>
      <c r="D7" s="71" t="s">
        <v>320</v>
      </c>
      <c r="E7" s="71" t="s">
        <v>240</v>
      </c>
      <c r="F7" s="71" t="s">
        <v>321</v>
      </c>
      <c r="G7" s="53" t="s">
        <v>322</v>
      </c>
      <c r="H7" s="53" t="s">
        <v>243</v>
      </c>
      <c r="I7" s="53" t="s">
        <v>323</v>
      </c>
      <c r="J7" s="53">
        <v>2020</v>
      </c>
      <c r="L7" s="53" t="s">
        <v>324</v>
      </c>
      <c r="M7" s="53" t="s">
        <v>317</v>
      </c>
      <c r="N7" s="53" t="s">
        <v>325</v>
      </c>
      <c r="O7" s="53" t="s">
        <v>326</v>
      </c>
      <c r="P7" s="53" t="s">
        <v>327</v>
      </c>
      <c r="Q7" s="53" t="s">
        <v>328</v>
      </c>
      <c r="R7" s="53" t="s">
        <v>329</v>
      </c>
      <c r="S7" s="53" t="s">
        <v>330</v>
      </c>
    </row>
    <row r="8" spans="1:19" s="57" customFormat="1" ht="25.5" x14ac:dyDescent="0.25">
      <c r="A8" s="72" t="s">
        <v>331</v>
      </c>
      <c r="B8" s="72" t="s">
        <v>332</v>
      </c>
      <c r="C8" s="72" t="s">
        <v>333</v>
      </c>
      <c r="D8" s="72" t="s">
        <v>334</v>
      </c>
      <c r="E8" s="72"/>
      <c r="F8" s="72"/>
      <c r="G8" s="72" t="s">
        <v>335</v>
      </c>
      <c r="H8" s="72"/>
      <c r="I8" s="72"/>
      <c r="J8" s="72"/>
      <c r="L8" s="73" t="s">
        <v>336</v>
      </c>
      <c r="M8" s="73" t="s">
        <v>337</v>
      </c>
      <c r="N8" s="73" t="s">
        <v>23</v>
      </c>
      <c r="O8" s="73" t="s">
        <v>338</v>
      </c>
      <c r="P8" s="73" t="s">
        <v>339</v>
      </c>
      <c r="Q8" s="73" t="s">
        <v>340</v>
      </c>
      <c r="R8" s="72" t="s">
        <v>341</v>
      </c>
      <c r="S8" s="72" t="s">
        <v>342</v>
      </c>
    </row>
    <row r="9" spans="1:19" s="57" customFormat="1" x14ac:dyDescent="0.25">
      <c r="A9" s="109" t="s">
        <v>343</v>
      </c>
      <c r="B9" s="109"/>
      <c r="C9" s="109"/>
      <c r="D9" s="109"/>
      <c r="E9" s="109"/>
      <c r="F9" s="109"/>
      <c r="G9" s="109"/>
      <c r="H9" s="109"/>
      <c r="I9" s="109"/>
      <c r="J9" s="109" t="s">
        <v>80</v>
      </c>
      <c r="L9" s="109" t="s">
        <v>344</v>
      </c>
      <c r="M9" s="109"/>
      <c r="N9" s="109"/>
      <c r="O9" s="109"/>
      <c r="P9" s="109"/>
      <c r="Q9" s="109"/>
      <c r="R9" s="109"/>
      <c r="S9" s="109"/>
    </row>
    <row r="10" spans="1:19" x14ac:dyDescent="0.25">
      <c r="A10" s="57" t="str">
        <f>M10</f>
        <v>U-TRF-BIOJET_GAS_CCS_02</v>
      </c>
      <c r="B10" s="57" t="str">
        <f>N10</f>
        <v>UPS Transformation: Biojet production - Gasification - CCS - New</v>
      </c>
      <c r="C10" s="57"/>
      <c r="D10" s="57"/>
      <c r="E10" s="57"/>
      <c r="F10" s="57"/>
      <c r="G10" s="57" t="s">
        <v>345</v>
      </c>
      <c r="H10" s="57"/>
      <c r="I10" s="57" t="s">
        <v>1197</v>
      </c>
      <c r="J10" s="110">
        <v>1</v>
      </c>
      <c r="L10" s="57" t="s">
        <v>346</v>
      </c>
      <c r="M10" t="str">
        <f>"U-TRF-"&amp;Commodities!$C$15&amp;"_GAS_CCS_02"</f>
        <v>U-TRF-BIOJET_GAS_CCS_02</v>
      </c>
      <c r="N10" t="str">
        <f>"UPS Transformation: "&amp;Commodities!$D$15&amp;" production - Gasification - CCS - New"</f>
        <v>UPS Transformation: Biojet production - Gasification - CCS - New</v>
      </c>
      <c r="O10" s="57" t="s">
        <v>45</v>
      </c>
      <c r="P10" s="57" t="s">
        <v>1199</v>
      </c>
      <c r="Q10" s="57"/>
      <c r="R10" s="57"/>
      <c r="S10" s="57"/>
    </row>
    <row r="11" spans="1:19" ht="15.75" x14ac:dyDescent="0.25">
      <c r="G11" s="57" t="s">
        <v>347</v>
      </c>
      <c r="H11" s="57"/>
      <c r="I11" s="57" t="s">
        <v>348</v>
      </c>
      <c r="J11" s="115">
        <f>'Key input_Biofuel_CCS'!$C$13</f>
        <v>20</v>
      </c>
      <c r="L11" s="57" t="s">
        <v>346</v>
      </c>
      <c r="M11" t="str">
        <f>"U-TRF-"&amp;Commodities!$C$16&amp;"_GASLIQ_CCS_02"</f>
        <v>U-TRF-BIOETHC_GASLIQ_CCS_02</v>
      </c>
      <c r="N11" t="str">
        <f>"UPS Transformation: "&amp;Commodities!$D$16&amp;" production - Gasification &amp; Liquefaction - CCS - New"</f>
        <v>UPS Transformation: Cellulosic ethanol - 2nd gen production - Gasification &amp; Liquefaction - CCS - New</v>
      </c>
      <c r="O11" s="57" t="s">
        <v>45</v>
      </c>
      <c r="P11" s="57" t="s">
        <v>1199</v>
      </c>
      <c r="Q11" s="57"/>
    </row>
    <row r="12" spans="1:19" ht="15.75" x14ac:dyDescent="0.25">
      <c r="G12" s="57" t="s">
        <v>354</v>
      </c>
      <c r="H12" s="57"/>
      <c r="I12" s="57"/>
      <c r="J12" s="112">
        <v>2025</v>
      </c>
      <c r="L12" s="57" t="s">
        <v>346</v>
      </c>
      <c r="M12" t="str">
        <f>"U-TRF-"&amp;Commodities!$C$17&amp;"_GAS_CCS_02"</f>
        <v>U-TRF-BIOSYN_GAS_CCS_02</v>
      </c>
      <c r="N12" t="str">
        <f>"UPS Transformation: "&amp;Commodities!$D$17&amp;" production - Gasification - CCS - New"</f>
        <v>UPS Transformation: Syngas production - Gasification - CCS - New</v>
      </c>
      <c r="O12" s="57" t="s">
        <v>45</v>
      </c>
      <c r="P12" s="57" t="s">
        <v>1199</v>
      </c>
      <c r="Q12" s="57"/>
    </row>
    <row r="13" spans="1:19" ht="15.75" x14ac:dyDescent="0.25">
      <c r="G13" s="57" t="s">
        <v>362</v>
      </c>
      <c r="H13" s="57" t="s">
        <v>360</v>
      </c>
      <c r="I13" s="57"/>
      <c r="J13" s="112">
        <f>'Key input_Biofuel_CCS'!$C$22</f>
        <v>0.91324200913242004</v>
      </c>
      <c r="L13" s="57" t="s">
        <v>346</v>
      </c>
      <c r="M13" t="str">
        <f>"U-TRF-"&amp;"BIOOIL"&amp;"_HYDLIQ_CCS_02"</f>
        <v>U-TRF-BIOOIL_HYDLIQ_CCS_02</v>
      </c>
      <c r="N13" t="str">
        <f>"UPS Transformation: "&amp;"Renewable diesel and gasoline"&amp;" production - Hydrothermal liquefaction - CCS - New"</f>
        <v>UPS Transformation: Renewable diesel and gasoline production - Hydrothermal liquefaction - CCS - New</v>
      </c>
      <c r="O13" s="57" t="s">
        <v>45</v>
      </c>
      <c r="P13" s="57" t="s">
        <v>1199</v>
      </c>
      <c r="Q13" s="57"/>
    </row>
    <row r="14" spans="1:19" ht="15.75" x14ac:dyDescent="0.25">
      <c r="G14" s="57" t="s">
        <v>349</v>
      </c>
      <c r="H14" s="57"/>
      <c r="I14" s="57" t="s">
        <v>1198</v>
      </c>
      <c r="J14" s="161">
        <f>'Key input_Biofuel_CCS'!$C19*1000</f>
        <v>194.09423288405688</v>
      </c>
      <c r="L14" s="57" t="s">
        <v>346</v>
      </c>
      <c r="M14" t="str">
        <f>"U-TRF-"&amp;"BIOOIL"&amp;"_HYDPRO_CCS_02"</f>
        <v>U-TRF-BIOOIL_HYDPRO_CCS_02</v>
      </c>
      <c r="N14" t="str">
        <f>"UPS Transformation: "&amp;"FT Diesel and renewable gasoline"&amp;" production - Hydro processing - CCS - New"</f>
        <v>UPS Transformation: FT Diesel and renewable gasoline production - Hydro processing - CCS - New</v>
      </c>
      <c r="O14" s="57" t="s">
        <v>45</v>
      </c>
      <c r="P14" s="57" t="s">
        <v>1199</v>
      </c>
      <c r="Q14" s="57"/>
    </row>
    <row r="15" spans="1:19" ht="15.75" x14ac:dyDescent="0.25">
      <c r="G15" s="57" t="s">
        <v>351</v>
      </c>
      <c r="H15" s="57"/>
      <c r="I15" s="57" t="s">
        <v>1198</v>
      </c>
      <c r="J15" s="161">
        <f>'Key input_Biofuel_CCS'!$C20*1000</f>
        <v>9.1001193684331039</v>
      </c>
      <c r="L15" s="57"/>
      <c r="O15" s="57"/>
      <c r="P15" s="57"/>
      <c r="Q15" s="57"/>
    </row>
    <row r="16" spans="1:19" ht="15.75" x14ac:dyDescent="0.25">
      <c r="G16" s="57" t="s">
        <v>352</v>
      </c>
      <c r="H16" s="57"/>
      <c r="I16" s="57" t="s">
        <v>1200</v>
      </c>
      <c r="J16" s="161">
        <f>'Key input_Biofuel_CCS'!$C21*1000</f>
        <v>0.72740721690704835</v>
      </c>
    </row>
    <row r="17" spans="1:10" ht="15.75" x14ac:dyDescent="0.25">
      <c r="E17" t="s">
        <v>363</v>
      </c>
      <c r="F17" t="s">
        <v>357</v>
      </c>
      <c r="G17" s="57" t="s">
        <v>358</v>
      </c>
      <c r="H17" s="57"/>
      <c r="I17" t="s">
        <v>1203</v>
      </c>
      <c r="J17" s="161">
        <f>'Key input_Biofuel_CCS'!$C$14/AVERAGE('Key input_Biomass'!$C$6,'Key input_Biomass'!$C$7,'Key input_Biomass'!$C$8)</f>
        <v>0.31138257317826717</v>
      </c>
    </row>
    <row r="18" spans="1:10" ht="15.75" x14ac:dyDescent="0.25">
      <c r="C18" t="str">
        <f>Commodities!$C$7</f>
        <v>BIOWOO</v>
      </c>
      <c r="F18" t="s">
        <v>363</v>
      </c>
      <c r="G18" s="57" t="s">
        <v>359</v>
      </c>
      <c r="H18" t="s">
        <v>360</v>
      </c>
      <c r="I18" s="57" t="s">
        <v>361</v>
      </c>
      <c r="J18" s="158">
        <v>1</v>
      </c>
    </row>
    <row r="19" spans="1:10" ht="15.75" x14ac:dyDescent="0.25">
      <c r="C19" t="str">
        <f>Commodities!$C$8</f>
        <v>BIOCRP</v>
      </c>
      <c r="F19" t="s">
        <v>363</v>
      </c>
      <c r="G19" s="57" t="s">
        <v>359</v>
      </c>
      <c r="H19" t="s">
        <v>360</v>
      </c>
      <c r="I19" s="57" t="s">
        <v>361</v>
      </c>
      <c r="J19" s="158">
        <v>1</v>
      </c>
    </row>
    <row r="20" spans="1:10" ht="15.75" x14ac:dyDescent="0.25">
      <c r="C20" t="str">
        <f>Commodities!$C$9</f>
        <v>BIOAGR</v>
      </c>
      <c r="F20" t="s">
        <v>363</v>
      </c>
      <c r="G20" s="57" t="s">
        <v>359</v>
      </c>
      <c r="H20" t="s">
        <v>360</v>
      </c>
      <c r="I20" s="57" t="s">
        <v>361</v>
      </c>
      <c r="J20" s="158">
        <v>1</v>
      </c>
    </row>
    <row r="21" spans="1:10" ht="15.75" x14ac:dyDescent="0.25">
      <c r="D21" t="str">
        <f>Commodities!$C$15</f>
        <v>BIOJET</v>
      </c>
      <c r="G21" s="57"/>
      <c r="I21" s="57"/>
      <c r="J21" s="167"/>
    </row>
    <row r="22" spans="1:10" ht="15.75" x14ac:dyDescent="0.25">
      <c r="C22" t="str">
        <f>Commodities!$C$26</f>
        <v>UPSELC</v>
      </c>
      <c r="G22" s="57" t="s">
        <v>355</v>
      </c>
      <c r="I22" t="s">
        <v>1205</v>
      </c>
      <c r="J22" s="168">
        <f>'Key input_Biofuel_CCS'!$C17</f>
        <v>0.16050109288863906</v>
      </c>
    </row>
    <row r="23" spans="1:10" ht="15.75" x14ac:dyDescent="0.25">
      <c r="A23" s="92"/>
      <c r="B23" s="92"/>
      <c r="C23" s="92" t="str">
        <f>Commodities!$C$28</f>
        <v>UPSHET</v>
      </c>
      <c r="D23" s="92"/>
      <c r="E23" s="92"/>
      <c r="F23" s="92"/>
      <c r="G23" s="117" t="s">
        <v>355</v>
      </c>
      <c r="H23" s="92"/>
      <c r="I23" s="92" t="s">
        <v>1205</v>
      </c>
      <c r="J23" s="162">
        <f>'Key input_Biofuel_CCS'!$C18</f>
        <v>0.75234887291549557</v>
      </c>
    </row>
    <row r="24" spans="1:10" x14ac:dyDescent="0.25">
      <c r="A24" s="57" t="str">
        <f>M11</f>
        <v>U-TRF-BIOETHC_GASLIQ_CCS_02</v>
      </c>
      <c r="B24" s="57" t="str">
        <f>N11</f>
        <v>UPS Transformation: Cellulosic ethanol - 2nd gen production - Gasification &amp; Liquefaction - CCS - New</v>
      </c>
      <c r="C24" s="57"/>
      <c r="D24" s="57"/>
      <c r="E24" s="57"/>
      <c r="F24" s="57"/>
      <c r="G24" s="57" t="s">
        <v>345</v>
      </c>
      <c r="H24" s="57"/>
      <c r="I24" s="57" t="s">
        <v>1197</v>
      </c>
      <c r="J24" s="110">
        <v>1</v>
      </c>
    </row>
    <row r="25" spans="1:10" ht="15.75" x14ac:dyDescent="0.25">
      <c r="G25" s="57" t="s">
        <v>347</v>
      </c>
      <c r="H25" s="57"/>
      <c r="I25" s="57" t="s">
        <v>348</v>
      </c>
      <c r="J25" s="115">
        <f>'Key input_Biofuel_CCS'!$C$32</f>
        <v>30</v>
      </c>
    </row>
    <row r="26" spans="1:10" ht="15.75" x14ac:dyDescent="0.25">
      <c r="G26" s="57" t="s">
        <v>354</v>
      </c>
      <c r="H26" s="57"/>
      <c r="I26" s="57"/>
      <c r="J26" s="112">
        <v>2025</v>
      </c>
    </row>
    <row r="27" spans="1:10" ht="15.75" x14ac:dyDescent="0.25">
      <c r="G27" s="57" t="s">
        <v>362</v>
      </c>
      <c r="H27" s="57" t="s">
        <v>360</v>
      </c>
      <c r="I27" s="57"/>
      <c r="J27" s="112">
        <f>'Key input_Biofuel_CCS'!$C$40</f>
        <v>0.96004566210045661</v>
      </c>
    </row>
    <row r="28" spans="1:10" ht="15.75" x14ac:dyDescent="0.25">
      <c r="G28" s="57" t="s">
        <v>349</v>
      </c>
      <c r="H28" s="57"/>
      <c r="I28" s="57" t="s">
        <v>1198</v>
      </c>
      <c r="J28" s="161">
        <f>'Key input_Biofuel_CCS'!$C37*1000</f>
        <v>53.565956280072655</v>
      </c>
    </row>
    <row r="29" spans="1:10" ht="15.75" x14ac:dyDescent="0.25">
      <c r="G29" s="57" t="s">
        <v>351</v>
      </c>
      <c r="H29" s="57"/>
      <c r="I29" s="57" t="s">
        <v>1198</v>
      </c>
      <c r="J29" s="161">
        <f>'Key input_Biofuel_CCS'!$C38*1000</f>
        <v>2.4516961171571383</v>
      </c>
    </row>
    <row r="30" spans="1:10" ht="15.75" x14ac:dyDescent="0.25">
      <c r="G30" s="57" t="s">
        <v>352</v>
      </c>
      <c r="H30" s="57"/>
      <c r="I30" s="57" t="s">
        <v>1200</v>
      </c>
      <c r="J30" s="161">
        <f>'Key input_Biofuel_CCS'!$C39*1000</f>
        <v>0.80920445937386853</v>
      </c>
    </row>
    <row r="31" spans="1:10" ht="15.75" x14ac:dyDescent="0.25">
      <c r="E31" t="s">
        <v>363</v>
      </c>
      <c r="F31" t="s">
        <v>357</v>
      </c>
      <c r="G31" s="57" t="s">
        <v>358</v>
      </c>
      <c r="H31" s="57"/>
      <c r="I31" t="s">
        <v>1203</v>
      </c>
      <c r="J31" s="161">
        <f>'Key input_Biofuel production2'!$C$29/AVERAGE('Key input_Biomass'!$C$6,'Key input_Biomass'!$C$7,'Key input_Biomass'!$C$8)</f>
        <v>1.0008935990494461</v>
      </c>
    </row>
    <row r="32" spans="1:10" ht="15.75" x14ac:dyDescent="0.25">
      <c r="C32" t="str">
        <f>Commodities!$C$7</f>
        <v>BIOWOO</v>
      </c>
      <c r="F32" t="s">
        <v>363</v>
      </c>
      <c r="G32" s="57" t="s">
        <v>359</v>
      </c>
      <c r="H32" t="s">
        <v>360</v>
      </c>
      <c r="I32" s="57" t="s">
        <v>361</v>
      </c>
      <c r="J32" s="158">
        <v>1</v>
      </c>
    </row>
    <row r="33" spans="1:10" ht="15.75" x14ac:dyDescent="0.25">
      <c r="C33" t="str">
        <f>Commodities!$C$8</f>
        <v>BIOCRP</v>
      </c>
      <c r="F33" t="s">
        <v>363</v>
      </c>
      <c r="G33" s="57" t="s">
        <v>359</v>
      </c>
      <c r="H33" t="s">
        <v>360</v>
      </c>
      <c r="I33" s="57" t="s">
        <v>361</v>
      </c>
      <c r="J33" s="158">
        <v>1</v>
      </c>
    </row>
    <row r="34" spans="1:10" ht="15.75" x14ac:dyDescent="0.25">
      <c r="C34" t="str">
        <f>Commodities!$C$9</f>
        <v>BIOAGR</v>
      </c>
      <c r="F34" t="s">
        <v>363</v>
      </c>
      <c r="G34" s="57" t="s">
        <v>359</v>
      </c>
      <c r="H34" t="s">
        <v>360</v>
      </c>
      <c r="I34" s="57" t="s">
        <v>361</v>
      </c>
      <c r="J34" s="158">
        <v>1</v>
      </c>
    </row>
    <row r="35" spans="1:10" ht="15.75" x14ac:dyDescent="0.25">
      <c r="D35" t="str">
        <f>Commodities!$C$16</f>
        <v>BIOETHC</v>
      </c>
      <c r="G35" s="57"/>
      <c r="I35" s="57"/>
      <c r="J35" s="111"/>
    </row>
    <row r="36" spans="1:10" ht="15.75" x14ac:dyDescent="0.25">
      <c r="C36" t="str">
        <f>Commodities!$C$26</f>
        <v>UPSELC</v>
      </c>
      <c r="G36" s="57" t="s">
        <v>355</v>
      </c>
      <c r="I36" t="s">
        <v>1205</v>
      </c>
      <c r="J36" s="168">
        <f>'Key input_Biofuel_CCS'!$C35</f>
        <v>0.38832909227609969</v>
      </c>
    </row>
    <row r="37" spans="1:10" ht="15.75" x14ac:dyDescent="0.25">
      <c r="A37" s="92"/>
      <c r="B37" s="92"/>
      <c r="C37" s="92" t="str">
        <f>Commodities!$C$28</f>
        <v>UPSHET</v>
      </c>
      <c r="D37" s="92"/>
      <c r="E37" s="92"/>
      <c r="F37" s="92"/>
      <c r="G37" s="117" t="s">
        <v>355</v>
      </c>
      <c r="H37" s="92"/>
      <c r="I37" s="92" t="s">
        <v>1205</v>
      </c>
      <c r="J37" s="162">
        <f>'Key input_Biofuel_CCS'!$C36</f>
        <v>0.20419856597740937</v>
      </c>
    </row>
    <row r="38" spans="1:10" x14ac:dyDescent="0.25">
      <c r="A38" s="57" t="str">
        <f>M12</f>
        <v>U-TRF-BIOSYN_GAS_CCS_02</v>
      </c>
      <c r="B38" s="57" t="str">
        <f>N12</f>
        <v>UPS Transformation: Syngas production - Gasification - CCS - New</v>
      </c>
      <c r="C38" s="57"/>
      <c r="D38" s="57"/>
      <c r="E38" s="57"/>
      <c r="F38" s="57"/>
      <c r="G38" s="57" t="s">
        <v>345</v>
      </c>
      <c r="H38" s="57"/>
      <c r="I38" s="57" t="s">
        <v>1197</v>
      </c>
      <c r="J38" s="110">
        <v>1</v>
      </c>
    </row>
    <row r="39" spans="1:10" ht="15.75" x14ac:dyDescent="0.25">
      <c r="G39" s="57" t="s">
        <v>347</v>
      </c>
      <c r="H39" s="57"/>
      <c r="I39" s="57" t="s">
        <v>348</v>
      </c>
      <c r="J39" s="115">
        <f>'Key input_Biofuel_CCS'!$C$47</f>
        <v>25</v>
      </c>
    </row>
    <row r="40" spans="1:10" ht="15.75" x14ac:dyDescent="0.25">
      <c r="G40" s="57" t="s">
        <v>354</v>
      </c>
      <c r="H40" s="57"/>
      <c r="I40" s="57"/>
      <c r="J40" s="112">
        <v>2025</v>
      </c>
    </row>
    <row r="41" spans="1:10" ht="15.75" x14ac:dyDescent="0.25">
      <c r="G41" s="57" t="s">
        <v>362</v>
      </c>
      <c r="H41" s="57" t="s">
        <v>360</v>
      </c>
      <c r="I41" s="57"/>
      <c r="J41" s="112">
        <f>'Key input_Biofuel_CCS'!$C$54</f>
        <v>0.91324200913242004</v>
      </c>
    </row>
    <row r="42" spans="1:10" ht="15.75" x14ac:dyDescent="0.25">
      <c r="G42" s="57" t="s">
        <v>349</v>
      </c>
      <c r="H42" s="57"/>
      <c r="I42" s="57" t="s">
        <v>1198</v>
      </c>
      <c r="J42" s="161">
        <f>'Key input_Biofuel_CCS'!$C51*1000</f>
        <v>36.576401331509508</v>
      </c>
    </row>
    <row r="43" spans="1:10" ht="15.75" x14ac:dyDescent="0.25">
      <c r="G43" s="57" t="s">
        <v>351</v>
      </c>
      <c r="H43" s="57"/>
      <c r="I43" s="57" t="s">
        <v>1198</v>
      </c>
      <c r="J43" s="161">
        <f>'Key input_Biofuel_CCS'!$C52*1000</f>
        <v>1.5840101646479054</v>
      </c>
    </row>
    <row r="44" spans="1:10" ht="15.75" x14ac:dyDescent="0.25">
      <c r="G44" s="57" t="s">
        <v>352</v>
      </c>
      <c r="H44" s="57"/>
      <c r="I44" s="57" t="s">
        <v>1200</v>
      </c>
      <c r="J44" s="161">
        <f>'Key input_Biofuel_CCS'!$C53*1000</f>
        <v>0.31737407192478556</v>
      </c>
    </row>
    <row r="45" spans="1:10" ht="15.75" x14ac:dyDescent="0.25">
      <c r="E45" t="s">
        <v>363</v>
      </c>
      <c r="F45" t="s">
        <v>357</v>
      </c>
      <c r="G45" s="57" t="s">
        <v>358</v>
      </c>
      <c r="H45" s="57"/>
      <c r="I45" t="s">
        <v>1203</v>
      </c>
      <c r="J45" s="161">
        <f>'Key input_Biofuel_CCS'!$C$48/AVERAGE('Key input_Biomass'!$C$6,'Key input_Biomass'!$C$7,'Key input_Biomass'!$C$8)</f>
        <v>0.90620031796502387</v>
      </c>
    </row>
    <row r="46" spans="1:10" ht="15.75" x14ac:dyDescent="0.25">
      <c r="C46" t="str">
        <f>Commodities!$C$7</f>
        <v>BIOWOO</v>
      </c>
      <c r="F46" t="s">
        <v>363</v>
      </c>
      <c r="G46" s="57" t="s">
        <v>359</v>
      </c>
      <c r="H46" t="s">
        <v>360</v>
      </c>
      <c r="I46" s="57" t="s">
        <v>361</v>
      </c>
      <c r="J46" s="158">
        <v>1</v>
      </c>
    </row>
    <row r="47" spans="1:10" ht="15.75" x14ac:dyDescent="0.25">
      <c r="C47" t="str">
        <f>Commodities!$C$8</f>
        <v>BIOCRP</v>
      </c>
      <c r="F47" t="s">
        <v>363</v>
      </c>
      <c r="G47" s="57" t="s">
        <v>359</v>
      </c>
      <c r="H47" t="s">
        <v>360</v>
      </c>
      <c r="I47" s="57" t="s">
        <v>361</v>
      </c>
      <c r="J47" s="158">
        <v>1</v>
      </c>
    </row>
    <row r="48" spans="1:10" ht="15.75" x14ac:dyDescent="0.25">
      <c r="C48" t="str">
        <f>Commodities!$C$9</f>
        <v>BIOAGR</v>
      </c>
      <c r="F48" t="s">
        <v>363</v>
      </c>
      <c r="G48" s="57" t="s">
        <v>359</v>
      </c>
      <c r="H48" t="s">
        <v>360</v>
      </c>
      <c r="I48" s="57" t="s">
        <v>361</v>
      </c>
      <c r="J48" s="158">
        <v>1</v>
      </c>
    </row>
    <row r="49" spans="1:10" ht="15.75" x14ac:dyDescent="0.25">
      <c r="D49" t="str">
        <f>Commodities!C17</f>
        <v>BIOSYN</v>
      </c>
      <c r="G49" s="57"/>
      <c r="I49" s="57"/>
      <c r="J49" s="167"/>
    </row>
    <row r="50" spans="1:10" ht="15.75" x14ac:dyDescent="0.25">
      <c r="C50" t="str">
        <f>Commodities!$C$26</f>
        <v>UPSELC</v>
      </c>
      <c r="G50" s="57" t="s">
        <v>355</v>
      </c>
      <c r="I50" t="s">
        <v>1205</v>
      </c>
      <c r="J50" s="168">
        <f>'Key input_Biofuel_CCS'!$C49</f>
        <v>3.0427604666497167E-2</v>
      </c>
    </row>
    <row r="51" spans="1:10" ht="15.75" x14ac:dyDescent="0.25">
      <c r="A51" s="92"/>
      <c r="B51" s="92"/>
      <c r="C51" s="92" t="str">
        <f>Commodities!$C$28</f>
        <v>UPSHET</v>
      </c>
      <c r="D51" s="92"/>
      <c r="E51" s="92"/>
      <c r="F51" s="92"/>
      <c r="G51" s="117" t="s">
        <v>355</v>
      </c>
      <c r="H51" s="92"/>
      <c r="I51" s="92" t="s">
        <v>1205</v>
      </c>
      <c r="J51" s="162">
        <f>'Key input_Biofuel_CCS'!$C50</f>
        <v>0.14262939687420545</v>
      </c>
    </row>
    <row r="52" spans="1:10" x14ac:dyDescent="0.25">
      <c r="A52" s="57" t="str">
        <f>M13</f>
        <v>U-TRF-BIOOIL_HYDLIQ_CCS_02</v>
      </c>
      <c r="B52" s="57" t="str">
        <f>N13</f>
        <v>UPS Transformation: Renewable diesel and gasoline production - Hydrothermal liquefaction - CCS - New</v>
      </c>
      <c r="C52" s="57"/>
      <c r="D52" s="57"/>
      <c r="E52" s="57"/>
      <c r="F52" s="57"/>
      <c r="G52" s="57" t="s">
        <v>345</v>
      </c>
      <c r="H52" s="57"/>
      <c r="I52" s="57" t="s">
        <v>1197</v>
      </c>
      <c r="J52" s="110">
        <v>1</v>
      </c>
    </row>
    <row r="53" spans="1:10" ht="15.75" x14ac:dyDescent="0.25">
      <c r="G53" s="57" t="s">
        <v>347</v>
      </c>
      <c r="H53" s="57"/>
      <c r="I53" s="57" t="s">
        <v>348</v>
      </c>
      <c r="J53" s="115">
        <f>'Key input_Biofuel_CCS'!$C$61</f>
        <v>20</v>
      </c>
    </row>
    <row r="54" spans="1:10" ht="15.75" x14ac:dyDescent="0.25">
      <c r="G54" s="57" t="s">
        <v>354</v>
      </c>
      <c r="H54" s="57"/>
      <c r="I54" s="57"/>
      <c r="J54" s="112">
        <v>2025</v>
      </c>
    </row>
    <row r="55" spans="1:10" ht="15.75" x14ac:dyDescent="0.25">
      <c r="G55" s="57" t="s">
        <v>362</v>
      </c>
      <c r="H55" s="57" t="s">
        <v>360</v>
      </c>
      <c r="I55" s="57"/>
      <c r="J55" s="112">
        <f>'Key input_Biofuel_CCS'!$C$71</f>
        <v>0.91324200913242004</v>
      </c>
    </row>
    <row r="56" spans="1:10" ht="15.75" x14ac:dyDescent="0.25">
      <c r="G56" s="57" t="s">
        <v>349</v>
      </c>
      <c r="H56" s="57"/>
      <c r="I56" s="57" t="s">
        <v>1198</v>
      </c>
      <c r="J56" s="161">
        <f>'Key input_Biofuel_CCS'!$C68*1000</f>
        <v>67.385218102624734</v>
      </c>
    </row>
    <row r="57" spans="1:10" ht="15.75" x14ac:dyDescent="0.25">
      <c r="G57" s="57" t="s">
        <v>351</v>
      </c>
      <c r="H57" s="57"/>
      <c r="I57" s="57" t="s">
        <v>1198</v>
      </c>
      <c r="J57" s="161">
        <f>'Key input_Biofuel_CCS'!$C69*1000</f>
        <v>3.2724738615634807</v>
      </c>
    </row>
    <row r="58" spans="1:10" ht="15.75" x14ac:dyDescent="0.25">
      <c r="G58" s="57" t="s">
        <v>352</v>
      </c>
      <c r="H58" s="57"/>
      <c r="I58" s="57" t="s">
        <v>1200</v>
      </c>
      <c r="J58" s="161">
        <f>'Key input_Biofuel_CCS'!$C70*1000</f>
        <v>2.645812028505679</v>
      </c>
    </row>
    <row r="59" spans="1:10" ht="15.75" x14ac:dyDescent="0.25">
      <c r="E59" t="s">
        <v>363</v>
      </c>
      <c r="F59" t="s">
        <v>357</v>
      </c>
      <c r="G59" s="57" t="s">
        <v>358</v>
      </c>
      <c r="H59" s="57"/>
      <c r="I59" t="s">
        <v>1203</v>
      </c>
      <c r="J59" s="161">
        <f>'Key input_Biofuel_CCS'!$C$62/AVERAGE('Key input_Biomass'!$C$6,'Key input_Biomass'!$C$7,'Key input_Biomass'!$C$8)</f>
        <v>0.76457268078889706</v>
      </c>
    </row>
    <row r="60" spans="1:10" ht="15.75" x14ac:dyDescent="0.25">
      <c r="C60" t="str">
        <f>Commodities!$C$7</f>
        <v>BIOWOO</v>
      </c>
      <c r="F60" t="s">
        <v>363</v>
      </c>
      <c r="G60" s="57" t="s">
        <v>359</v>
      </c>
      <c r="H60" t="s">
        <v>360</v>
      </c>
      <c r="I60" s="57" t="s">
        <v>361</v>
      </c>
      <c r="J60" s="158">
        <v>1</v>
      </c>
    </row>
    <row r="61" spans="1:10" ht="15.75" x14ac:dyDescent="0.25">
      <c r="C61" t="str">
        <f>Commodities!$C$8</f>
        <v>BIOCRP</v>
      </c>
      <c r="F61" t="s">
        <v>363</v>
      </c>
      <c r="G61" s="57" t="s">
        <v>359</v>
      </c>
      <c r="H61" t="s">
        <v>360</v>
      </c>
      <c r="I61" s="57" t="s">
        <v>361</v>
      </c>
      <c r="J61" s="158">
        <v>1</v>
      </c>
    </row>
    <row r="62" spans="1:10" ht="15.75" x14ac:dyDescent="0.25">
      <c r="C62" t="str">
        <f>Commodities!$C$9</f>
        <v>BIOAGR</v>
      </c>
      <c r="F62" t="s">
        <v>363</v>
      </c>
      <c r="G62" s="57" t="s">
        <v>359</v>
      </c>
      <c r="H62" t="s">
        <v>360</v>
      </c>
      <c r="I62" s="57" t="s">
        <v>361</v>
      </c>
      <c r="J62" s="158">
        <v>1</v>
      </c>
    </row>
    <row r="63" spans="1:10" ht="15.75" x14ac:dyDescent="0.25">
      <c r="D63" t="str">
        <f>Commodities!$C$19</f>
        <v>BIODIER</v>
      </c>
      <c r="G63" s="57" t="s">
        <v>364</v>
      </c>
      <c r="H63" t="s">
        <v>360</v>
      </c>
      <c r="I63" s="57" t="s">
        <v>361</v>
      </c>
      <c r="J63" s="161">
        <f>'Key input_Biofuel_CCS'!$C63</f>
        <v>0.48470012239902088</v>
      </c>
    </row>
    <row r="64" spans="1:10" ht="15.75" x14ac:dyDescent="0.25">
      <c r="D64" t="str">
        <f>Commodities!$C$20</f>
        <v>BIOGSLR</v>
      </c>
      <c r="G64" s="57" t="s">
        <v>364</v>
      </c>
      <c r="H64" t="s">
        <v>360</v>
      </c>
      <c r="I64" s="57" t="s">
        <v>361</v>
      </c>
      <c r="J64" s="161">
        <f>'Key input_Biofuel_CCS'!$C64</f>
        <v>0.51529987760097917</v>
      </c>
    </row>
    <row r="65" spans="1:10" ht="15.75" x14ac:dyDescent="0.25">
      <c r="C65" t="str">
        <f>Commodities!$C$26</f>
        <v>UPSELC</v>
      </c>
      <c r="G65" s="57" t="s">
        <v>355</v>
      </c>
      <c r="I65" t="s">
        <v>1205</v>
      </c>
      <c r="J65" s="168">
        <f>'Key input_Biofuel_CCS'!$C65</f>
        <v>8.4218624685290483E-2</v>
      </c>
    </row>
    <row r="66" spans="1:10" ht="15.75" x14ac:dyDescent="0.25">
      <c r="C66" t="str">
        <f>Commodities!$C$28</f>
        <v>UPSHET</v>
      </c>
      <c r="G66" s="57" t="s">
        <v>355</v>
      </c>
      <c r="I66" t="s">
        <v>1205</v>
      </c>
      <c r="J66" s="168">
        <f>'Key input_Biofuel_CCS'!$C66</f>
        <v>0.1666097129285502</v>
      </c>
    </row>
    <row r="67" spans="1:10" ht="15.75" x14ac:dyDescent="0.25">
      <c r="A67" s="92"/>
      <c r="B67" s="92"/>
      <c r="C67" s="92" t="s">
        <v>365</v>
      </c>
      <c r="D67" s="92"/>
      <c r="E67" s="92"/>
      <c r="F67" s="92"/>
      <c r="G67" s="117" t="s">
        <v>355</v>
      </c>
      <c r="H67" s="92"/>
      <c r="I67" s="92" t="s">
        <v>1205</v>
      </c>
      <c r="J67" s="162">
        <f>'Key input_Biofuel_CCS'!$C67</f>
        <v>0.17876182287188302</v>
      </c>
    </row>
    <row r="68" spans="1:10" x14ac:dyDescent="0.25">
      <c r="A68" s="57" t="str">
        <f>M14</f>
        <v>U-TRF-BIOOIL_HYDPRO_CCS_02</v>
      </c>
      <c r="B68" s="57" t="str">
        <f>N14</f>
        <v>UPS Transformation: FT Diesel and renewable gasoline production - Hydro processing - CCS - New</v>
      </c>
      <c r="C68" s="57"/>
      <c r="D68" s="57"/>
      <c r="E68" s="57"/>
      <c r="F68" s="57"/>
      <c r="G68" s="57" t="s">
        <v>345</v>
      </c>
      <c r="H68" s="57"/>
      <c r="I68" s="57" t="s">
        <v>1197</v>
      </c>
      <c r="J68" s="110">
        <v>1</v>
      </c>
    </row>
    <row r="69" spans="1:10" ht="15.75" x14ac:dyDescent="0.25">
      <c r="G69" s="57" t="s">
        <v>347</v>
      </c>
      <c r="H69" s="57"/>
      <c r="I69" s="57" t="s">
        <v>348</v>
      </c>
      <c r="J69" s="115">
        <f>'Key input_Biofuel_CCS'!$C$79</f>
        <v>20</v>
      </c>
    </row>
    <row r="70" spans="1:10" ht="15.75" x14ac:dyDescent="0.25">
      <c r="G70" s="57" t="s">
        <v>354</v>
      </c>
      <c r="H70" s="57"/>
      <c r="I70" s="57"/>
      <c r="J70" s="112">
        <v>2025</v>
      </c>
    </row>
    <row r="71" spans="1:10" ht="15.75" x14ac:dyDescent="0.25">
      <c r="G71" s="57" t="s">
        <v>362</v>
      </c>
      <c r="H71" s="57" t="s">
        <v>360</v>
      </c>
      <c r="I71" s="57"/>
      <c r="J71" s="112">
        <f>'Key input_Biofuel_CCS'!$C$89</f>
        <v>0.83713850837138504</v>
      </c>
    </row>
    <row r="72" spans="1:10" ht="15.75" x14ac:dyDescent="0.25">
      <c r="G72" s="57" t="s">
        <v>349</v>
      </c>
      <c r="H72" s="57"/>
      <c r="I72" s="57" t="s">
        <v>1198</v>
      </c>
      <c r="J72" s="161">
        <f>'Key input_Biofuel_CCS'!$C86*1000</f>
        <v>182.10857902101668</v>
      </c>
    </row>
    <row r="73" spans="1:10" ht="15.75" x14ac:dyDescent="0.25">
      <c r="G73" s="57" t="s">
        <v>351</v>
      </c>
      <c r="H73" s="57"/>
      <c r="I73" s="57" t="s">
        <v>1198</v>
      </c>
      <c r="J73" s="161">
        <f>'Key input_Biofuel_CCS'!$C87*1000</f>
        <v>5.0925760826865458</v>
      </c>
    </row>
    <row r="74" spans="1:10" ht="15.75" x14ac:dyDescent="0.25">
      <c r="G74" s="57" t="s">
        <v>352</v>
      </c>
      <c r="H74" s="57"/>
      <c r="I74" s="57" t="s">
        <v>1200</v>
      </c>
      <c r="J74" s="161">
        <f>'Key input_Biofuel_CCS'!$C88*1000</f>
        <v>3.9183587606697001</v>
      </c>
    </row>
    <row r="75" spans="1:10" ht="15.75" x14ac:dyDescent="0.25">
      <c r="E75" t="s">
        <v>363</v>
      </c>
      <c r="F75" t="s">
        <v>357</v>
      </c>
      <c r="G75" s="57" t="s">
        <v>358</v>
      </c>
      <c r="H75" s="57"/>
      <c r="I75" t="s">
        <v>1203</v>
      </c>
      <c r="J75" s="161">
        <f>'Key input_Biofuel_CCS'!$C$80/AVERAGE('Key input_Biomass'!$C$6,'Key input_Biomass'!$C$7,'Key input_Biomass'!$C$8)</f>
        <v>0.37960490108768524</v>
      </c>
    </row>
    <row r="76" spans="1:10" ht="15.75" x14ac:dyDescent="0.25">
      <c r="C76" t="str">
        <f>Commodities!$C$7</f>
        <v>BIOWOO</v>
      </c>
      <c r="F76" t="s">
        <v>363</v>
      </c>
      <c r="G76" s="57" t="s">
        <v>359</v>
      </c>
      <c r="H76" t="s">
        <v>360</v>
      </c>
      <c r="I76" s="57" t="s">
        <v>361</v>
      </c>
      <c r="J76" s="158">
        <v>1</v>
      </c>
    </row>
    <row r="77" spans="1:10" ht="15.75" x14ac:dyDescent="0.25">
      <c r="C77" t="str">
        <f>Commodities!$C$8</f>
        <v>BIOCRP</v>
      </c>
      <c r="F77" t="s">
        <v>363</v>
      </c>
      <c r="G77" s="57" t="s">
        <v>359</v>
      </c>
      <c r="H77" t="s">
        <v>360</v>
      </c>
      <c r="I77" s="57" t="s">
        <v>361</v>
      </c>
      <c r="J77" s="158">
        <v>1</v>
      </c>
    </row>
    <row r="78" spans="1:10" ht="15.75" x14ac:dyDescent="0.25">
      <c r="C78" t="str">
        <f>Commodities!$C$9</f>
        <v>BIOAGR</v>
      </c>
      <c r="F78" t="s">
        <v>363</v>
      </c>
      <c r="G78" s="57" t="s">
        <v>359</v>
      </c>
      <c r="H78" t="s">
        <v>360</v>
      </c>
      <c r="I78" s="57" t="s">
        <v>361</v>
      </c>
      <c r="J78" s="158">
        <v>1</v>
      </c>
    </row>
    <row r="79" spans="1:10" ht="15.75" x14ac:dyDescent="0.25">
      <c r="D79" t="str">
        <f>Commodities!$C$21</f>
        <v>BIOFTD</v>
      </c>
      <c r="G79" s="57" t="s">
        <v>364</v>
      </c>
      <c r="H79" t="s">
        <v>360</v>
      </c>
      <c r="I79" s="57" t="s">
        <v>361</v>
      </c>
      <c r="J79" s="161">
        <f>'Key input_Biofuel_CCS'!$C81</f>
        <v>0.62</v>
      </c>
    </row>
    <row r="80" spans="1:10" ht="15.75" x14ac:dyDescent="0.25">
      <c r="D80" t="str">
        <f>Commodities!$C$20</f>
        <v>BIOGSLR</v>
      </c>
      <c r="G80" s="57" t="s">
        <v>364</v>
      </c>
      <c r="H80" t="s">
        <v>360</v>
      </c>
      <c r="I80" s="57" t="s">
        <v>361</v>
      </c>
      <c r="J80" s="161">
        <f>'Key input_Biofuel_CCS'!$C82+'Key input_Biofuel_CCS'!$C83</f>
        <v>0.38</v>
      </c>
    </row>
    <row r="81" spans="1:10" ht="15.75" x14ac:dyDescent="0.25">
      <c r="C81" t="str">
        <f>Commodities!$C$26</f>
        <v>UPSELC</v>
      </c>
      <c r="G81" s="57" t="s">
        <v>355</v>
      </c>
      <c r="I81" t="s">
        <v>1205</v>
      </c>
      <c r="J81" s="168">
        <f>'Key input_Biofuel_CCS'!$C84</f>
        <v>0.26063571952504561</v>
      </c>
    </row>
    <row r="82" spans="1:10" ht="15.75" x14ac:dyDescent="0.25">
      <c r="A82" s="92"/>
      <c r="B82" s="92"/>
      <c r="C82" s="92" t="str">
        <f>Commodities!$C$28</f>
        <v>UPSHET</v>
      </c>
      <c r="D82" s="92"/>
      <c r="E82" s="92"/>
      <c r="F82" s="92"/>
      <c r="G82" s="117" t="s">
        <v>355</v>
      </c>
      <c r="H82" s="92"/>
      <c r="I82" s="92" t="s">
        <v>1205</v>
      </c>
      <c r="J82" s="162">
        <f>'Key input_Biofuel_CCS'!$C85</f>
        <v>0.57878509905688669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D471C-A684-476E-A5C5-8C469309394E}">
  <sheetPr>
    <tabColor theme="9" tint="0.39997558519241921"/>
  </sheetPr>
  <dimension ref="A1:S16"/>
  <sheetViews>
    <sheetView topLeftCell="C1" workbookViewId="0">
      <selection activeCell="N10" sqref="N10:Q10"/>
    </sheetView>
  </sheetViews>
  <sheetFormatPr defaultRowHeight="15" x14ac:dyDescent="0.25"/>
  <cols>
    <col min="1" max="1" width="28.5703125" bestFit="1" customWidth="1"/>
    <col min="2" max="2" width="74.28515625" bestFit="1" customWidth="1"/>
    <col min="3" max="3" width="12.28515625" bestFit="1" customWidth="1"/>
    <col min="4" max="4" width="11.28515625" bestFit="1" customWidth="1"/>
    <col min="5" max="5" width="12" bestFit="1" customWidth="1"/>
    <col min="6" max="6" width="10" bestFit="1" customWidth="1"/>
    <col min="7" max="7" width="12.42578125" bestFit="1" customWidth="1"/>
    <col min="8" max="8" width="8.42578125" bestFit="1" customWidth="1"/>
    <col min="9" max="9" width="18" bestFit="1" customWidth="1"/>
    <col min="10" max="10" width="6.85546875" bestFit="1" customWidth="1"/>
    <col min="12" max="12" width="24.7109375" bestFit="1" customWidth="1"/>
    <col min="13" max="13" width="21.5703125" bestFit="1" customWidth="1"/>
    <col min="14" max="14" width="74.28515625" bestFit="1" customWidth="1"/>
    <col min="15" max="15" width="6.85546875" bestFit="1" customWidth="1"/>
    <col min="16" max="16" width="7.85546875" bestFit="1" customWidth="1"/>
    <col min="17" max="17" width="8.42578125" bestFit="1" customWidth="1"/>
    <col min="18" max="18" width="10.42578125" bestFit="1" customWidth="1"/>
    <col min="19" max="19" width="7.85546875" bestFit="1" customWidth="1"/>
  </cols>
  <sheetData>
    <row r="1" spans="1:19" s="57" customFormat="1" ht="23.25" x14ac:dyDescent="0.25">
      <c r="A1" s="105" t="s">
        <v>312</v>
      </c>
    </row>
    <row r="2" spans="1:19" s="57" customFormat="1" ht="18.75" x14ac:dyDescent="0.25">
      <c r="A2" s="56" t="s">
        <v>313</v>
      </c>
    </row>
    <row r="3" spans="1:19" s="57" customFormat="1" x14ac:dyDescent="0.25"/>
    <row r="4" spans="1:19" s="57" customFormat="1" ht="18.75" x14ac:dyDescent="0.25">
      <c r="A4" s="56"/>
      <c r="G4"/>
      <c r="H4"/>
      <c r="L4" s="56" t="s">
        <v>314</v>
      </c>
    </row>
    <row r="5" spans="1:19" s="57" customFormat="1" ht="18.75" x14ac:dyDescent="0.25">
      <c r="A5" s="56"/>
      <c r="G5"/>
      <c r="H5"/>
    </row>
    <row r="6" spans="1:19" s="57" customFormat="1" ht="15.75" x14ac:dyDescent="0.25">
      <c r="A6" s="106" t="s">
        <v>315</v>
      </c>
      <c r="B6" s="106"/>
      <c r="C6"/>
      <c r="D6"/>
      <c r="E6"/>
      <c r="F6"/>
      <c r="G6"/>
      <c r="H6"/>
      <c r="I6"/>
      <c r="J6"/>
      <c r="K6" s="70"/>
      <c r="L6" s="107" t="s">
        <v>316</v>
      </c>
      <c r="M6" s="70"/>
      <c r="N6" s="70"/>
      <c r="O6" s="70"/>
      <c r="P6" s="70"/>
    </row>
    <row r="7" spans="1:19" s="57" customFormat="1" ht="16.5" thickBot="1" x14ac:dyDescent="0.3">
      <c r="A7" s="108" t="s">
        <v>317</v>
      </c>
      <c r="B7" s="108" t="s">
        <v>318</v>
      </c>
      <c r="C7" s="71" t="s">
        <v>319</v>
      </c>
      <c r="D7" s="71" t="s">
        <v>320</v>
      </c>
      <c r="E7" s="71" t="s">
        <v>240</v>
      </c>
      <c r="F7" s="71" t="s">
        <v>321</v>
      </c>
      <c r="G7" s="53" t="s">
        <v>322</v>
      </c>
      <c r="H7" s="53" t="s">
        <v>243</v>
      </c>
      <c r="I7" s="53" t="s">
        <v>323</v>
      </c>
      <c r="J7" s="53">
        <v>2020</v>
      </c>
      <c r="L7" s="53" t="s">
        <v>324</v>
      </c>
      <c r="M7" s="53" t="s">
        <v>317</v>
      </c>
      <c r="N7" s="53" t="s">
        <v>325</v>
      </c>
      <c r="O7" s="53" t="s">
        <v>326</v>
      </c>
      <c r="P7" s="53" t="s">
        <v>327</v>
      </c>
      <c r="Q7" s="53" t="s">
        <v>328</v>
      </c>
      <c r="R7" s="53" t="s">
        <v>329</v>
      </c>
      <c r="S7" s="53" t="s">
        <v>330</v>
      </c>
    </row>
    <row r="8" spans="1:19" s="57" customFormat="1" ht="51" x14ac:dyDescent="0.25">
      <c r="A8" s="72" t="s">
        <v>331</v>
      </c>
      <c r="B8" s="72" t="s">
        <v>332</v>
      </c>
      <c r="C8" s="72" t="s">
        <v>333</v>
      </c>
      <c r="D8" s="72" t="s">
        <v>334</v>
      </c>
      <c r="E8" s="72"/>
      <c r="F8" s="72"/>
      <c r="G8" s="72" t="s">
        <v>335</v>
      </c>
      <c r="H8" s="72"/>
      <c r="I8" s="72"/>
      <c r="J8" s="72"/>
      <c r="L8" s="73" t="s">
        <v>336</v>
      </c>
      <c r="M8" s="73" t="s">
        <v>337</v>
      </c>
      <c r="N8" s="73" t="s">
        <v>23</v>
      </c>
      <c r="O8" s="73" t="s">
        <v>338</v>
      </c>
      <c r="P8" s="73" t="s">
        <v>339</v>
      </c>
      <c r="Q8" s="73" t="s">
        <v>340</v>
      </c>
      <c r="R8" s="72" t="s">
        <v>341</v>
      </c>
      <c r="S8" s="72" t="s">
        <v>342</v>
      </c>
    </row>
    <row r="9" spans="1:19" s="57" customFormat="1" x14ac:dyDescent="0.25">
      <c r="A9" s="109" t="s">
        <v>343</v>
      </c>
      <c r="B9" s="109"/>
      <c r="C9" s="109"/>
      <c r="D9" s="109"/>
      <c r="E9" s="109"/>
      <c r="F9" s="109"/>
      <c r="G9" s="109"/>
      <c r="H9" s="109"/>
      <c r="I9" s="109"/>
      <c r="J9" s="109" t="s">
        <v>80</v>
      </c>
      <c r="L9" s="109" t="s">
        <v>344</v>
      </c>
      <c r="M9" s="109"/>
      <c r="N9" s="109"/>
      <c r="O9" s="109"/>
      <c r="P9" s="109"/>
      <c r="Q9" s="109"/>
      <c r="R9" s="109"/>
      <c r="S9" s="109"/>
    </row>
    <row r="10" spans="1:19" x14ac:dyDescent="0.25">
      <c r="A10" s="57" t="str">
        <f>M10</f>
        <v>U-TRF-BIORNG_UPG_01</v>
      </c>
      <c r="B10" s="57" t="str">
        <f>N10</f>
        <v>UPS Transformation: Renewable natural gas production - Syngas upgrading - New</v>
      </c>
      <c r="C10" s="57"/>
      <c r="D10" s="57"/>
      <c r="E10" s="57"/>
      <c r="F10" s="57"/>
      <c r="G10" s="57" t="s">
        <v>345</v>
      </c>
      <c r="H10" s="57"/>
      <c r="I10" s="57" t="s">
        <v>1197</v>
      </c>
      <c r="J10" s="110">
        <v>1</v>
      </c>
      <c r="L10" s="57" t="s">
        <v>346</v>
      </c>
      <c r="M10" t="str">
        <f>"U-TRF-"&amp;Commodities!C18&amp;"_UPG_01"</f>
        <v>U-TRF-BIORNG_UPG_01</v>
      </c>
      <c r="N10" t="str">
        <f>"UPS Transformation: "&amp;Commodities!D18&amp;" production - Syngas upgrading - New"</f>
        <v>UPS Transformation: Renewable natural gas production - Syngas upgrading - New</v>
      </c>
      <c r="O10" s="57" t="s">
        <v>45</v>
      </c>
      <c r="P10" s="57" t="s">
        <v>1199</v>
      </c>
      <c r="Q10" s="57"/>
      <c r="R10" s="57"/>
      <c r="S10" s="57"/>
    </row>
    <row r="11" spans="1:19" x14ac:dyDescent="0.25">
      <c r="A11" s="57"/>
      <c r="B11" s="57"/>
      <c r="C11" s="57"/>
      <c r="D11" s="57"/>
      <c r="E11" s="57"/>
      <c r="F11" s="57"/>
      <c r="G11" s="57" t="s">
        <v>354</v>
      </c>
      <c r="H11" s="57"/>
      <c r="I11" s="57"/>
      <c r="J11" s="110">
        <v>2025</v>
      </c>
      <c r="L11" s="57"/>
      <c r="O11" s="57"/>
      <c r="P11" s="57"/>
      <c r="Q11" s="57"/>
      <c r="R11" s="57"/>
      <c r="S11" s="57"/>
    </row>
    <row r="12" spans="1:19" ht="15.75" x14ac:dyDescent="0.25">
      <c r="G12" s="57" t="s">
        <v>347</v>
      </c>
      <c r="H12" s="57"/>
      <c r="I12" s="57" t="s">
        <v>348</v>
      </c>
      <c r="J12" s="115">
        <f>'Key input_Biofuel production2'!$C$40</f>
        <v>25</v>
      </c>
    </row>
    <row r="13" spans="1:19" x14ac:dyDescent="0.25">
      <c r="G13" s="57" t="s">
        <v>349</v>
      </c>
      <c r="H13" s="57"/>
      <c r="I13" s="57" t="s">
        <v>1198</v>
      </c>
      <c r="J13" s="94">
        <f>'Key input_Biofuel production2'!$C43*1000</f>
        <v>30.282945007815492</v>
      </c>
    </row>
    <row r="14" spans="1:19" x14ac:dyDescent="0.25">
      <c r="G14" s="57" t="s">
        <v>351</v>
      </c>
      <c r="H14" s="57"/>
      <c r="I14" s="57" t="s">
        <v>1198</v>
      </c>
      <c r="J14" s="94">
        <f>'Key input_Biofuel production2'!$C44*1000</f>
        <v>1.2204169730957886</v>
      </c>
    </row>
    <row r="15" spans="1:19" x14ac:dyDescent="0.25">
      <c r="G15" s="57" t="s">
        <v>352</v>
      </c>
      <c r="H15" s="57"/>
      <c r="I15" s="57" t="s">
        <v>1200</v>
      </c>
      <c r="J15" s="94">
        <f>'Key input_Biofuel production2'!$C45*1000</f>
        <v>0.17947308427879238</v>
      </c>
    </row>
    <row r="16" spans="1:19" x14ac:dyDescent="0.25">
      <c r="A16" s="92"/>
      <c r="B16" s="92"/>
      <c r="C16" s="92" t="str">
        <f>Commodities!$C$17</f>
        <v>BIOSYN</v>
      </c>
      <c r="D16" s="92" t="str">
        <f>Commodities!$C$18</f>
        <v>BIORNG</v>
      </c>
      <c r="E16" s="92"/>
      <c r="F16" s="92"/>
      <c r="G16" s="117" t="s">
        <v>353</v>
      </c>
      <c r="H16" s="92"/>
      <c r="I16" s="92" t="s">
        <v>1206</v>
      </c>
      <c r="J16" s="160">
        <f>'Key input_Biofuel production2'!$C$51</f>
        <v>0.85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400E7-E7E8-4BF9-8E6D-9DB742CEF456}">
  <sheetPr>
    <tabColor theme="8" tint="0.39997558519241921"/>
  </sheetPr>
  <dimension ref="A1:M50"/>
  <sheetViews>
    <sheetView topLeftCell="A15" workbookViewId="0">
      <selection activeCell="C45" sqref="C45"/>
    </sheetView>
  </sheetViews>
  <sheetFormatPr defaultRowHeight="15" x14ac:dyDescent="0.25"/>
  <cols>
    <col min="1" max="1" width="44.42578125" customWidth="1"/>
    <col min="2" max="2" width="40.140625" bestFit="1" customWidth="1"/>
    <col min="3" max="3" width="30.140625" bestFit="1" customWidth="1"/>
    <col min="4" max="4" width="18.5703125" bestFit="1" customWidth="1"/>
    <col min="5" max="5" width="16.85546875" bestFit="1" customWidth="1"/>
    <col min="6" max="6" width="19.140625" bestFit="1" customWidth="1"/>
    <col min="7" max="7" width="12.7109375" bestFit="1" customWidth="1"/>
    <col min="8" max="9" width="22.7109375" bestFit="1" customWidth="1"/>
    <col min="10" max="10" width="22.7109375" customWidth="1"/>
    <col min="11" max="11" width="16.85546875" bestFit="1" customWidth="1"/>
    <col min="12" max="12" width="11.5703125" bestFit="1" customWidth="1"/>
    <col min="13" max="13" width="26.85546875" bestFit="1" customWidth="1"/>
    <col min="14" max="14" width="10.140625" bestFit="1" customWidth="1"/>
    <col min="15" max="15" width="6.42578125" bestFit="1" customWidth="1"/>
  </cols>
  <sheetData>
    <row r="1" spans="1:13" ht="15.75" x14ac:dyDescent="0.25">
      <c r="A1" s="81" t="s">
        <v>366</v>
      </c>
    </row>
    <row r="4" spans="1:13" x14ac:dyDescent="0.25">
      <c r="A4" s="82"/>
      <c r="B4" s="83"/>
      <c r="C4" s="84" t="s">
        <v>367</v>
      </c>
    </row>
    <row r="5" spans="1:13" ht="25.5" x14ac:dyDescent="0.45">
      <c r="A5" s="85" t="s">
        <v>368</v>
      </c>
      <c r="B5" t="s">
        <v>369</v>
      </c>
      <c r="C5" s="86">
        <v>970.11743999999987</v>
      </c>
      <c r="J5" s="87"/>
      <c r="M5" s="88"/>
    </row>
    <row r="6" spans="1:13" x14ac:dyDescent="0.25">
      <c r="A6" s="85" t="s">
        <v>370</v>
      </c>
      <c r="B6" t="s">
        <v>371</v>
      </c>
      <c r="C6" s="86">
        <v>8.9722308858267734</v>
      </c>
      <c r="K6" s="89"/>
    </row>
    <row r="7" spans="1:13" x14ac:dyDescent="0.25">
      <c r="A7" s="85" t="s">
        <v>366</v>
      </c>
      <c r="B7" t="s">
        <v>372</v>
      </c>
      <c r="C7" s="86">
        <v>8704.1176580472002</v>
      </c>
      <c r="J7" s="89"/>
      <c r="K7" s="89"/>
    </row>
    <row r="8" spans="1:13" x14ac:dyDescent="0.25">
      <c r="A8" s="85" t="s">
        <v>373</v>
      </c>
      <c r="B8" t="s">
        <v>348</v>
      </c>
      <c r="C8" s="86">
        <v>30</v>
      </c>
      <c r="J8" s="89"/>
      <c r="K8" s="89"/>
    </row>
    <row r="9" spans="1:13" x14ac:dyDescent="0.25">
      <c r="A9" s="85" t="s">
        <v>374</v>
      </c>
      <c r="B9" t="s">
        <v>375</v>
      </c>
      <c r="C9" s="86">
        <v>1.8011475276308801E-2</v>
      </c>
    </row>
    <row r="10" spans="1:13" x14ac:dyDescent="0.25">
      <c r="A10" s="85" t="s">
        <v>376</v>
      </c>
      <c r="B10" t="s">
        <v>375</v>
      </c>
      <c r="C10" s="86">
        <v>5.40344258289264E-4</v>
      </c>
    </row>
    <row r="11" spans="1:13" x14ac:dyDescent="0.25">
      <c r="A11" s="85" t="s">
        <v>377</v>
      </c>
      <c r="B11" t="s">
        <v>378</v>
      </c>
      <c r="C11" s="86">
        <v>0.37335774718021136</v>
      </c>
    </row>
    <row r="12" spans="1:13" x14ac:dyDescent="0.25">
      <c r="A12" s="85" t="s">
        <v>379</v>
      </c>
      <c r="B12" t="s">
        <v>372</v>
      </c>
      <c r="C12" s="86">
        <v>210.02976000000007</v>
      </c>
      <c r="M12" s="90"/>
    </row>
    <row r="13" spans="1:13" x14ac:dyDescent="0.25">
      <c r="A13" s="91" t="s">
        <v>380</v>
      </c>
      <c r="B13" s="92" t="s">
        <v>372</v>
      </c>
      <c r="C13" s="93">
        <v>3039.7200000000003</v>
      </c>
      <c r="L13" s="94"/>
      <c r="M13" s="94"/>
    </row>
    <row r="16" spans="1:13" ht="15.75" x14ac:dyDescent="0.25">
      <c r="A16" s="81" t="s">
        <v>381</v>
      </c>
    </row>
    <row r="17" spans="1:10" x14ac:dyDescent="0.25">
      <c r="J17" s="94"/>
    </row>
    <row r="19" spans="1:10" x14ac:dyDescent="0.25">
      <c r="A19" s="82"/>
      <c r="B19" s="83"/>
      <c r="C19" s="84" t="s">
        <v>382</v>
      </c>
    </row>
    <row r="20" spans="1:10" x14ac:dyDescent="0.25">
      <c r="A20" s="85"/>
      <c r="C20" s="95" t="s">
        <v>383</v>
      </c>
    </row>
    <row r="21" spans="1:10" x14ac:dyDescent="0.25">
      <c r="A21" s="85" t="s">
        <v>384</v>
      </c>
      <c r="B21" t="s">
        <v>369</v>
      </c>
      <c r="C21" s="96">
        <v>50.8</v>
      </c>
    </row>
    <row r="22" spans="1:10" x14ac:dyDescent="0.25">
      <c r="A22" s="85" t="s">
        <v>385</v>
      </c>
      <c r="B22" t="s">
        <v>372</v>
      </c>
      <c r="C22" s="96">
        <v>1889.9999999999998</v>
      </c>
    </row>
    <row r="23" spans="1:10" x14ac:dyDescent="0.25">
      <c r="A23" s="85" t="s">
        <v>370</v>
      </c>
      <c r="B23" t="s">
        <v>386</v>
      </c>
      <c r="C23" s="96">
        <v>37.204724409448815</v>
      </c>
    </row>
    <row r="24" spans="1:10" x14ac:dyDescent="0.25">
      <c r="A24" s="85" t="s">
        <v>379</v>
      </c>
      <c r="B24" t="s">
        <v>372</v>
      </c>
      <c r="C24" s="96">
        <v>5.4000000000000012</v>
      </c>
    </row>
    <row r="25" spans="1:10" x14ac:dyDescent="0.25">
      <c r="A25" s="85" t="s">
        <v>387</v>
      </c>
      <c r="B25" t="s">
        <v>372</v>
      </c>
      <c r="C25" s="96">
        <v>70</v>
      </c>
    </row>
    <row r="26" spans="1:10" x14ac:dyDescent="0.25">
      <c r="A26" s="97" t="s">
        <v>388</v>
      </c>
      <c r="B26" s="98" t="s">
        <v>372</v>
      </c>
      <c r="C26" s="99">
        <v>85.365853658536594</v>
      </c>
    </row>
    <row r="27" spans="1:10" x14ac:dyDescent="0.25">
      <c r="A27" s="85" t="s">
        <v>377</v>
      </c>
      <c r="B27" t="s">
        <v>389</v>
      </c>
      <c r="C27" s="96">
        <v>3.9894179894179899E-2</v>
      </c>
    </row>
    <row r="28" spans="1:10" x14ac:dyDescent="0.25">
      <c r="A28" s="85" t="s">
        <v>373</v>
      </c>
      <c r="B28" t="s">
        <v>348</v>
      </c>
      <c r="C28" s="96">
        <v>10</v>
      </c>
    </row>
    <row r="29" spans="1:10" x14ac:dyDescent="0.25">
      <c r="A29" s="85" t="s">
        <v>374</v>
      </c>
      <c r="B29" t="s">
        <v>375</v>
      </c>
      <c r="C29" s="96">
        <v>6.2818079776226915E-3</v>
      </c>
    </row>
    <row r="30" spans="1:10" x14ac:dyDescent="0.25">
      <c r="A30" s="85" t="s">
        <v>390</v>
      </c>
      <c r="B30" t="s">
        <v>375</v>
      </c>
      <c r="C30" s="96">
        <v>2.5835606001584389E-3</v>
      </c>
    </row>
    <row r="31" spans="1:10" x14ac:dyDescent="0.25">
      <c r="A31" s="91" t="s">
        <v>391</v>
      </c>
      <c r="B31" s="92" t="s">
        <v>392</v>
      </c>
      <c r="C31" s="100">
        <v>1.4214261242982407E-3</v>
      </c>
    </row>
    <row r="34" spans="1:4" ht="15.75" x14ac:dyDescent="0.25">
      <c r="A34" s="81" t="s">
        <v>393</v>
      </c>
    </row>
    <row r="37" spans="1:4" x14ac:dyDescent="0.25">
      <c r="A37" s="82" t="s">
        <v>394</v>
      </c>
      <c r="B37" s="83" t="s">
        <v>369</v>
      </c>
      <c r="C37" s="101">
        <v>350.40000000000003</v>
      </c>
    </row>
    <row r="38" spans="1:4" x14ac:dyDescent="0.25">
      <c r="A38" s="85" t="s">
        <v>395</v>
      </c>
      <c r="B38" t="s">
        <v>396</v>
      </c>
      <c r="C38" s="102">
        <v>87277106.399999991</v>
      </c>
    </row>
    <row r="39" spans="1:4" x14ac:dyDescent="0.25">
      <c r="A39" s="85" t="s">
        <v>397</v>
      </c>
      <c r="B39" t="s">
        <v>396</v>
      </c>
      <c r="C39" s="102">
        <v>47560786.361615993</v>
      </c>
    </row>
    <row r="40" spans="1:4" x14ac:dyDescent="0.25">
      <c r="A40" s="85" t="s">
        <v>397</v>
      </c>
      <c r="B40" t="s">
        <v>372</v>
      </c>
      <c r="C40" s="102">
        <v>1712.1883090181757</v>
      </c>
    </row>
    <row r="41" spans="1:4" x14ac:dyDescent="0.25">
      <c r="A41" s="85" t="s">
        <v>398</v>
      </c>
      <c r="B41" t="s">
        <v>399</v>
      </c>
      <c r="C41" s="95">
        <v>4.8863821604399984</v>
      </c>
    </row>
    <row r="42" spans="1:4" x14ac:dyDescent="0.25">
      <c r="A42" s="85" t="s">
        <v>377</v>
      </c>
      <c r="B42" t="s">
        <v>400</v>
      </c>
      <c r="C42" s="95">
        <v>8.7589097198541854E-2</v>
      </c>
    </row>
    <row r="43" spans="1:4" x14ac:dyDescent="0.25">
      <c r="A43" s="85" t="s">
        <v>379</v>
      </c>
      <c r="B43" t="s">
        <v>372</v>
      </c>
      <c r="C43" s="102">
        <v>133.8576362208</v>
      </c>
      <c r="D43" s="94"/>
    </row>
    <row r="44" spans="1:4" x14ac:dyDescent="0.25">
      <c r="A44" s="85" t="s">
        <v>387</v>
      </c>
      <c r="B44" t="s">
        <v>372</v>
      </c>
      <c r="C44" s="102">
        <v>16.111392000000002</v>
      </c>
      <c r="D44" s="94"/>
    </row>
    <row r="45" spans="1:4" x14ac:dyDescent="0.25">
      <c r="A45" s="85" t="s">
        <v>401</v>
      </c>
      <c r="B45" t="s">
        <v>350</v>
      </c>
      <c r="C45" s="86">
        <v>2.3782343987823439E-2</v>
      </c>
      <c r="D45" s="89"/>
    </row>
    <row r="46" spans="1:4" x14ac:dyDescent="0.25">
      <c r="A46" s="85" t="s">
        <v>402</v>
      </c>
      <c r="B46" t="s">
        <v>350</v>
      </c>
      <c r="C46" s="102">
        <v>1.8284528126453981E-2</v>
      </c>
      <c r="D46" s="103"/>
    </row>
    <row r="47" spans="1:4" x14ac:dyDescent="0.25">
      <c r="A47" s="85" t="s">
        <v>403</v>
      </c>
      <c r="B47" t="s">
        <v>350</v>
      </c>
      <c r="C47" s="95"/>
    </row>
    <row r="48" spans="1:4" x14ac:dyDescent="0.25">
      <c r="A48" s="85" t="s">
        <v>404</v>
      </c>
      <c r="B48" t="s">
        <v>350</v>
      </c>
      <c r="C48" s="95"/>
    </row>
    <row r="49" spans="1:6" x14ac:dyDescent="0.25">
      <c r="A49" s="91" t="s">
        <v>373</v>
      </c>
      <c r="B49" s="92" t="s">
        <v>348</v>
      </c>
      <c r="C49" s="104">
        <v>20</v>
      </c>
    </row>
    <row r="50" spans="1:6" x14ac:dyDescent="0.25">
      <c r="F50" s="8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6d4180e-9d5c-49f4-a5bd-2dea8752bb82" xsi:nil="true"/>
    <lcf76f155ced4ddcb4097134ff3c332f xmlns="5d9037d5-ce8e-40bf-98c7-9bd5160835c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B50CDC42719814B843C09387267EE67" ma:contentTypeVersion="14" ma:contentTypeDescription="Creare un nuovo documento." ma:contentTypeScope="" ma:versionID="1d7ae78bd5f9518608b1669b47f845f6">
  <xsd:schema xmlns:xsd="http://www.w3.org/2001/XMLSchema" xmlns:xs="http://www.w3.org/2001/XMLSchema" xmlns:p="http://schemas.microsoft.com/office/2006/metadata/properties" xmlns:ns2="5d9037d5-ce8e-40bf-98c7-9bd5160835c3" xmlns:ns3="46d4180e-9d5c-49f4-a5bd-2dea8752bb82" targetNamespace="http://schemas.microsoft.com/office/2006/metadata/properties" ma:root="true" ma:fieldsID="24f511842ff2524e4a531eeb34aac8db" ns2:_="" ns3:_="">
    <xsd:import namespace="5d9037d5-ce8e-40bf-98c7-9bd5160835c3"/>
    <xsd:import namespace="46d4180e-9d5c-49f4-a5bd-2dea8752bb8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9037d5-ce8e-40bf-98c7-9bd516083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Tag immagine" ma:readOnly="false" ma:fieldId="{5cf76f15-5ced-4ddc-b409-7134ff3c332f}" ma:taxonomyMulti="true" ma:sspId="9ec2760b-b41c-4edf-bb54-af65057d0240"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d4180e-9d5c-49f4-a5bd-2dea8752bb82"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element name="TaxCatchAll" ma:index="20" nillable="true" ma:displayName="Taxonomy Catch All Column" ma:hidden="true" ma:list="{7a5e9b63-37fa-45eb-99fc-6d2867560c65}" ma:internalName="TaxCatchAll" ma:showField="CatchAllData" ma:web="46d4180e-9d5c-49f4-a5bd-2dea8752bb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DF01DD-6F19-468E-A29B-75F82342B6B4}">
  <ds:schemaRefs>
    <ds:schemaRef ds:uri="http://schemas.microsoft.com/office/2006/metadata/properties"/>
    <ds:schemaRef ds:uri="http://schemas.microsoft.com/office/infopath/2007/PartnerControls"/>
    <ds:schemaRef ds:uri="46d4180e-9d5c-49f4-a5bd-2dea8752bb82"/>
    <ds:schemaRef ds:uri="5d9037d5-ce8e-40bf-98c7-9bd5160835c3"/>
  </ds:schemaRefs>
</ds:datastoreItem>
</file>

<file path=customXml/itemProps2.xml><?xml version="1.0" encoding="utf-8"?>
<ds:datastoreItem xmlns:ds="http://schemas.openxmlformats.org/officeDocument/2006/customXml" ds:itemID="{DD03888B-AE0E-42EF-AC3C-16D2F42604E5}">
  <ds:schemaRefs>
    <ds:schemaRef ds:uri="http://schemas.microsoft.com/sharepoint/v3/contenttype/forms"/>
  </ds:schemaRefs>
</ds:datastoreItem>
</file>

<file path=customXml/itemProps3.xml><?xml version="1.0" encoding="utf-8"?>
<ds:datastoreItem xmlns:ds="http://schemas.openxmlformats.org/officeDocument/2006/customXml" ds:itemID="{5C53EF26-2B1E-4417-B228-010CE32758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9037d5-ce8e-40bf-98c7-9bd5160835c3"/>
    <ds:schemaRef ds:uri="46d4180e-9d5c-49f4-a5bd-2dea8752bb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Legend</vt:lpstr>
      <vt:lpstr>Commodities</vt:lpstr>
      <vt:lpstr>Biofuel - Wood</vt:lpstr>
      <vt:lpstr>Biofuel - 1st gen </vt:lpstr>
      <vt:lpstr>Biofuel - Biogas</vt:lpstr>
      <vt:lpstr>Biofuel - 2ndGen</vt:lpstr>
      <vt:lpstr>Biofuel - 2ndGen - CCS</vt:lpstr>
      <vt:lpstr>Biofuel - Upgrading</vt:lpstr>
      <vt:lpstr>Key input_Biofuel production</vt:lpstr>
      <vt:lpstr>Key input_Biofuel production2</vt:lpstr>
      <vt:lpstr>Key input_Biofuel_CCS</vt:lpstr>
      <vt:lpstr>Key input_Biomass</vt:lpstr>
      <vt:lpstr>Key inputs_Emissions</vt:lpstr>
      <vt:lpstr>Shahrukh(2016)_Pellet</vt:lpstr>
      <vt:lpstr>Berghout(2015)_CCS</vt:lpstr>
      <vt:lpstr>Brown(2010)_Pyrolysis</vt:lpstr>
      <vt:lpstr>Swanson(2010)_Liquid_Biofuel</vt:lpstr>
      <vt:lpstr>Moret(2017)_Syngas</vt:lpstr>
      <vt:lpstr>Zhu(2014)_HTL</vt:lpstr>
      <vt:lpstr>NREL(2011)_Ethanol</vt:lpstr>
      <vt:lpstr>Diederichs (2016) Biojet</vt:lpstr>
      <vt:lpstr>Consumer_Price_index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Marie Pied</dc:creator>
  <cp:keywords/>
  <dc:description/>
  <cp:lastModifiedBy>E4SMA-10 Server</cp:lastModifiedBy>
  <cp:revision/>
  <dcterms:created xsi:type="dcterms:W3CDTF">2015-06-05T18:19:34Z</dcterms:created>
  <dcterms:modified xsi:type="dcterms:W3CDTF">2025-06-30T14:20:12Z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0x010100FB50CDC42719814B843C09387267EE67</vt:lpwstr>
  </property>
  <property fmtid="{D5CDD505-2E9C-101B-9397-08002B2CF9AE}" pid="3" name="MediaServiceImageTags">
    <vt:lpwstr/>
  </property>
</Properties>
</file>