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Veda\Veda_models\E4SMA-User2\OMNIA\"/>
    </mc:Choice>
  </mc:AlternateContent>
  <xr:revisionPtr revIDLastSave="0" documentId="13_ncr:1_{4EA182E6-E349-4086-A02A-DCDB69CDE8E5}" xr6:coauthVersionLast="47" xr6:coauthVersionMax="47" xr10:uidLastSave="{00000000-0000-0000-0000-000000000000}"/>
  <bookViews>
    <workbookView xWindow="-120" yWindow="-120" windowWidth="29040" windowHeight="15840" activeTab="1" xr2:uid="{C7ED20F5-A369-4C40-A77C-9F2953B5774D}"/>
  </bookViews>
  <sheets>
    <sheet name="Legend" sheetId="47" r:id="rId1"/>
    <sheet name="EB_AGR" sheetId="4" r:id="rId2"/>
    <sheet name="Commodities &amp; Processes" sheetId="10" r:id="rId3"/>
    <sheet name="Fuel Techs" sheetId="17" r:id="rId4"/>
    <sheet name="FuelMix &amp; Demands" sheetId="50" r:id="rId5"/>
  </sheets>
  <definedNames>
    <definedName name="__123Graph_A" hidden="1">#REF!</definedName>
    <definedName name="__123Graph_B" hidden="1">#REF!</definedName>
    <definedName name="__123Graph_C" hidden="1">#REF!</definedName>
    <definedName name="__123Graph_D" hidden="1">#REF!</definedName>
    <definedName name="__123Graph_E" hidden="1">#REF!</definedName>
    <definedName name="__123Graph_X" hidden="1">#REF!</definedName>
    <definedName name="_118__123Graph_CCHART_2" hidden="1">#REF!</definedName>
    <definedName name="_134__123Graph_XCHART_1" hidden="1">#REF!</definedName>
    <definedName name="_150__123Graph_XCHART_3" hidden="1">#REF!</definedName>
    <definedName name="_16__123Graph_ACHART_1" hidden="1">#REF!</definedName>
    <definedName name="_32__123Graph_ACHART_3" hidden="1">#REF!</definedName>
    <definedName name="_48__123Graph_BCHART_1" hidden="1">#REF!</definedName>
    <definedName name="_77__123Graph_BCHART_2" hidden="1">#REF!</definedName>
    <definedName name="_78__123Graph_BCHART_4" hidden="1">#REF!</definedName>
    <definedName name="_93__123Graph_CCHART_1" hidden="1">#REF!</definedName>
    <definedName name="_Order1" hidden="1">255</definedName>
    <definedName name="_Order2" hidden="1">255</definedName>
    <definedName name="aa"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a" hidden="1">#REF!</definedName>
    <definedName name="ele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able6"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50" l="1"/>
  <c r="C25" i="50"/>
  <c r="C39" i="50" s="1"/>
  <c r="D12" i="10"/>
  <c r="C12" i="10"/>
  <c r="F39" i="4" l="1"/>
  <c r="G39" i="4"/>
  <c r="H39" i="4"/>
  <c r="I39" i="4"/>
  <c r="J39" i="4"/>
  <c r="K39" i="4"/>
  <c r="L39" i="4"/>
  <c r="M39" i="4"/>
  <c r="N39" i="4"/>
  <c r="O39" i="4"/>
  <c r="P39" i="4"/>
  <c r="Q39" i="4"/>
  <c r="R39" i="4"/>
  <c r="S39" i="4"/>
  <c r="T39" i="4"/>
  <c r="U39" i="4"/>
  <c r="V39" i="4"/>
  <c r="W39" i="4"/>
  <c r="X39" i="4"/>
  <c r="Y39" i="4"/>
  <c r="Z39" i="4"/>
  <c r="AA39" i="4"/>
  <c r="AB39" i="4"/>
  <c r="AC39" i="4"/>
  <c r="AD39" i="4"/>
  <c r="AE39" i="4"/>
  <c r="AF39" i="4"/>
  <c r="E39" i="4"/>
  <c r="F33" i="4"/>
  <c r="K46" i="4"/>
  <c r="L46" i="4"/>
  <c r="M46" i="4"/>
  <c r="N46" i="4"/>
  <c r="O46" i="4"/>
  <c r="P46" i="4"/>
  <c r="Q46" i="4"/>
  <c r="R46" i="4"/>
  <c r="S46" i="4"/>
  <c r="T46" i="4"/>
  <c r="U46" i="4"/>
  <c r="V46" i="4"/>
  <c r="W46" i="4"/>
  <c r="X46" i="4"/>
  <c r="Y46" i="4"/>
  <c r="Z46" i="4"/>
  <c r="AA46" i="4"/>
  <c r="AB46" i="4"/>
  <c r="AC46" i="4"/>
  <c r="AD46" i="4"/>
  <c r="AE46" i="4"/>
  <c r="AF46" i="4"/>
  <c r="F46" i="4"/>
  <c r="G46" i="4"/>
  <c r="H46" i="4"/>
  <c r="I46" i="4"/>
  <c r="J46" i="4"/>
  <c r="E46" i="4"/>
  <c r="P33" i="4" l="1"/>
  <c r="K48" i="4"/>
  <c r="M48" i="4"/>
  <c r="S48" i="4"/>
  <c r="U48" i="4"/>
  <c r="AA48" i="4"/>
  <c r="AC48" i="4"/>
  <c r="F48" i="4"/>
  <c r="L48" i="4"/>
  <c r="N48" i="4"/>
  <c r="W48" i="4"/>
  <c r="AE48" i="4"/>
  <c r="G48" i="4"/>
  <c r="H48" i="4"/>
  <c r="I48" i="4"/>
  <c r="J48" i="4"/>
  <c r="O48" i="4"/>
  <c r="Q48" i="4"/>
  <c r="R48" i="4"/>
  <c r="T48" i="4"/>
  <c r="V48" i="4"/>
  <c r="X48" i="4"/>
  <c r="Y48" i="4"/>
  <c r="Z48" i="4"/>
  <c r="AB48" i="4"/>
  <c r="AD48" i="4"/>
  <c r="AF48" i="4"/>
  <c r="E48" i="4"/>
  <c r="P48" i="4" l="1"/>
  <c r="E49" i="4" l="1"/>
  <c r="V33" i="4" l="1"/>
  <c r="X33" i="4"/>
  <c r="AF33" i="4"/>
  <c r="I40" i="4"/>
  <c r="J40" i="4"/>
  <c r="M40" i="4"/>
  <c r="Q40" i="4"/>
  <c r="R33" i="4"/>
  <c r="U40" i="4"/>
  <c r="X40" i="4"/>
  <c r="Y40" i="4"/>
  <c r="Z40" i="4"/>
  <c r="AC40" i="4"/>
  <c r="AF40" i="4"/>
  <c r="F41" i="4"/>
  <c r="I41" i="4"/>
  <c r="L41" i="4"/>
  <c r="M41" i="4"/>
  <c r="N41" i="4"/>
  <c r="Q41" i="4"/>
  <c r="T41" i="4"/>
  <c r="U41" i="4"/>
  <c r="V41" i="4"/>
  <c r="Y41" i="4"/>
  <c r="AC41" i="4"/>
  <c r="AD41" i="4"/>
  <c r="G44" i="4"/>
  <c r="H44" i="4"/>
  <c r="J44" i="4"/>
  <c r="O44" i="4"/>
  <c r="P44" i="4"/>
  <c r="R44" i="4"/>
  <c r="S44" i="4"/>
  <c r="T44" i="4"/>
  <c r="W44" i="4"/>
  <c r="X44" i="4"/>
  <c r="Z44" i="4"/>
  <c r="AA44" i="4"/>
  <c r="AB44" i="4"/>
  <c r="AE44" i="4"/>
  <c r="AF44" i="4"/>
  <c r="F45" i="4"/>
  <c r="I45" i="4"/>
  <c r="J45" i="4"/>
  <c r="L45" i="4"/>
  <c r="M45" i="4"/>
  <c r="N45" i="4"/>
  <c r="Q45" i="4"/>
  <c r="R45" i="4"/>
  <c r="U45" i="4"/>
  <c r="V45" i="4"/>
  <c r="Y45" i="4"/>
  <c r="Z45" i="4"/>
  <c r="AB45" i="4"/>
  <c r="AC45" i="4"/>
  <c r="AD45" i="4"/>
  <c r="F47" i="4"/>
  <c r="G47" i="4"/>
  <c r="H47" i="4"/>
  <c r="K47" i="4"/>
  <c r="L47" i="4"/>
  <c r="N47" i="4"/>
  <c r="O47" i="4"/>
  <c r="S47" i="4"/>
  <c r="T47" i="4"/>
  <c r="V47" i="4"/>
  <c r="W47" i="4"/>
  <c r="X47" i="4"/>
  <c r="AA47" i="4"/>
  <c r="AB47" i="4"/>
  <c r="AD47" i="4"/>
  <c r="AE47" i="4"/>
  <c r="AF47" i="4"/>
  <c r="J33" i="4"/>
  <c r="P43" i="4"/>
  <c r="X43" i="4"/>
  <c r="Z33" i="4"/>
  <c r="AF43" i="4"/>
  <c r="G38" i="4"/>
  <c r="J38" i="4"/>
  <c r="K38" i="4"/>
  <c r="L38" i="4"/>
  <c r="O38" i="4"/>
  <c r="R38" i="4"/>
  <c r="S38" i="4"/>
  <c r="T38" i="4"/>
  <c r="W38" i="4"/>
  <c r="Z38" i="4"/>
  <c r="AA38" i="4"/>
  <c r="AB38" i="4"/>
  <c r="AE38" i="4"/>
  <c r="F43" i="4"/>
  <c r="L43" i="4"/>
  <c r="N43" i="4"/>
  <c r="T43" i="4"/>
  <c r="AB43" i="4"/>
  <c r="G42" i="4"/>
  <c r="H42" i="4"/>
  <c r="K42" i="4"/>
  <c r="N42" i="4"/>
  <c r="O42" i="4"/>
  <c r="P42" i="4"/>
  <c r="S42" i="4"/>
  <c r="V42" i="4"/>
  <c r="W42" i="4"/>
  <c r="X42" i="4"/>
  <c r="AA42" i="4"/>
  <c r="AE42" i="4"/>
  <c r="AF42" i="4"/>
  <c r="E42" i="4"/>
  <c r="E43" i="4"/>
  <c r="E38" i="4"/>
  <c r="E47" i="4"/>
  <c r="E45" i="4"/>
  <c r="E40" i="4"/>
  <c r="AH10" i="4"/>
  <c r="E44" i="4"/>
  <c r="E49" i="50"/>
  <c r="D48" i="50"/>
  <c r="D49" i="50" s="1"/>
  <c r="F40" i="4"/>
  <c r="G40" i="4"/>
  <c r="H40" i="4"/>
  <c r="K40" i="4"/>
  <c r="L40" i="4"/>
  <c r="N40" i="4"/>
  <c r="O40" i="4"/>
  <c r="P40" i="4"/>
  <c r="S40" i="4"/>
  <c r="T40" i="4"/>
  <c r="V40" i="4"/>
  <c r="W40" i="4"/>
  <c r="AA40" i="4"/>
  <c r="AB40" i="4"/>
  <c r="AD40" i="4"/>
  <c r="AE40" i="4"/>
  <c r="AH29" i="4"/>
  <c r="C33" i="50"/>
  <c r="F33" i="50"/>
  <c r="L22" i="10"/>
  <c r="A20" i="50" s="1"/>
  <c r="F32" i="50"/>
  <c r="F31" i="50"/>
  <c r="F30" i="50"/>
  <c r="F29" i="50"/>
  <c r="F28" i="50"/>
  <c r="F27" i="50"/>
  <c r="F26" i="50"/>
  <c r="F24" i="50"/>
  <c r="F23" i="50"/>
  <c r="F22" i="50"/>
  <c r="F48" i="50" s="1"/>
  <c r="F21" i="50"/>
  <c r="F20" i="50"/>
  <c r="C32" i="50"/>
  <c r="C46" i="50" s="1"/>
  <c r="C31" i="50"/>
  <c r="C45" i="50" s="1"/>
  <c r="C30" i="50"/>
  <c r="C44" i="50" s="1"/>
  <c r="C29" i="50"/>
  <c r="C43" i="50"/>
  <c r="C28" i="50"/>
  <c r="C42" i="50" s="1"/>
  <c r="C27" i="50"/>
  <c r="C41" i="50" s="1"/>
  <c r="C26" i="50"/>
  <c r="C40" i="50" s="1"/>
  <c r="C24" i="50"/>
  <c r="C38" i="50" s="1"/>
  <c r="C23" i="50"/>
  <c r="C37" i="50"/>
  <c r="C22" i="50"/>
  <c r="C21" i="50"/>
  <c r="C35" i="50"/>
  <c r="C20" i="50"/>
  <c r="C34" i="50" s="1"/>
  <c r="M22" i="10"/>
  <c r="B20" i="50" s="1"/>
  <c r="B14" i="50"/>
  <c r="O43" i="4"/>
  <c r="C22" i="10"/>
  <c r="A7" i="50"/>
  <c r="D22" i="10"/>
  <c r="E23" i="17"/>
  <c r="E26" i="17"/>
  <c r="E27" i="17"/>
  <c r="E28" i="17"/>
  <c r="E29" i="17"/>
  <c r="E32" i="17"/>
  <c r="E33" i="17"/>
  <c r="E34" i="17"/>
  <c r="E40" i="17"/>
  <c r="E41" i="17"/>
  <c r="E43" i="17"/>
  <c r="L14" i="10"/>
  <c r="B11" i="17" s="1"/>
  <c r="B29" i="17" s="1"/>
  <c r="M14" i="10"/>
  <c r="C11" i="17" s="1"/>
  <c r="C29" i="17" s="1"/>
  <c r="L15" i="10"/>
  <c r="B12" i="17" s="1"/>
  <c r="B32" i="17" s="1"/>
  <c r="M15" i="10"/>
  <c r="C12" i="17" s="1"/>
  <c r="C32" i="17" s="1"/>
  <c r="L16" i="10"/>
  <c r="B13" i="17" s="1"/>
  <c r="B33" i="17" s="1"/>
  <c r="M16" i="10"/>
  <c r="C13" i="17"/>
  <c r="C33" i="17" s="1"/>
  <c r="C17" i="10"/>
  <c r="D17" i="10"/>
  <c r="C14" i="10"/>
  <c r="D14" i="10"/>
  <c r="C15" i="10"/>
  <c r="D15" i="10"/>
  <c r="C16" i="10"/>
  <c r="D16" i="10"/>
  <c r="D8" i="10"/>
  <c r="D9" i="10"/>
  <c r="D10" i="10"/>
  <c r="D11" i="10"/>
  <c r="D13" i="10"/>
  <c r="L20" i="10"/>
  <c r="B17" i="17"/>
  <c r="B43" i="17" s="1"/>
  <c r="M20" i="10"/>
  <c r="C17" i="17"/>
  <c r="C43" i="17" s="1"/>
  <c r="C20" i="10"/>
  <c r="D20" i="10"/>
  <c r="M8" i="10"/>
  <c r="C7" i="17"/>
  <c r="C23" i="17" s="1"/>
  <c r="M9" i="10"/>
  <c r="C8" i="17"/>
  <c r="C26" i="17" s="1"/>
  <c r="M10" i="10"/>
  <c r="C9" i="17"/>
  <c r="C27" i="17" s="1"/>
  <c r="F38" i="4"/>
  <c r="H38" i="4"/>
  <c r="I38" i="4"/>
  <c r="M38" i="4"/>
  <c r="N38" i="4"/>
  <c r="P38" i="4"/>
  <c r="Q38" i="4"/>
  <c r="U38" i="4"/>
  <c r="V38" i="4"/>
  <c r="X38" i="4"/>
  <c r="Y38" i="4"/>
  <c r="AC38" i="4"/>
  <c r="AD38" i="4"/>
  <c r="AF38" i="4"/>
  <c r="G41" i="4"/>
  <c r="H41" i="4"/>
  <c r="J41" i="4"/>
  <c r="K41" i="4"/>
  <c r="O41" i="4"/>
  <c r="P41" i="4"/>
  <c r="R41" i="4"/>
  <c r="S41" i="4"/>
  <c r="W41" i="4"/>
  <c r="X41" i="4"/>
  <c r="Z41" i="4"/>
  <c r="AA41" i="4"/>
  <c r="AB41" i="4"/>
  <c r="AE41" i="4"/>
  <c r="AF41" i="4"/>
  <c r="F42" i="4"/>
  <c r="I42" i="4"/>
  <c r="J42" i="4"/>
  <c r="L42" i="4"/>
  <c r="M42" i="4"/>
  <c r="Q42" i="4"/>
  <c r="R42" i="4"/>
  <c r="T42" i="4"/>
  <c r="U42" i="4"/>
  <c r="Y42" i="4"/>
  <c r="Z42" i="4"/>
  <c r="AB42" i="4"/>
  <c r="AC42" i="4"/>
  <c r="AD42" i="4"/>
  <c r="G43" i="4"/>
  <c r="H43" i="4"/>
  <c r="K43" i="4"/>
  <c r="S43" i="4"/>
  <c r="W43" i="4"/>
  <c r="AA43" i="4"/>
  <c r="AE43" i="4"/>
  <c r="F44" i="4"/>
  <c r="I44" i="4"/>
  <c r="L44" i="4"/>
  <c r="M44" i="4"/>
  <c r="N44" i="4"/>
  <c r="Q44" i="4"/>
  <c r="U44" i="4"/>
  <c r="V44" i="4"/>
  <c r="Y44" i="4"/>
  <c r="AC44" i="4"/>
  <c r="AD44" i="4"/>
  <c r="G45" i="4"/>
  <c r="H45" i="4"/>
  <c r="K45" i="4"/>
  <c r="O45" i="4"/>
  <c r="P45" i="4"/>
  <c r="S45" i="4"/>
  <c r="T45" i="4"/>
  <c r="W45" i="4"/>
  <c r="X45" i="4"/>
  <c r="AA45" i="4"/>
  <c r="AE45" i="4"/>
  <c r="AF45" i="4"/>
  <c r="I47" i="4"/>
  <c r="J47" i="4"/>
  <c r="M47" i="4"/>
  <c r="P47" i="4"/>
  <c r="Q47" i="4"/>
  <c r="R47" i="4"/>
  <c r="U47" i="4"/>
  <c r="Y47" i="4"/>
  <c r="Z47" i="4"/>
  <c r="AC47" i="4"/>
  <c r="F49" i="4"/>
  <c r="G49" i="4"/>
  <c r="H49" i="4"/>
  <c r="I49" i="4"/>
  <c r="J49" i="4"/>
  <c r="K49" i="4"/>
  <c r="L49" i="4"/>
  <c r="M49" i="4"/>
  <c r="N49" i="4"/>
  <c r="O49" i="4"/>
  <c r="P49" i="4"/>
  <c r="Q49" i="4"/>
  <c r="R49" i="4"/>
  <c r="S49" i="4"/>
  <c r="T49" i="4"/>
  <c r="U49" i="4"/>
  <c r="V49" i="4"/>
  <c r="W49" i="4"/>
  <c r="X49" i="4"/>
  <c r="Y49" i="4"/>
  <c r="Z49" i="4"/>
  <c r="AA49" i="4"/>
  <c r="AB49" i="4"/>
  <c r="AC49" i="4"/>
  <c r="AD49" i="4"/>
  <c r="AE49" i="4"/>
  <c r="AF49" i="4"/>
  <c r="N33" i="4"/>
  <c r="AD33" i="4"/>
  <c r="C43" i="4"/>
  <c r="D43" i="4"/>
  <c r="C44" i="4"/>
  <c r="D44" i="4"/>
  <c r="C45" i="4"/>
  <c r="D45" i="4"/>
  <c r="C46" i="4"/>
  <c r="D46" i="4"/>
  <c r="C47" i="4"/>
  <c r="D47" i="4"/>
  <c r="C48" i="4"/>
  <c r="D48" i="4"/>
  <c r="C49" i="4"/>
  <c r="D49" i="4"/>
  <c r="C39" i="4"/>
  <c r="D39" i="4"/>
  <c r="C40" i="4"/>
  <c r="D40" i="4"/>
  <c r="C41" i="4"/>
  <c r="D41" i="4"/>
  <c r="C42" i="4"/>
  <c r="D42" i="4"/>
  <c r="D38" i="4"/>
  <c r="C38" i="4"/>
  <c r="C19" i="10"/>
  <c r="D19" i="10"/>
  <c r="L19" i="10"/>
  <c r="B16" i="17" s="1"/>
  <c r="B41" i="17" s="1"/>
  <c r="M19" i="10"/>
  <c r="C16" i="17" s="1"/>
  <c r="C41" i="17" s="1"/>
  <c r="A57" i="47"/>
  <c r="E7" i="50"/>
  <c r="L7" i="10"/>
  <c r="B6" i="17" s="1"/>
  <c r="B22" i="17" s="1"/>
  <c r="M7" i="10"/>
  <c r="C6" i="17" s="1"/>
  <c r="C22" i="17" s="1"/>
  <c r="L8" i="10"/>
  <c r="B7" i="17" s="1"/>
  <c r="B23" i="17" s="1"/>
  <c r="L9" i="10"/>
  <c r="B8" i="17" s="1"/>
  <c r="B26" i="17" s="1"/>
  <c r="L10" i="10"/>
  <c r="B9" i="17"/>
  <c r="B27" i="17" s="1"/>
  <c r="L11" i="10"/>
  <c r="B10" i="17"/>
  <c r="B28" i="17" s="1"/>
  <c r="M11" i="10"/>
  <c r="C10" i="17"/>
  <c r="C28" i="17" s="1"/>
  <c r="L17" i="10"/>
  <c r="B14" i="17" s="1"/>
  <c r="B34" i="17" s="1"/>
  <c r="M17" i="10"/>
  <c r="C14" i="17" s="1"/>
  <c r="C34" i="17" s="1"/>
  <c r="L18" i="10"/>
  <c r="B15" i="17" s="1"/>
  <c r="B40" i="17" s="1"/>
  <c r="M18" i="10"/>
  <c r="C15" i="17" s="1"/>
  <c r="C40" i="17" s="1"/>
  <c r="E22" i="17"/>
  <c r="D18" i="10"/>
  <c r="C18" i="10"/>
  <c r="C13" i="10"/>
  <c r="C11" i="10"/>
  <c r="C10" i="10"/>
  <c r="C9" i="10"/>
  <c r="C8" i="10"/>
  <c r="D7" i="10"/>
  <c r="B7" i="50"/>
  <c r="C7" i="10"/>
  <c r="D24" i="10"/>
  <c r="C24" i="10"/>
  <c r="D27" i="10"/>
  <c r="C27" i="10"/>
  <c r="D26" i="10"/>
  <c r="C26" i="10"/>
  <c r="D25" i="10"/>
  <c r="C25" i="10"/>
  <c r="AH25" i="4"/>
  <c r="AH20" i="4"/>
  <c r="C48" i="50"/>
  <c r="C49" i="50" s="1"/>
  <c r="C36" i="50"/>
  <c r="C7" i="50"/>
  <c r="D7" i="50"/>
  <c r="C14" i="50"/>
  <c r="A14" i="50"/>
  <c r="E33" i="4"/>
  <c r="X42" i="17" l="1"/>
  <c r="X41" i="17" s="1"/>
  <c r="Y42" i="17"/>
  <c r="Y41" i="17" s="1"/>
  <c r="Z42" i="17"/>
  <c r="Z41" i="17" s="1"/>
  <c r="AA42" i="17"/>
  <c r="AA41" i="17" s="1"/>
  <c r="AB42" i="17"/>
  <c r="AB41" i="17" s="1"/>
  <c r="AC42" i="17"/>
  <c r="AC41" i="17" s="1"/>
  <c r="AD42" i="17"/>
  <c r="AD41" i="17" s="1"/>
  <c r="AE42" i="17"/>
  <c r="AE41" i="17" s="1"/>
  <c r="AF42" i="17"/>
  <c r="AF41" i="17" s="1"/>
  <c r="AG42" i="17"/>
  <c r="AG41" i="17" s="1"/>
  <c r="AH42" i="17"/>
  <c r="AH41" i="17" s="1"/>
  <c r="AI42" i="17"/>
  <c r="AI41" i="17" s="1"/>
  <c r="AJ42" i="17"/>
  <c r="AJ41" i="17" s="1"/>
  <c r="J42" i="17"/>
  <c r="J41" i="17" s="1"/>
  <c r="K42" i="17"/>
  <c r="K41" i="17" s="1"/>
  <c r="L42" i="17"/>
  <c r="L41" i="17" s="1"/>
  <c r="M42" i="17"/>
  <c r="M41" i="17" s="1"/>
  <c r="N42" i="17"/>
  <c r="N41" i="17" s="1"/>
  <c r="O42" i="17"/>
  <c r="O41" i="17" s="1"/>
  <c r="P42" i="17"/>
  <c r="P41" i="17" s="1"/>
  <c r="Q42" i="17"/>
  <c r="Q41" i="17" s="1"/>
  <c r="R42" i="17"/>
  <c r="R41" i="17" s="1"/>
  <c r="S42" i="17"/>
  <c r="S41" i="17" s="1"/>
  <c r="T42" i="17"/>
  <c r="T41" i="17" s="1"/>
  <c r="U42" i="17"/>
  <c r="U41" i="17" s="1"/>
  <c r="V42" i="17"/>
  <c r="V41" i="17" s="1"/>
  <c r="W42" i="17"/>
  <c r="W41" i="17" s="1"/>
  <c r="I42" i="17"/>
  <c r="I41" i="17" s="1"/>
  <c r="C47" i="50"/>
  <c r="V24" i="17"/>
  <c r="AD24" i="17"/>
  <c r="S25" i="17"/>
  <c r="AA25" i="17"/>
  <c r="AI25" i="17"/>
  <c r="P24" i="17"/>
  <c r="P25" i="17"/>
  <c r="AC24" i="17"/>
  <c r="W24" i="17"/>
  <c r="AE24" i="17"/>
  <c r="T25" i="17"/>
  <c r="AB25" i="17"/>
  <c r="AJ25" i="17"/>
  <c r="Q24" i="17"/>
  <c r="Q25" i="17"/>
  <c r="AH25" i="17"/>
  <c r="X24" i="17"/>
  <c r="AF24" i="17"/>
  <c r="U25" i="17"/>
  <c r="AC25" i="17"/>
  <c r="J24" i="17"/>
  <c r="J25" i="17"/>
  <c r="I25" i="17"/>
  <c r="O24" i="17"/>
  <c r="Y24" i="17"/>
  <c r="AG24" i="17"/>
  <c r="V25" i="17"/>
  <c r="AD25" i="17"/>
  <c r="K24" i="17"/>
  <c r="K25" i="17"/>
  <c r="I24" i="17"/>
  <c r="I23" i="17" s="1"/>
  <c r="U24" i="17"/>
  <c r="U23" i="17" s="1"/>
  <c r="R24" i="17"/>
  <c r="Z24" i="17"/>
  <c r="AH24" i="17"/>
  <c r="W25" i="17"/>
  <c r="AE25" i="17"/>
  <c r="L24" i="17"/>
  <c r="L25" i="17"/>
  <c r="Z25" i="17"/>
  <c r="S24" i="17"/>
  <c r="S23" i="17" s="1"/>
  <c r="AA24" i="17"/>
  <c r="AA23" i="17" s="1"/>
  <c r="AI24" i="17"/>
  <c r="X25" i="17"/>
  <c r="AF25" i="17"/>
  <c r="M24" i="17"/>
  <c r="M25" i="17"/>
  <c r="O25" i="17"/>
  <c r="T24" i="17"/>
  <c r="T23" i="17" s="1"/>
  <c r="AB24" i="17"/>
  <c r="AB23" i="17" s="1"/>
  <c r="AJ24" i="17"/>
  <c r="Y25" i="17"/>
  <c r="AG25" i="17"/>
  <c r="N24" i="17"/>
  <c r="N25" i="17"/>
  <c r="R25" i="17"/>
  <c r="AC38" i="17"/>
  <c r="AI37" i="17"/>
  <c r="AA37" i="17"/>
  <c r="V37" i="17"/>
  <c r="Q37" i="17"/>
  <c r="K37" i="17"/>
  <c r="I38" i="17"/>
  <c r="AD37" i="17"/>
  <c r="AJ38" i="17"/>
  <c r="AB38" i="17"/>
  <c r="AH37" i="17"/>
  <c r="Z37" i="17"/>
  <c r="S38" i="17"/>
  <c r="R37" i="17"/>
  <c r="L37" i="17"/>
  <c r="S37" i="17"/>
  <c r="J37" i="17"/>
  <c r="AI38" i="17"/>
  <c r="AA38" i="17"/>
  <c r="AG37" i="17"/>
  <c r="Y37" i="17"/>
  <c r="T38" i="17"/>
  <c r="N38" i="17"/>
  <c r="M37" i="17"/>
  <c r="N37" i="17"/>
  <c r="L38" i="17"/>
  <c r="AH38" i="17"/>
  <c r="Z38" i="17"/>
  <c r="AF37" i="17"/>
  <c r="X37" i="17"/>
  <c r="U38" i="17"/>
  <c r="O38" i="17"/>
  <c r="J38" i="17"/>
  <c r="X38" i="17"/>
  <c r="I37" i="17"/>
  <c r="AG38" i="17"/>
  <c r="Y38" i="17"/>
  <c r="AE37" i="17"/>
  <c r="W37" i="17"/>
  <c r="V38" i="17"/>
  <c r="P38" i="17"/>
  <c r="K38" i="17"/>
  <c r="AF38" i="17"/>
  <c r="Q38" i="17"/>
  <c r="P37" i="17"/>
  <c r="AE38" i="17"/>
  <c r="W38" i="17"/>
  <c r="AC37" i="17"/>
  <c r="T37" i="17"/>
  <c r="O37" i="17"/>
  <c r="R38" i="17"/>
  <c r="M38" i="17"/>
  <c r="AD38" i="17"/>
  <c r="AJ37" i="17"/>
  <c r="AB37" i="17"/>
  <c r="U37" i="17"/>
  <c r="L35" i="17"/>
  <c r="X39" i="17"/>
  <c r="V36" i="17"/>
  <c r="P35" i="17"/>
  <c r="AB39" i="17"/>
  <c r="L39" i="17"/>
  <c r="AI29" i="17"/>
  <c r="P7" i="50"/>
  <c r="P25" i="50" s="1"/>
  <c r="AB36" i="17"/>
  <c r="T35" i="17"/>
  <c r="R35" i="17"/>
  <c r="X31" i="17"/>
  <c r="L31" i="17"/>
  <c r="AB33" i="4"/>
  <c r="L33" i="4"/>
  <c r="J43" i="4"/>
  <c r="J50" i="4" s="1"/>
  <c r="N35" i="17"/>
  <c r="Z35" i="17"/>
  <c r="R40" i="4"/>
  <c r="AE31" i="17"/>
  <c r="P36" i="17"/>
  <c r="P31" i="17"/>
  <c r="J31" i="17"/>
  <c r="R29" i="17"/>
  <c r="J35" i="17"/>
  <c r="I33" i="4"/>
  <c r="P29" i="17"/>
  <c r="V35" i="17"/>
  <c r="R31" i="17"/>
  <c r="H33" i="4"/>
  <c r="Z43" i="4"/>
  <c r="AD31" i="17" s="1"/>
  <c r="R43" i="4"/>
  <c r="T7" i="50" s="1"/>
  <c r="T25" i="50" s="1"/>
  <c r="AD43" i="4"/>
  <c r="AD50" i="4" s="1"/>
  <c r="V43" i="4"/>
  <c r="Z31" i="17" s="1"/>
  <c r="J36" i="17"/>
  <c r="AE29" i="17"/>
  <c r="AE30" i="17" s="1"/>
  <c r="V39" i="17"/>
  <c r="T33" i="4"/>
  <c r="T36" i="17"/>
  <c r="AJ39" i="17"/>
  <c r="AG35" i="17"/>
  <c r="Q36" i="17"/>
  <c r="AA31" i="17"/>
  <c r="Y35" i="17"/>
  <c r="AF39" i="17"/>
  <c r="X35" i="17"/>
  <c r="AA29" i="17"/>
  <c r="AB35" i="17"/>
  <c r="I29" i="17"/>
  <c r="I31" i="17"/>
  <c r="N36" i="17"/>
  <c r="AD35" i="17"/>
  <c r="AD36" i="17"/>
  <c r="AJ36" i="17"/>
  <c r="J29" i="17"/>
  <c r="X36" i="17"/>
  <c r="L29" i="17"/>
  <c r="AF35" i="17"/>
  <c r="N39" i="17"/>
  <c r="AJ29" i="17"/>
  <c r="T29" i="17"/>
  <c r="Y43" i="4"/>
  <c r="Y50" i="4" s="1"/>
  <c r="Q43" i="4"/>
  <c r="U29" i="17" s="1"/>
  <c r="I43" i="4"/>
  <c r="M31" i="17" s="1"/>
  <c r="L36" i="17"/>
  <c r="M35" i="17"/>
  <c r="AF36" i="17"/>
  <c r="AJ35" i="17"/>
  <c r="Q35" i="17"/>
  <c r="AH19" i="4"/>
  <c r="Q39" i="17"/>
  <c r="J39" i="17"/>
  <c r="P39" i="17"/>
  <c r="T39" i="17"/>
  <c r="AD39" i="17"/>
  <c r="AF29" i="17"/>
  <c r="K29" i="17"/>
  <c r="R39" i="17"/>
  <c r="R36" i="17"/>
  <c r="W29" i="17"/>
  <c r="S29" i="17"/>
  <c r="AB29" i="17"/>
  <c r="AG36" i="17"/>
  <c r="Y36" i="17"/>
  <c r="W31" i="17"/>
  <c r="AH39" i="17"/>
  <c r="AI31" i="17"/>
  <c r="X29" i="17"/>
  <c r="X30" i="17" s="1"/>
  <c r="K31" i="17"/>
  <c r="M39" i="17"/>
  <c r="Y39" i="17"/>
  <c r="N50" i="4"/>
  <c r="S31" i="17"/>
  <c r="AH7" i="50"/>
  <c r="AH25" i="50" s="1"/>
  <c r="AJ31" i="17"/>
  <c r="Z7" i="50"/>
  <c r="Z25" i="50" s="1"/>
  <c r="AC39" i="17"/>
  <c r="AC35" i="17"/>
  <c r="O31" i="17"/>
  <c r="O29" i="17"/>
  <c r="M36" i="17"/>
  <c r="AH16" i="4"/>
  <c r="K39" i="17"/>
  <c r="AE33" i="4"/>
  <c r="O50" i="4"/>
  <c r="O33" i="4"/>
  <c r="K36" i="17"/>
  <c r="G33" i="4"/>
  <c r="U33" i="4"/>
  <c r="K44" i="4"/>
  <c r="AH17" i="4"/>
  <c r="AI39" i="17"/>
  <c r="W50" i="4"/>
  <c r="W33" i="4"/>
  <c r="AC33" i="4"/>
  <c r="AH7" i="4"/>
  <c r="M33" i="4"/>
  <c r="AF31" i="17"/>
  <c r="AH18" i="4"/>
  <c r="AC36" i="17"/>
  <c r="Q33" i="4"/>
  <c r="V31" i="17"/>
  <c r="Z29" i="17"/>
  <c r="X50" i="4"/>
  <c r="H50" i="4"/>
  <c r="J7" i="50"/>
  <c r="J25" i="50" s="1"/>
  <c r="AH35" i="17"/>
  <c r="AH36" i="17"/>
  <c r="H7" i="50"/>
  <c r="H25" i="50" s="1"/>
  <c r="F50" i="4"/>
  <c r="AH23" i="4"/>
  <c r="AC43" i="4"/>
  <c r="AE7" i="50" s="1"/>
  <c r="U43" i="4"/>
  <c r="W7" i="50" s="1"/>
  <c r="M43" i="4"/>
  <c r="M50" i="4" s="1"/>
  <c r="AI35" i="17"/>
  <c r="K35" i="17"/>
  <c r="AA33" i="4"/>
  <c r="S33" i="4"/>
  <c r="K33" i="4"/>
  <c r="M29" i="17"/>
  <c r="AH24" i="4"/>
  <c r="Y33" i="4"/>
  <c r="R7" i="50"/>
  <c r="R25" i="50" s="1"/>
  <c r="AF7" i="50"/>
  <c r="AF25" i="50" s="1"/>
  <c r="AH26" i="4"/>
  <c r="AG7" i="50"/>
  <c r="AG25" i="50" s="1"/>
  <c r="P50" i="4"/>
  <c r="AH21" i="4"/>
  <c r="AG39" i="17"/>
  <c r="T31" i="17"/>
  <c r="O35" i="17"/>
  <c r="W36" i="17"/>
  <c r="AA50" i="4"/>
  <c r="AH12" i="4"/>
  <c r="AF50" i="4"/>
  <c r="AB31" i="17"/>
  <c r="AH13" i="4"/>
  <c r="AH14" i="4"/>
  <c r="AD7" i="50"/>
  <c r="AD25" i="50" s="1"/>
  <c r="V7" i="50"/>
  <c r="V25" i="50" s="1"/>
  <c r="L50" i="4"/>
  <c r="T50" i="4"/>
  <c r="AB50" i="4"/>
  <c r="N7" i="50"/>
  <c r="AH22" i="4"/>
  <c r="I36" i="17"/>
  <c r="E41" i="4"/>
  <c r="AH11" i="4"/>
  <c r="N33" i="50" l="1"/>
  <c r="N25" i="50"/>
  <c r="W33" i="50"/>
  <c r="W25" i="50"/>
  <c r="AE33" i="50"/>
  <c r="AE25" i="50"/>
  <c r="V29" i="50"/>
  <c r="V33" i="50"/>
  <c r="AD26" i="50"/>
  <c r="AD33" i="50"/>
  <c r="AG24" i="50"/>
  <c r="AG38" i="50" s="1"/>
  <c r="AG33" i="50"/>
  <c r="AF32" i="50"/>
  <c r="AF46" i="50" s="1"/>
  <c r="AF33" i="50"/>
  <c r="R28" i="50"/>
  <c r="R42" i="50" s="1"/>
  <c r="R33" i="50"/>
  <c r="H22" i="50"/>
  <c r="H33" i="50"/>
  <c r="J29" i="50"/>
  <c r="J47" i="50" s="1"/>
  <c r="J33" i="50"/>
  <c r="Z24" i="50"/>
  <c r="Z38" i="50" s="1"/>
  <c r="Z33" i="50"/>
  <c r="AH22" i="50"/>
  <c r="AH33" i="50"/>
  <c r="T26" i="50"/>
  <c r="T33" i="50"/>
  <c r="P20" i="50"/>
  <c r="P33" i="50"/>
  <c r="Y23" i="17"/>
  <c r="X23" i="17"/>
  <c r="W23" i="17"/>
  <c r="AC23" i="17"/>
  <c r="N23" i="17"/>
  <c r="M23" i="17"/>
  <c r="Q23" i="17"/>
  <c r="L23" i="17"/>
  <c r="P23" i="17"/>
  <c r="AJ23" i="17"/>
  <c r="AI23" i="17"/>
  <c r="AG23" i="17"/>
  <c r="AF23" i="17"/>
  <c r="AE23" i="17"/>
  <c r="AD23" i="17"/>
  <c r="O23" i="17"/>
  <c r="K23" i="17"/>
  <c r="J23" i="17"/>
  <c r="AH23" i="17"/>
  <c r="Z23" i="17"/>
  <c r="R23" i="17"/>
  <c r="V23" i="17"/>
  <c r="M30" i="17"/>
  <c r="K7" i="50"/>
  <c r="K25" i="50" s="1"/>
  <c r="I50" i="4"/>
  <c r="AH31" i="17"/>
  <c r="AH29" i="17"/>
  <c r="R50" i="4"/>
  <c r="R52" i="4" s="1"/>
  <c r="V29" i="17"/>
  <c r="P21" i="50"/>
  <c r="P35" i="50" s="1"/>
  <c r="P29" i="50"/>
  <c r="L30" i="17"/>
  <c r="AB34" i="17"/>
  <c r="P34" i="17"/>
  <c r="X34" i="17"/>
  <c r="AJ30" i="17"/>
  <c r="P27" i="50"/>
  <c r="P31" i="50"/>
  <c r="P45" i="50" s="1"/>
  <c r="N31" i="17"/>
  <c r="P28" i="50"/>
  <c r="P42" i="50" s="1"/>
  <c r="P24" i="50"/>
  <c r="P38" i="50" s="1"/>
  <c r="N29" i="17"/>
  <c r="AB7" i="50"/>
  <c r="AB25" i="50" s="1"/>
  <c r="AD29" i="17"/>
  <c r="AD30" i="17" s="1"/>
  <c r="L7" i="50"/>
  <c r="L25" i="50" s="1"/>
  <c r="P22" i="50"/>
  <c r="P36" i="50" s="1"/>
  <c r="Z50" i="4"/>
  <c r="Z52" i="4" s="1"/>
  <c r="P26" i="50"/>
  <c r="P23" i="50"/>
  <c r="P37" i="50" s="1"/>
  <c r="P32" i="50"/>
  <c r="P46" i="50" s="1"/>
  <c r="AD34" i="17"/>
  <c r="I30" i="17"/>
  <c r="L34" i="17"/>
  <c r="Y31" i="17"/>
  <c r="U31" i="17"/>
  <c r="U30" i="17" s="1"/>
  <c r="AI30" i="17"/>
  <c r="AC29" i="17"/>
  <c r="J30" i="17"/>
  <c r="P30" i="17"/>
  <c r="AA30" i="17"/>
  <c r="J34" i="17"/>
  <c r="AH32" i="50"/>
  <c r="AH46" i="50" s="1"/>
  <c r="AH21" i="50"/>
  <c r="AH35" i="50" s="1"/>
  <c r="AH26" i="50"/>
  <c r="AH20" i="50"/>
  <c r="AH24" i="50"/>
  <c r="AH38" i="50" s="1"/>
  <c r="AH28" i="50"/>
  <c r="AH42" i="50" s="1"/>
  <c r="V34" i="17"/>
  <c r="AF34" i="17"/>
  <c r="K30" i="17"/>
  <c r="R34" i="17"/>
  <c r="R30" i="17"/>
  <c r="N34" i="17"/>
  <c r="AC31" i="17"/>
  <c r="Z36" i="17"/>
  <c r="AG34" i="17"/>
  <c r="Z30" i="17"/>
  <c r="T34" i="17"/>
  <c r="AJ34" i="17"/>
  <c r="V50" i="4"/>
  <c r="AF30" i="17"/>
  <c r="Z39" i="17"/>
  <c r="AA7" i="50"/>
  <c r="AA25" i="50" s="1"/>
  <c r="Q34" i="17"/>
  <c r="I39" i="17"/>
  <c r="X7" i="50"/>
  <c r="X25" i="50" s="1"/>
  <c r="AD52" i="4"/>
  <c r="T30" i="17"/>
  <c r="W30" i="17"/>
  <c r="S30" i="17"/>
  <c r="AB30" i="17"/>
  <c r="M34" i="17"/>
  <c r="Y34" i="17"/>
  <c r="AG31" i="17"/>
  <c r="W35" i="17"/>
  <c r="E50" i="4"/>
  <c r="E52" i="4" s="1"/>
  <c r="T20" i="50"/>
  <c r="AA24" i="50"/>
  <c r="AA38" i="50" s="1"/>
  <c r="W52" i="4"/>
  <c r="H23" i="50"/>
  <c r="H37" i="50" s="1"/>
  <c r="N52" i="4"/>
  <c r="T22" i="50"/>
  <c r="T36" i="50" s="1"/>
  <c r="T52" i="4"/>
  <c r="AH29" i="50"/>
  <c r="AH47" i="50" s="1"/>
  <c r="J52" i="4"/>
  <c r="T31" i="50"/>
  <c r="T45" i="50" s="1"/>
  <c r="AH23" i="50"/>
  <c r="AH37" i="50" s="1"/>
  <c r="H52" i="4"/>
  <c r="I52" i="4"/>
  <c r="AF52" i="4"/>
  <c r="AB52" i="4"/>
  <c r="L52" i="4"/>
  <c r="P52" i="4"/>
  <c r="X52" i="4"/>
  <c r="F52" i="4"/>
  <c r="AG20" i="50"/>
  <c r="T32" i="50"/>
  <c r="T46" i="50" s="1"/>
  <c r="Z29" i="50"/>
  <c r="Z47" i="50" s="1"/>
  <c r="AG22" i="50"/>
  <c r="AG36" i="50" s="1"/>
  <c r="Z31" i="50"/>
  <c r="Z45" i="50" s="1"/>
  <c r="AG26" i="50"/>
  <c r="AG28" i="50"/>
  <c r="AG42" i="50" s="1"/>
  <c r="V26" i="50"/>
  <c r="Z26" i="50"/>
  <c r="AG32" i="50"/>
  <c r="AG46" i="50" s="1"/>
  <c r="AG23" i="50"/>
  <c r="AG37" i="50" s="1"/>
  <c r="T29" i="50"/>
  <c r="T43" i="50" s="1"/>
  <c r="T39" i="50" s="1"/>
  <c r="V20" i="50"/>
  <c r="Z20" i="50"/>
  <c r="AG21" i="50"/>
  <c r="AG35" i="50" s="1"/>
  <c r="AG29" i="50"/>
  <c r="AG43" i="50" s="1"/>
  <c r="AG39" i="50" s="1"/>
  <c r="T23" i="50"/>
  <c r="T37" i="50" s="1"/>
  <c r="AA32" i="50"/>
  <c r="AA46" i="50" s="1"/>
  <c r="Z28" i="50"/>
  <c r="Z42" i="50" s="1"/>
  <c r="Z27" i="50"/>
  <c r="AG27" i="50"/>
  <c r="H29" i="50"/>
  <c r="H47" i="50" s="1"/>
  <c r="H26" i="50"/>
  <c r="H31" i="50"/>
  <c r="H45" i="50" s="1"/>
  <c r="H21" i="50"/>
  <c r="H35" i="50" s="1"/>
  <c r="H24" i="50"/>
  <c r="H38" i="50" s="1"/>
  <c r="H27" i="50"/>
  <c r="H28" i="50"/>
  <c r="H42" i="50" s="1"/>
  <c r="W21" i="50"/>
  <c r="W35" i="50" s="1"/>
  <c r="W23" i="50"/>
  <c r="W37" i="50" s="1"/>
  <c r="V23" i="50"/>
  <c r="V37" i="50" s="1"/>
  <c r="Z32" i="50"/>
  <c r="Z46" i="50" s="1"/>
  <c r="Z23" i="50"/>
  <c r="Z37" i="50" s="1"/>
  <c r="AH27" i="50"/>
  <c r="AH31" i="50"/>
  <c r="AH45" i="50" s="1"/>
  <c r="V22" i="50"/>
  <c r="V36" i="50" s="1"/>
  <c r="AH34" i="17"/>
  <c r="Z22" i="50"/>
  <c r="Z48" i="50" s="1"/>
  <c r="Y52" i="4"/>
  <c r="AA52" i="4"/>
  <c r="AH33" i="4"/>
  <c r="Z21" i="50"/>
  <c r="Z35" i="50" s="1"/>
  <c r="AD23" i="50"/>
  <c r="AD37" i="50" s="1"/>
  <c r="AC34" i="17"/>
  <c r="AD28" i="50"/>
  <c r="AD42" i="50" s="1"/>
  <c r="O52" i="4"/>
  <c r="V21" i="50"/>
  <c r="V35" i="50" s="1"/>
  <c r="V30" i="17"/>
  <c r="M52" i="4"/>
  <c r="AG31" i="50"/>
  <c r="AG45" i="50" s="1"/>
  <c r="AE31" i="50"/>
  <c r="AE45" i="50" s="1"/>
  <c r="AE26" i="50"/>
  <c r="AE20" i="50"/>
  <c r="AE24" i="50"/>
  <c r="AE38" i="50" s="1"/>
  <c r="AE28" i="50"/>
  <c r="AE42" i="50" s="1"/>
  <c r="AE23" i="50"/>
  <c r="AE37" i="50" s="1"/>
  <c r="AE29" i="50"/>
  <c r="AE32" i="50"/>
  <c r="AE46" i="50" s="1"/>
  <c r="AE21" i="50"/>
  <c r="AE35" i="50" s="1"/>
  <c r="AE22" i="50"/>
  <c r="AF28" i="50"/>
  <c r="AF42" i="50" s="1"/>
  <c r="AD22" i="50"/>
  <c r="AD36" i="50" s="1"/>
  <c r="U39" i="17"/>
  <c r="U35" i="17"/>
  <c r="U36" i="17"/>
  <c r="K34" i="17"/>
  <c r="W20" i="50"/>
  <c r="W28" i="50"/>
  <c r="W42" i="50" s="1"/>
  <c r="W31" i="50"/>
  <c r="W45" i="50" s="1"/>
  <c r="W26" i="50"/>
  <c r="W22" i="50"/>
  <c r="W24" i="50"/>
  <c r="W38" i="50" s="1"/>
  <c r="AE36" i="17"/>
  <c r="AE39" i="17"/>
  <c r="T28" i="50"/>
  <c r="T42" i="50" s="1"/>
  <c r="T24" i="50"/>
  <c r="T38" i="50" s="1"/>
  <c r="V32" i="50"/>
  <c r="V46" i="50" s="1"/>
  <c r="V28" i="50"/>
  <c r="V42" i="50" s="1"/>
  <c r="AD20" i="50"/>
  <c r="S7" i="50"/>
  <c r="I7" i="50"/>
  <c r="R21" i="50"/>
  <c r="R35" i="50" s="1"/>
  <c r="R22" i="50"/>
  <c r="R23" i="50"/>
  <c r="R37" i="50" s="1"/>
  <c r="R31" i="50"/>
  <c r="R45" i="50" s="1"/>
  <c r="R24" i="50"/>
  <c r="R38" i="50" s="1"/>
  <c r="R32" i="50"/>
  <c r="R46" i="50" s="1"/>
  <c r="R26" i="50"/>
  <c r="R27" i="50"/>
  <c r="R20" i="50"/>
  <c r="Q29" i="17"/>
  <c r="AH48" i="50"/>
  <c r="AH36" i="50"/>
  <c r="S36" i="17"/>
  <c r="S35" i="17"/>
  <c r="AA39" i="17"/>
  <c r="O30" i="17"/>
  <c r="K50" i="4"/>
  <c r="J43" i="50"/>
  <c r="J39" i="50" s="1"/>
  <c r="V24" i="50"/>
  <c r="V38" i="50" s="1"/>
  <c r="AD24" i="50"/>
  <c r="AD38" i="50" s="1"/>
  <c r="O39" i="17"/>
  <c r="O36" i="17"/>
  <c r="W39" i="17"/>
  <c r="W27" i="50"/>
  <c r="Y29" i="17"/>
  <c r="W32" i="50"/>
  <c r="W46" i="50" s="1"/>
  <c r="W29" i="50"/>
  <c r="AA36" i="17"/>
  <c r="AA35" i="17"/>
  <c r="AC7" i="50"/>
  <c r="T27" i="50"/>
  <c r="V31" i="50"/>
  <c r="V45" i="50" s="1"/>
  <c r="AD32" i="50"/>
  <c r="AD46" i="50" s="1"/>
  <c r="AD27" i="50"/>
  <c r="G50" i="4"/>
  <c r="Y7" i="50"/>
  <c r="K20" i="50"/>
  <c r="K26" i="50"/>
  <c r="K21" i="50"/>
  <c r="K35" i="50" s="1"/>
  <c r="K31" i="50"/>
  <c r="K45" i="50" s="1"/>
  <c r="K23" i="50"/>
  <c r="K37" i="50" s="1"/>
  <c r="K28" i="50"/>
  <c r="K42" i="50" s="1"/>
  <c r="K24" i="50"/>
  <c r="K38" i="50" s="1"/>
  <c r="K29" i="50"/>
  <c r="AG29" i="17"/>
  <c r="AE27" i="50"/>
  <c r="AE35" i="17"/>
  <c r="AI36" i="17"/>
  <c r="AI34" i="17" s="1"/>
  <c r="AE50" i="4"/>
  <c r="AE52" i="4" s="1"/>
  <c r="AC50" i="4"/>
  <c r="AF21" i="50"/>
  <c r="AF35" i="50" s="1"/>
  <c r="AF22" i="50"/>
  <c r="AF29" i="50"/>
  <c r="AF23" i="50"/>
  <c r="AF37" i="50" s="1"/>
  <c r="AF31" i="50"/>
  <c r="AF45" i="50" s="1"/>
  <c r="AF26" i="50"/>
  <c r="AF20" i="50"/>
  <c r="AF24" i="50"/>
  <c r="AF38" i="50" s="1"/>
  <c r="T21" i="50"/>
  <c r="T35" i="50" s="1"/>
  <c r="V27" i="50"/>
  <c r="AD31" i="50"/>
  <c r="AD45" i="50" s="1"/>
  <c r="AD21" i="50"/>
  <c r="AD35" i="50" s="1"/>
  <c r="Q50" i="4"/>
  <c r="H20" i="50"/>
  <c r="H32" i="50"/>
  <c r="H46" i="50" s="1"/>
  <c r="J22" i="50"/>
  <c r="J24" i="50"/>
  <c r="J38" i="50" s="1"/>
  <c r="J26" i="50"/>
  <c r="J23" i="50"/>
  <c r="J37" i="50" s="1"/>
  <c r="J27" i="50"/>
  <c r="J32" i="50"/>
  <c r="J46" i="50" s="1"/>
  <c r="J20" i="50"/>
  <c r="J28" i="50"/>
  <c r="J42" i="50" s="1"/>
  <c r="J21" i="50"/>
  <c r="J35" i="50" s="1"/>
  <c r="J31" i="50"/>
  <c r="J45" i="50" s="1"/>
  <c r="AF27" i="50"/>
  <c r="Q31" i="17"/>
  <c r="K27" i="50"/>
  <c r="Q7" i="50"/>
  <c r="M7" i="50"/>
  <c r="M25" i="50" s="1"/>
  <c r="O7" i="50"/>
  <c r="S50" i="4"/>
  <c r="AD29" i="50"/>
  <c r="AD43" i="50" s="1"/>
  <c r="AD39" i="50" s="1"/>
  <c r="AA26" i="50"/>
  <c r="AA20" i="50"/>
  <c r="AA28" i="50"/>
  <c r="AA42" i="50" s="1"/>
  <c r="AA21" i="50"/>
  <c r="AA35" i="50" s="1"/>
  <c r="AA23" i="50"/>
  <c r="AA37" i="50" s="1"/>
  <c r="AA31" i="50"/>
  <c r="AA45" i="50" s="1"/>
  <c r="K32" i="50"/>
  <c r="K46" i="50" s="1"/>
  <c r="AA29" i="50"/>
  <c r="R29" i="50"/>
  <c r="S39" i="17"/>
  <c r="U50" i="4"/>
  <c r="U7" i="50"/>
  <c r="AA27" i="50"/>
  <c r="N23" i="50"/>
  <c r="N37" i="50" s="1"/>
  <c r="N29" i="50"/>
  <c r="N31" i="50"/>
  <c r="N45" i="50" s="1"/>
  <c r="N24" i="50"/>
  <c r="N38" i="50" s="1"/>
  <c r="N32" i="50"/>
  <c r="N46" i="50" s="1"/>
  <c r="N22" i="50"/>
  <c r="N20" i="50"/>
  <c r="N26" i="50"/>
  <c r="N21" i="50"/>
  <c r="N35" i="50" s="1"/>
  <c r="N27" i="50"/>
  <c r="N28" i="50"/>
  <c r="N42" i="50" s="1"/>
  <c r="P47" i="50"/>
  <c r="P43" i="50"/>
  <c r="P39" i="50" s="1"/>
  <c r="V43" i="50"/>
  <c r="V39" i="50" s="1"/>
  <c r="V47" i="50"/>
  <c r="H36" i="50"/>
  <c r="H48" i="50"/>
  <c r="G7" i="50"/>
  <c r="G25" i="50" s="1"/>
  <c r="I35" i="17"/>
  <c r="U33" i="50" l="1"/>
  <c r="U25" i="50"/>
  <c r="O33" i="50"/>
  <c r="O25" i="50"/>
  <c r="Q33" i="50"/>
  <c r="Q25" i="50"/>
  <c r="Y33" i="50"/>
  <c r="Y25" i="50"/>
  <c r="AC33" i="50"/>
  <c r="AC25" i="50"/>
  <c r="I33" i="50"/>
  <c r="I25" i="50"/>
  <c r="S33" i="50"/>
  <c r="S25" i="50"/>
  <c r="G31" i="50"/>
  <c r="G45" i="50" s="1"/>
  <c r="G33" i="50"/>
  <c r="M28" i="50"/>
  <c r="M42" i="50" s="1"/>
  <c r="M33" i="50"/>
  <c r="X31" i="50"/>
  <c r="X45" i="50" s="1"/>
  <c r="X33" i="50"/>
  <c r="AA22" i="50"/>
  <c r="AA33" i="50"/>
  <c r="L29" i="50"/>
  <c r="L47" i="50" s="1"/>
  <c r="L33" i="50"/>
  <c r="AB24" i="50"/>
  <c r="AB38" i="50" s="1"/>
  <c r="AB33" i="50"/>
  <c r="K22" i="50"/>
  <c r="K33" i="50"/>
  <c r="AH30" i="17"/>
  <c r="L32" i="50"/>
  <c r="L46" i="50" s="1"/>
  <c r="L26" i="50"/>
  <c r="L20" i="50"/>
  <c r="L23" i="50"/>
  <c r="L37" i="50" s="1"/>
  <c r="L22" i="50"/>
  <c r="L36" i="50" s="1"/>
  <c r="L27" i="50"/>
  <c r="L31" i="50"/>
  <c r="L45" i="50" s="1"/>
  <c r="L24" i="50"/>
  <c r="L38" i="50" s="1"/>
  <c r="L21" i="50"/>
  <c r="L35" i="50" s="1"/>
  <c r="L28" i="50"/>
  <c r="L42" i="50" s="1"/>
  <c r="L43" i="50"/>
  <c r="L39" i="50" s="1"/>
  <c r="AB28" i="50"/>
  <c r="AB42" i="50" s="1"/>
  <c r="AB31" i="50"/>
  <c r="AB45" i="50" s="1"/>
  <c r="P48" i="50"/>
  <c r="AC30" i="17"/>
  <c r="N30" i="17"/>
  <c r="P30" i="50"/>
  <c r="P34" i="50" s="1"/>
  <c r="AB27" i="50"/>
  <c r="AB32" i="50"/>
  <c r="AB46" i="50" s="1"/>
  <c r="AB20" i="50"/>
  <c r="AB26" i="50"/>
  <c r="AB21" i="50"/>
  <c r="AB35" i="50" s="1"/>
  <c r="AB22" i="50"/>
  <c r="AB36" i="50" s="1"/>
  <c r="AB23" i="50"/>
  <c r="AB37" i="50" s="1"/>
  <c r="AB29" i="50"/>
  <c r="AB47" i="50" s="1"/>
  <c r="Y30" i="17"/>
  <c r="X26" i="50"/>
  <c r="X20" i="50"/>
  <c r="X24" i="50"/>
  <c r="X38" i="50" s="1"/>
  <c r="X32" i="50"/>
  <c r="X46" i="50" s="1"/>
  <c r="X21" i="50"/>
  <c r="X35" i="50" s="1"/>
  <c r="X28" i="50"/>
  <c r="X42" i="50" s="1"/>
  <c r="X27" i="50"/>
  <c r="X29" i="50"/>
  <c r="X43" i="50" s="1"/>
  <c r="X39" i="50" s="1"/>
  <c r="V48" i="50"/>
  <c r="AG47" i="50"/>
  <c r="I34" i="17"/>
  <c r="Z34" i="17"/>
  <c r="X23" i="50"/>
  <c r="X37" i="50" s="1"/>
  <c r="AH43" i="50"/>
  <c r="AH39" i="50" s="1"/>
  <c r="X22" i="50"/>
  <c r="X36" i="50" s="1"/>
  <c r="V52" i="4"/>
  <c r="AG30" i="17"/>
  <c r="H43" i="50"/>
  <c r="H39" i="50" s="1"/>
  <c r="W34" i="17"/>
  <c r="Z43" i="50"/>
  <c r="Z39" i="50" s="1"/>
  <c r="T48" i="50"/>
  <c r="Z36" i="50"/>
  <c r="Q52" i="4"/>
  <c r="AC52" i="4"/>
  <c r="U52" i="4"/>
  <c r="S52" i="4"/>
  <c r="G52" i="4"/>
  <c r="K52" i="4"/>
  <c r="AG48" i="50"/>
  <c r="AH30" i="50"/>
  <c r="AH34" i="50" s="1"/>
  <c r="AG30" i="50"/>
  <c r="AG44" i="50" s="1"/>
  <c r="T47" i="50"/>
  <c r="H30" i="50"/>
  <c r="H40" i="50" s="1"/>
  <c r="AA34" i="17"/>
  <c r="Z30" i="50"/>
  <c r="AD47" i="50"/>
  <c r="W30" i="50"/>
  <c r="W44" i="50" s="1"/>
  <c r="O34" i="17"/>
  <c r="AE34" i="17"/>
  <c r="Q30" i="17"/>
  <c r="U26" i="50"/>
  <c r="U27" i="50"/>
  <c r="U21" i="50"/>
  <c r="U35" i="50" s="1"/>
  <c r="U23" i="50"/>
  <c r="U37" i="50" s="1"/>
  <c r="U29" i="50"/>
  <c r="U32" i="50"/>
  <c r="U46" i="50" s="1"/>
  <c r="U22" i="50"/>
  <c r="U31" i="50"/>
  <c r="U45" i="50" s="1"/>
  <c r="U28" i="50"/>
  <c r="U42" i="50" s="1"/>
  <c r="U20" i="50"/>
  <c r="U24" i="50"/>
  <c r="U38" i="50" s="1"/>
  <c r="AF30" i="50"/>
  <c r="K47" i="50"/>
  <c r="K43" i="50"/>
  <c r="K39" i="50" s="1"/>
  <c r="R48" i="50"/>
  <c r="R36" i="50"/>
  <c r="V30" i="50"/>
  <c r="V34" i="50" s="1"/>
  <c r="Y20" i="50"/>
  <c r="Y26" i="50"/>
  <c r="Y21" i="50"/>
  <c r="Y35" i="50" s="1"/>
  <c r="Y27" i="50"/>
  <c r="Y22" i="50"/>
  <c r="Y28" i="50"/>
  <c r="Y42" i="50" s="1"/>
  <c r="Y29" i="50"/>
  <c r="Y32" i="50"/>
  <c r="Y46" i="50" s="1"/>
  <c r="Y23" i="50"/>
  <c r="Y37" i="50" s="1"/>
  <c r="Y24" i="50"/>
  <c r="Y38" i="50" s="1"/>
  <c r="Y31" i="50"/>
  <c r="Y45" i="50" s="1"/>
  <c r="AC23" i="50"/>
  <c r="AC37" i="50" s="1"/>
  <c r="AC29" i="50"/>
  <c r="AC32" i="50"/>
  <c r="AC46" i="50" s="1"/>
  <c r="AC26" i="50"/>
  <c r="AC21" i="50"/>
  <c r="AC35" i="50" s="1"/>
  <c r="AC27" i="50"/>
  <c r="AC22" i="50"/>
  <c r="AC28" i="50"/>
  <c r="AC42" i="50" s="1"/>
  <c r="AC24" i="50"/>
  <c r="AC38" i="50" s="1"/>
  <c r="AC20" i="50"/>
  <c r="AC31" i="50"/>
  <c r="AC45" i="50" s="1"/>
  <c r="AE36" i="50"/>
  <c r="AE48" i="50"/>
  <c r="AE30" i="50"/>
  <c r="I28" i="50"/>
  <c r="I42" i="50" s="1"/>
  <c r="I32" i="50"/>
  <c r="I46" i="50" s="1"/>
  <c r="I26" i="50"/>
  <c r="I20" i="50"/>
  <c r="I27" i="50"/>
  <c r="I21" i="50"/>
  <c r="I35" i="50" s="1"/>
  <c r="I29" i="50"/>
  <c r="I22" i="50"/>
  <c r="I23" i="50"/>
  <c r="I37" i="50" s="1"/>
  <c r="I24" i="50"/>
  <c r="I38" i="50" s="1"/>
  <c r="I31" i="50"/>
  <c r="I45" i="50" s="1"/>
  <c r="K30" i="50"/>
  <c r="O28" i="50"/>
  <c r="O42" i="50" s="1"/>
  <c r="O26" i="50"/>
  <c r="O31" i="50"/>
  <c r="O45" i="50" s="1"/>
  <c r="O20" i="50"/>
  <c r="O24" i="50"/>
  <c r="O38" i="50" s="1"/>
  <c r="O21" i="50"/>
  <c r="O35" i="50" s="1"/>
  <c r="O23" i="50"/>
  <c r="O37" i="50" s="1"/>
  <c r="O29" i="50"/>
  <c r="O32" i="50"/>
  <c r="O46" i="50" s="1"/>
  <c r="O22" i="50"/>
  <c r="J48" i="50"/>
  <c r="J36" i="50"/>
  <c r="S20" i="50"/>
  <c r="S28" i="50"/>
  <c r="S42" i="50" s="1"/>
  <c r="S21" i="50"/>
  <c r="S35" i="50" s="1"/>
  <c r="S26" i="50"/>
  <c r="S23" i="50"/>
  <c r="S37" i="50" s="1"/>
  <c r="S31" i="50"/>
  <c r="S45" i="50" s="1"/>
  <c r="S22" i="50"/>
  <c r="S24" i="50"/>
  <c r="S38" i="50" s="1"/>
  <c r="S29" i="50"/>
  <c r="S32" i="50"/>
  <c r="S46" i="50" s="1"/>
  <c r="S27" i="50"/>
  <c r="R30" i="50"/>
  <c r="AA30" i="50"/>
  <c r="AD30" i="50"/>
  <c r="AD44" i="50" s="1"/>
  <c r="AD48" i="50"/>
  <c r="R47" i="50"/>
  <c r="R43" i="50"/>
  <c r="R39" i="50" s="1"/>
  <c r="M21" i="50"/>
  <c r="M35" i="50" s="1"/>
  <c r="M29" i="50"/>
  <c r="M32" i="50"/>
  <c r="M46" i="50" s="1"/>
  <c r="M26" i="50"/>
  <c r="M23" i="50"/>
  <c r="M37" i="50" s="1"/>
  <c r="M27" i="50"/>
  <c r="M31" i="50"/>
  <c r="M45" i="50" s="1"/>
  <c r="M20" i="50"/>
  <c r="M22" i="50"/>
  <c r="M24" i="50"/>
  <c r="M38" i="50" s="1"/>
  <c r="J30" i="50"/>
  <c r="AF47" i="50"/>
  <c r="AF43" i="50"/>
  <c r="AF39" i="50" s="1"/>
  <c r="W36" i="50"/>
  <c r="W48" i="50"/>
  <c r="U34" i="17"/>
  <c r="AE43" i="50"/>
  <c r="AE39" i="50" s="1"/>
  <c r="AE47" i="50"/>
  <c r="T30" i="50"/>
  <c r="T44" i="50" s="1"/>
  <c r="AA47" i="50"/>
  <c r="AA43" i="50"/>
  <c r="AA39" i="50" s="1"/>
  <c r="Q27" i="50"/>
  <c r="Q20" i="50"/>
  <c r="Q29" i="50"/>
  <c r="Q23" i="50"/>
  <c r="Q37" i="50" s="1"/>
  <c r="Q22" i="50"/>
  <c r="Q32" i="50"/>
  <c r="Q46" i="50" s="1"/>
  <c r="Q28" i="50"/>
  <c r="Q42" i="50" s="1"/>
  <c r="Q26" i="50"/>
  <c r="Q21" i="50"/>
  <c r="Q35" i="50" s="1"/>
  <c r="Q31" i="50"/>
  <c r="Q45" i="50" s="1"/>
  <c r="Q24" i="50"/>
  <c r="Q38" i="50" s="1"/>
  <c r="AF36" i="50"/>
  <c r="AF48" i="50"/>
  <c r="W43" i="50"/>
  <c r="W39" i="50" s="1"/>
  <c r="W47" i="50"/>
  <c r="S34" i="17"/>
  <c r="O27" i="50"/>
  <c r="N47" i="50"/>
  <c r="N43" i="50"/>
  <c r="N39" i="50" s="1"/>
  <c r="N30" i="50"/>
  <c r="N36" i="50"/>
  <c r="N48" i="50"/>
  <c r="G32" i="50"/>
  <c r="G46" i="50" s="1"/>
  <c r="G26" i="50"/>
  <c r="G29" i="50"/>
  <c r="G43" i="50" s="1"/>
  <c r="G39" i="50" s="1"/>
  <c r="G23" i="50"/>
  <c r="G37" i="50" s="1"/>
  <c r="G24" i="50"/>
  <c r="G38" i="50" s="1"/>
  <c r="G28" i="50"/>
  <c r="G42" i="50" s="1"/>
  <c r="G21" i="50"/>
  <c r="G35" i="50" s="1"/>
  <c r="G22" i="50"/>
  <c r="G20" i="50"/>
  <c r="G27" i="50"/>
  <c r="K36" i="50" l="1"/>
  <c r="K48" i="50"/>
  <c r="AA48" i="50"/>
  <c r="AA36" i="50"/>
  <c r="L48" i="50"/>
  <c r="L30" i="50"/>
  <c r="L34" i="50" s="1"/>
  <c r="P41" i="50"/>
  <c r="P40" i="50"/>
  <c r="P44" i="50"/>
  <c r="AB48" i="50"/>
  <c r="V41" i="50"/>
  <c r="AB30" i="50"/>
  <c r="AB40" i="50" s="1"/>
  <c r="AB43" i="50"/>
  <c r="AB39" i="50" s="1"/>
  <c r="X47" i="50"/>
  <c r="X30" i="50"/>
  <c r="V44" i="50"/>
  <c r="X48" i="50"/>
  <c r="AG34" i="50"/>
  <c r="AG40" i="50"/>
  <c r="AG41" i="50"/>
  <c r="G36" i="50"/>
  <c r="G48" i="50"/>
  <c r="V40" i="50"/>
  <c r="H41" i="50"/>
  <c r="AD41" i="50"/>
  <c r="AH40" i="50"/>
  <c r="T40" i="50"/>
  <c r="W34" i="50"/>
  <c r="T41" i="50"/>
  <c r="T34" i="50"/>
  <c r="H44" i="50"/>
  <c r="H34" i="50"/>
  <c r="AD40" i="50"/>
  <c r="AH44" i="50"/>
  <c r="AD34" i="50"/>
  <c r="AH41" i="50"/>
  <c r="Z44" i="50"/>
  <c r="Z41" i="50"/>
  <c r="Z40" i="50"/>
  <c r="Z34" i="50"/>
  <c r="Q30" i="50"/>
  <c r="Q44" i="50" s="1"/>
  <c r="W40" i="50"/>
  <c r="W41" i="50"/>
  <c r="U36" i="50"/>
  <c r="U48" i="50"/>
  <c r="R44" i="50"/>
  <c r="R41" i="50"/>
  <c r="R40" i="50"/>
  <c r="R34" i="50"/>
  <c r="O30" i="50"/>
  <c r="Y47" i="50"/>
  <c r="Y43" i="50"/>
  <c r="Y39" i="50" s="1"/>
  <c r="M48" i="50"/>
  <c r="M36" i="50"/>
  <c r="M47" i="50"/>
  <c r="M43" i="50"/>
  <c r="M39" i="50" s="1"/>
  <c r="I48" i="50"/>
  <c r="I36" i="50"/>
  <c r="AC30" i="50"/>
  <c r="AF40" i="50"/>
  <c r="AF34" i="50"/>
  <c r="AF41" i="50"/>
  <c r="AF44" i="50"/>
  <c r="U47" i="50"/>
  <c r="U43" i="50"/>
  <c r="U39" i="50" s="1"/>
  <c r="M30" i="50"/>
  <c r="O36" i="50"/>
  <c r="O48" i="50"/>
  <c r="I47" i="50"/>
  <c r="I43" i="50"/>
  <c r="I39" i="50" s="1"/>
  <c r="AC47" i="50"/>
  <c r="AC43" i="50"/>
  <c r="AC39" i="50" s="1"/>
  <c r="Y48" i="50"/>
  <c r="Y36" i="50"/>
  <c r="S47" i="50"/>
  <c r="S43" i="50"/>
  <c r="S39" i="50" s="1"/>
  <c r="AE41" i="50"/>
  <c r="AE44" i="50"/>
  <c r="AE34" i="50"/>
  <c r="AE40" i="50"/>
  <c r="J40" i="50"/>
  <c r="J44" i="50"/>
  <c r="J41" i="50"/>
  <c r="J34" i="50"/>
  <c r="Q36" i="50"/>
  <c r="Q48" i="50"/>
  <c r="O47" i="50"/>
  <c r="O43" i="50"/>
  <c r="O39" i="50" s="1"/>
  <c r="U30" i="50"/>
  <c r="S30" i="50"/>
  <c r="S48" i="50"/>
  <c r="S36" i="50"/>
  <c r="K41" i="50"/>
  <c r="K44" i="50"/>
  <c r="K40" i="50"/>
  <c r="K34" i="50"/>
  <c r="I30" i="50"/>
  <c r="AC36" i="50"/>
  <c r="AC48" i="50"/>
  <c r="AA34" i="50"/>
  <c r="AA40" i="50"/>
  <c r="AA41" i="50"/>
  <c r="AA44" i="50"/>
  <c r="Q47" i="50"/>
  <c r="Q43" i="50"/>
  <c r="Q39" i="50" s="1"/>
  <c r="Y30" i="50"/>
  <c r="N40" i="50"/>
  <c r="N34" i="50"/>
  <c r="N41" i="50"/>
  <c r="N44" i="50"/>
  <c r="G47" i="50"/>
  <c r="G30" i="50"/>
  <c r="G40" i="50" s="1"/>
  <c r="L44" i="50" l="1"/>
  <c r="L41" i="50"/>
  <c r="L40" i="50"/>
  <c r="AB41" i="50"/>
  <c r="AB44" i="50"/>
  <c r="AB34" i="50"/>
  <c r="X34" i="50"/>
  <c r="X44" i="50"/>
  <c r="X41" i="50"/>
  <c r="X40" i="50"/>
  <c r="Q40" i="50"/>
  <c r="Q34" i="50"/>
  <c r="Q41" i="50"/>
  <c r="U34" i="50"/>
  <c r="U40" i="50"/>
  <c r="U44" i="50"/>
  <c r="U41" i="50"/>
  <c r="O44" i="50"/>
  <c r="O41" i="50"/>
  <c r="O40" i="50"/>
  <c r="O34" i="50"/>
  <c r="AC40" i="50"/>
  <c r="AC41" i="50"/>
  <c r="AC34" i="50"/>
  <c r="AC44" i="50"/>
  <c r="M40" i="50"/>
  <c r="M34" i="50"/>
  <c r="M41" i="50"/>
  <c r="M44" i="50"/>
  <c r="I40" i="50"/>
  <c r="I34" i="50"/>
  <c r="I41" i="50"/>
  <c r="I44" i="50"/>
  <c r="Y34" i="50"/>
  <c r="Y41" i="50"/>
  <c r="Y40" i="50"/>
  <c r="Y44" i="50"/>
  <c r="S40" i="50"/>
  <c r="S34" i="50"/>
  <c r="S44" i="50"/>
  <c r="S41" i="50"/>
  <c r="G34" i="50"/>
  <c r="G41" i="50"/>
  <c r="G44" i="5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5" authorId="0" shapeId="0" xr:uid="{00000000-0006-0000-1000-000001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5" authorId="0" shapeId="0" xr:uid="{00000000-0006-0000-1000-000002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5" authorId="0" shapeId="0" xr:uid="{00000000-0006-0000-1000-000003000000}">
      <text>
        <r>
          <rPr>
            <sz val="8"/>
            <color indexed="81"/>
            <rFont val="Tahoma"/>
            <family val="2"/>
          </rPr>
          <t xml:space="preserve">
Needed only when one wants to override the VEDA default assignment
</t>
        </r>
      </text>
    </comment>
    <comment ref="R5" authorId="0" shapeId="0" xr:uid="{00000000-0006-0000-1000-000004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List>
</comments>
</file>

<file path=xl/sharedStrings.xml><?xml version="1.0" encoding="utf-8"?>
<sst xmlns="http://schemas.openxmlformats.org/spreadsheetml/2006/main" count="892" uniqueCount="299">
  <si>
    <t>LPG</t>
  </si>
  <si>
    <t>BRA</t>
  </si>
  <si>
    <t>CAN</t>
  </si>
  <si>
    <t>CHN</t>
  </si>
  <si>
    <t>IDN</t>
  </si>
  <si>
    <t>IND</t>
  </si>
  <si>
    <t>JPN</t>
  </si>
  <si>
    <t>LAM</t>
  </si>
  <si>
    <t>MEA</t>
  </si>
  <si>
    <t>MEX</t>
  </si>
  <si>
    <t>RUS</t>
  </si>
  <si>
    <t>USA</t>
  </si>
  <si>
    <t>PJ</t>
  </si>
  <si>
    <t>ELC</t>
  </si>
  <si>
    <t>SOL</t>
  </si>
  <si>
    <t>Table 1</t>
  </si>
  <si>
    <t>Coal</t>
  </si>
  <si>
    <t>Electricity</t>
  </si>
  <si>
    <t>Heat</t>
  </si>
  <si>
    <t>Geothermal</t>
  </si>
  <si>
    <t>Solar</t>
  </si>
  <si>
    <t>Document type:</t>
  </si>
  <si>
    <t>Table of contents</t>
  </si>
  <si>
    <t>Sheet</t>
  </si>
  <si>
    <t>Description</t>
  </si>
  <si>
    <t>Cell colour legend</t>
  </si>
  <si>
    <t>Tab colour legend</t>
  </si>
  <si>
    <t>VEDA-TIMES data input tables</t>
  </si>
  <si>
    <t>Model regions</t>
  </si>
  <si>
    <t>Code</t>
  </si>
  <si>
    <t>~FI_T</t>
  </si>
  <si>
    <t>TechName</t>
  </si>
  <si>
    <t>TechDesc</t>
  </si>
  <si>
    <t>EFF</t>
  </si>
  <si>
    <t>CommName</t>
  </si>
  <si>
    <t>CommDesc</t>
  </si>
  <si>
    <t>Attribute</t>
  </si>
  <si>
    <t>Commodities definition</t>
  </si>
  <si>
    <t>Processes definition</t>
  </si>
  <si>
    <t>~FI_Comm</t>
  </si>
  <si>
    <t>~FI_Process</t>
  </si>
  <si>
    <t>Csets</t>
  </si>
  <si>
    <t>Unit</t>
  </si>
  <si>
    <t>LimType</t>
  </si>
  <si>
    <t>CTSLvl</t>
  </si>
  <si>
    <t>PeakTS</t>
  </si>
  <si>
    <t>Ctype</t>
  </si>
  <si>
    <t>Sets</t>
  </si>
  <si>
    <t>Tact</t>
  </si>
  <si>
    <t>Tcap</t>
  </si>
  <si>
    <t>Tslvl</t>
  </si>
  <si>
    <t>PrimaryCG</t>
  </si>
  <si>
    <t>Vintage</t>
  </si>
  <si>
    <t>Commodity name</t>
  </si>
  <si>
    <t>Technology name</t>
  </si>
  <si>
    <t>Activity unit</t>
  </si>
  <si>
    <t>Capacity unit</t>
  </si>
  <si>
    <t>TimeSlice level of Process Activity</t>
  </si>
  <si>
    <t>Primary Commodity Group</t>
  </si>
  <si>
    <t>Vintage Tracking</t>
  </si>
  <si>
    <t>DEM</t>
  </si>
  <si>
    <t>\I: Commodity set</t>
  </si>
  <si>
    <t>\I: Process Set Membership</t>
  </si>
  <si>
    <t>SHARE-I</t>
  </si>
  <si>
    <t>NRG</t>
  </si>
  <si>
    <t>LTHEAT</t>
  </si>
  <si>
    <t>ENV</t>
  </si>
  <si>
    <t>kt</t>
  </si>
  <si>
    <t>DMD</t>
  </si>
  <si>
    <t>PRE</t>
  </si>
  <si>
    <t>Emissions</t>
  </si>
  <si>
    <t>UP</t>
  </si>
  <si>
    <t>Biogas</t>
  </si>
  <si>
    <t>Total Global</t>
  </si>
  <si>
    <t>\I: Demand Commodities</t>
  </si>
  <si>
    <t>\I: Emissions commodities</t>
  </si>
  <si>
    <t>\I: Energy Commodities</t>
  </si>
  <si>
    <t>\I: Fuel Tech Name</t>
  </si>
  <si>
    <t>Efficiency</t>
  </si>
  <si>
    <t>Max Annual Availability</t>
  </si>
  <si>
    <t>Capacity to Activity Factor</t>
  </si>
  <si>
    <t>Source</t>
  </si>
  <si>
    <t>Sector</t>
  </si>
  <si>
    <t>Brazil</t>
  </si>
  <si>
    <t>Canada</t>
  </si>
  <si>
    <t>India</t>
  </si>
  <si>
    <t>Japan</t>
  </si>
  <si>
    <t>Latin America</t>
  </si>
  <si>
    <t>Mexico</t>
  </si>
  <si>
    <t>Natural gas</t>
  </si>
  <si>
    <t>Grand Total</t>
  </si>
  <si>
    <t>Year</t>
  </si>
  <si>
    <t>Subsector_Desc</t>
  </si>
  <si>
    <t>PEC</t>
  </si>
  <si>
    <t>PEC Desc</t>
  </si>
  <si>
    <t xml:space="preserve">Base Scenario Template </t>
  </si>
  <si>
    <t>Region:</t>
  </si>
  <si>
    <t>Global</t>
  </si>
  <si>
    <t>Sector:</t>
  </si>
  <si>
    <t>Document description:</t>
  </si>
  <si>
    <t>aaa</t>
  </si>
  <si>
    <t>Model input</t>
  </si>
  <si>
    <t>Model input based on own assumptions</t>
  </si>
  <si>
    <t>Calculated value (not recommended to directly modify)</t>
  </si>
  <si>
    <t>Energy balance breakdown and other elaborations</t>
  </si>
  <si>
    <t>External data sources</t>
  </si>
  <si>
    <t>Fuel Techs</t>
  </si>
  <si>
    <t>Codes for processes and commodities names</t>
  </si>
  <si>
    <t>Dimension</t>
  </si>
  <si>
    <t>Fuel types</t>
  </si>
  <si>
    <r>
      <t>CO</t>
    </r>
    <r>
      <rPr>
        <vertAlign val="subscript"/>
        <sz val="11"/>
        <color theme="1"/>
        <rFont val="Calibri"/>
        <family val="2"/>
        <scheme val="minor"/>
      </rPr>
      <t>2eq</t>
    </r>
  </si>
  <si>
    <t>CO2 equivalent: includes all GHG (e.g. CO2, CH4, N2O)</t>
  </si>
  <si>
    <r>
      <t>CO</t>
    </r>
    <r>
      <rPr>
        <vertAlign val="subscript"/>
        <sz val="11"/>
        <color theme="1"/>
        <rFont val="Calibri"/>
        <family val="2"/>
        <scheme val="minor"/>
      </rPr>
      <t>2</t>
    </r>
  </si>
  <si>
    <t>Carbon dioxide</t>
  </si>
  <si>
    <r>
      <t>CH</t>
    </r>
    <r>
      <rPr>
        <vertAlign val="subscript"/>
        <sz val="11"/>
        <color theme="1"/>
        <rFont val="Calibri"/>
        <family val="2"/>
        <scheme val="minor"/>
      </rPr>
      <t>4</t>
    </r>
  </si>
  <si>
    <t>Methane</t>
  </si>
  <si>
    <r>
      <t>N</t>
    </r>
    <r>
      <rPr>
        <vertAlign val="subscript"/>
        <sz val="11"/>
        <color theme="1"/>
        <rFont val="Calibri"/>
        <family val="2"/>
        <scheme val="minor"/>
      </rPr>
      <t>2</t>
    </r>
    <r>
      <rPr>
        <sz val="12"/>
        <color theme="1"/>
        <rFont val="Calibri"/>
        <family val="2"/>
        <scheme val="minor"/>
      </rPr>
      <t>O</t>
    </r>
  </si>
  <si>
    <t>Nitrous oxide</t>
  </si>
  <si>
    <t>Sources</t>
  </si>
  <si>
    <t>Component</t>
  </si>
  <si>
    <t>List of countries</t>
  </si>
  <si>
    <t>PJ-a</t>
  </si>
  <si>
    <t>DayNite</t>
  </si>
  <si>
    <t>Fuel Techs/Distribution Infrastructure</t>
  </si>
  <si>
    <t>Comm-IN</t>
  </si>
  <si>
    <t>Comm-OUT</t>
  </si>
  <si>
    <t>*</t>
  </si>
  <si>
    <t>*TechDesc</t>
  </si>
  <si>
    <t>\I: Fuel Technologies (Infrastructure)</t>
  </si>
  <si>
    <t>*Unit</t>
  </si>
  <si>
    <t>Input Commodity</t>
  </si>
  <si>
    <t>Output Commodity</t>
  </si>
  <si>
    <t>Demands</t>
  </si>
  <si>
    <t>*CommDesc</t>
  </si>
  <si>
    <t>*Commodity</t>
  </si>
  <si>
    <t>year</t>
  </si>
  <si>
    <r>
      <rPr>
        <u/>
        <sz val="11"/>
        <color theme="1"/>
        <rFont val="Calibri"/>
        <family val="2"/>
        <scheme val="minor"/>
      </rPr>
      <t>Veda inputs:</t>
    </r>
    <r>
      <rPr>
        <sz val="12"/>
        <color theme="1"/>
        <rFont val="Calibri"/>
        <family val="2"/>
        <scheme val="minor"/>
      </rPr>
      <t xml:space="preserve"> Characterization of base year demands</t>
    </r>
  </si>
  <si>
    <t>District heating</t>
  </si>
  <si>
    <t>URL</t>
  </si>
  <si>
    <t>Table 1a</t>
  </si>
  <si>
    <t>Access</t>
  </si>
  <si>
    <t>Public</t>
  </si>
  <si>
    <t>Hydrogen</t>
  </si>
  <si>
    <t>Commodities &amp; Processes</t>
  </si>
  <si>
    <t>\I: Existing Technologies (Appliances)</t>
  </si>
  <si>
    <t>NCAP_AFA</t>
  </si>
  <si>
    <t>AFE</t>
  </si>
  <si>
    <t>AFN</t>
  </si>
  <si>
    <t>AFZ</t>
  </si>
  <si>
    <t>AFW</t>
  </si>
  <si>
    <t>ANZ</t>
  </si>
  <si>
    <t>ASC</t>
  </si>
  <si>
    <t>ASE</t>
  </si>
  <si>
    <t>ASO</t>
  </si>
  <si>
    <t>ENE</t>
  </si>
  <si>
    <t>ENW</t>
  </si>
  <si>
    <t>EUE</t>
  </si>
  <si>
    <t>EUW</t>
  </si>
  <si>
    <t>Solid biofuels</t>
  </si>
  <si>
    <t>Liquid biofuels</t>
  </si>
  <si>
    <t>Waste</t>
  </si>
  <si>
    <t>Eastern Africa</t>
  </si>
  <si>
    <t>Northern Africa</t>
  </si>
  <si>
    <t>Southern Africa</t>
  </si>
  <si>
    <t>Western Africa</t>
  </si>
  <si>
    <t>Australia and New Zealand</t>
  </si>
  <si>
    <t>Central Asia</t>
  </si>
  <si>
    <t>Southeast Asia</t>
  </si>
  <si>
    <t>South Asia</t>
  </si>
  <si>
    <t>Non-EU Eastern Europe</t>
  </si>
  <si>
    <t>Non-EU Western Europe</t>
  </si>
  <si>
    <t>Eastern Europe Union</t>
  </si>
  <si>
    <t>Western Europe Union</t>
  </si>
  <si>
    <t>United States</t>
  </si>
  <si>
    <t>BIOGAS</t>
  </si>
  <si>
    <t>GEO</t>
  </si>
  <si>
    <t>GASNAT</t>
  </si>
  <si>
    <t>UNSD Energy Balances</t>
  </si>
  <si>
    <t>Agriculture</t>
  </si>
  <si>
    <t>AGR</t>
  </si>
  <si>
    <t>AGRBGS</t>
  </si>
  <si>
    <t>AGRCOA</t>
  </si>
  <si>
    <t>AGRELC</t>
  </si>
  <si>
    <t>AGRGEO</t>
  </si>
  <si>
    <t>AGRHET</t>
  </si>
  <si>
    <t>AGRBLQ</t>
  </si>
  <si>
    <t>AGRLPG</t>
  </si>
  <si>
    <t>AGRGAS</t>
  </si>
  <si>
    <t>AGROIL</t>
  </si>
  <si>
    <t>AGRSOL</t>
  </si>
  <si>
    <t>AGRCO2e</t>
  </si>
  <si>
    <t>AGRCO2</t>
  </si>
  <si>
    <t>AGRCH4</t>
  </si>
  <si>
    <t>AGRN2O</t>
  </si>
  <si>
    <t>Fuel code</t>
  </si>
  <si>
    <t>Fuel description</t>
  </si>
  <si>
    <t>Agricultural energy balance</t>
  </si>
  <si>
    <t>BIODSL</t>
  </si>
  <si>
    <t>AGRH2G</t>
  </si>
  <si>
    <t>Gaseous hydrogen</t>
  </si>
  <si>
    <t>AGRBIO</t>
  </si>
  <si>
    <t>AGRWAS</t>
  </si>
  <si>
    <t>PRC_CapAct</t>
  </si>
  <si>
    <t>Sign of the equation</t>
  </si>
  <si>
    <t>TIMES attribute</t>
  </si>
  <si>
    <t>COA</t>
  </si>
  <si>
    <t>OILDSL</t>
  </si>
  <si>
    <t>ELCD</t>
  </si>
  <si>
    <t>OILGSL</t>
  </si>
  <si>
    <t>HETD</t>
  </si>
  <si>
    <t>OILKER</t>
  </si>
  <si>
    <t>BIOKER</t>
  </si>
  <si>
    <t>OILLPG</t>
  </si>
  <si>
    <t>OILOPP</t>
  </si>
  <si>
    <t>BIOMASS</t>
  </si>
  <si>
    <t>WASTEN</t>
  </si>
  <si>
    <t>Fuel mix and demands</t>
  </si>
  <si>
    <t>Oil</t>
  </si>
  <si>
    <t>FuelMix &amp; Demands</t>
  </si>
  <si>
    <t>Process efficiency</t>
  </si>
  <si>
    <t>Maximum availability factor</t>
  </si>
  <si>
    <t>Fuel mix</t>
  </si>
  <si>
    <t>This template holds the structure of the Final Energy Consumption in the Agricultural sector (energy-related)</t>
  </si>
  <si>
    <t>Diesel</t>
  </si>
  <si>
    <t>Gasoline</t>
  </si>
  <si>
    <t>Kerosene</t>
  </si>
  <si>
    <t>Liquified Petroleum Gases</t>
  </si>
  <si>
    <t>Natural Gas</t>
  </si>
  <si>
    <t>Wastes</t>
  </si>
  <si>
    <t>Biodiesel</t>
  </si>
  <si>
    <t>Biogasoline</t>
  </si>
  <si>
    <t>bioliquids</t>
  </si>
  <si>
    <t>solid biofuels</t>
  </si>
  <si>
    <t>Non-documented electricity cons.</t>
  </si>
  <si>
    <t>EB_AGR</t>
  </si>
  <si>
    <r>
      <rPr>
        <u/>
        <sz val="11"/>
        <color theme="1"/>
        <rFont val="Calibri"/>
        <family val="2"/>
        <scheme val="minor"/>
      </rPr>
      <t>Veda inputs:</t>
    </r>
    <r>
      <rPr>
        <sz val="11"/>
        <color theme="1"/>
        <rFont val="Calibri"/>
        <family val="2"/>
        <scheme val="minor"/>
      </rPr>
      <t xml:space="preserve"> Definition of sector commodities and processes</t>
    </r>
  </si>
  <si>
    <r>
      <rPr>
        <u/>
        <sz val="11"/>
        <color theme="1"/>
        <rFont val="Calibri"/>
        <family val="2"/>
        <scheme val="minor"/>
      </rPr>
      <t>Veda inputs:</t>
    </r>
    <r>
      <rPr>
        <sz val="11"/>
        <color theme="1"/>
        <rFont val="Calibri"/>
        <family val="2"/>
        <scheme val="minor"/>
      </rPr>
      <t xml:space="preserve"> Description of the sectoral infrastructure technologies (fuel techs)</t>
    </r>
  </si>
  <si>
    <t>USND Energy Balance for Agriculture Sector</t>
  </si>
  <si>
    <t>UNSD Energy Balance</t>
  </si>
  <si>
    <t>Base-year:</t>
  </si>
  <si>
    <t>E4SMA S.r.l.</t>
  </si>
  <si>
    <t>LO</t>
  </si>
  <si>
    <t>Conventions</t>
  </si>
  <si>
    <t>CHL</t>
  </si>
  <si>
    <t>EUM</t>
  </si>
  <si>
    <t>MDA</t>
  </si>
  <si>
    <t>NIG</t>
  </si>
  <si>
    <t>SKT</t>
  </si>
  <si>
    <t>BIOWAS</t>
  </si>
  <si>
    <t>bio wastes</t>
  </si>
  <si>
    <t>Crude oil</t>
  </si>
  <si>
    <t>OILCRD</t>
  </si>
  <si>
    <t>Chile</t>
  </si>
  <si>
    <t>China</t>
  </si>
  <si>
    <t>Mediterranean- Europe Union</t>
  </si>
  <si>
    <t>Indonesia, Philippines, Vietnam</t>
  </si>
  <si>
    <t>Mediterranean Asia</t>
  </si>
  <si>
    <t>Middle East (Gulf States)</t>
  </si>
  <si>
    <t>Nigeria</t>
  </si>
  <si>
    <t>Russia Federation</t>
  </si>
  <si>
    <t>Other oil products</t>
  </si>
  <si>
    <t>OILHFO</t>
  </si>
  <si>
    <t>Heavy fuel oil</t>
  </si>
  <si>
    <t>Ethiopia, Kenya, Sudan, Mauritius, Eritrea, South Sudan, Burundi, Comoros, Djibouti, Madagascar, Reunion, Rwanda, Somalia, Uganda, Seychelles, United Republic of Tanzania</t>
  </si>
  <si>
    <t>Egypt, Algeria, Morocco, Libya, Tunisia</t>
  </si>
  <si>
    <t>Democratic Republic of the Congo, Côte d’Ivoire, Ghana, Cameroon, Gabon, Benin, Senegal, 
Togo, Niger, Congo, Burkina Faso, Cabo Verde, Central African Republic, Chad, Equatorial Guinea, 
Gambia, Guinea, Guinea-Bissau, Liberia, Malawi, Mali, Mauritania, Sao Tome and Principe, Sierra Leone</t>
  </si>
  <si>
    <t>Angola, Mozambique, Zimbabwe, Zambia, Botswana, Namibia, South Africa, Eswatini, Lesotho</t>
  </si>
  <si>
    <t>Australia, New Zealand</t>
  </si>
  <si>
    <t>Kazakhstan, Uzbekistan, Turkmenistan, Azerbaijan, Mongolia, Georgia, Kyrgyzstan, Armenia, Tajikistan, Afghanistan</t>
  </si>
  <si>
    <t>Thailand, Malaysia, Singapore, Myanmar, Cambodia, Brunei Darussalam, Lao People's Democratic Republic, Democratic People's Republic of Korea, Cook Islands, Timor-Leste, Fiji, French Polynesia, Kiribati, New Caledonia, Palau, Papua New Guinea, American Samoa, Solomon Islands, Tonga, Vanuatu, Niue, Samoa, Wallis and Futuna Islands, Micronesia (Federated States of), Nauru, Tuvalu ,Northern Mariana Islands</t>
  </si>
  <si>
    <t>Bangladesh, Nepal, Sri Lanka, Pakistan, Bhutan, Maldives</t>
  </si>
  <si>
    <t>Ukraine, Belarus, Serbia, Bosnia and Herzegovina, Republic of Moldova, Republic of North Macedonia, Kosovo, Albania, Montenegro</t>
  </si>
  <si>
    <t>Norway-Svalbard and Jan Mayen Islands, Switzerland-Liechtenstein, Iceland, United Kingdom of Great Britain and Northern Ireland, Gibraltar, Saint Helena, Liechtenstein</t>
  </si>
  <si>
    <t>Poland, Czechia, Romania, Hungary, Bulgaria, Slovakia, Croatia, Lithuania, Slovenia, Estonia, Latvia</t>
  </si>
  <si>
    <t>France-Monaco, Italy-San Marino, Spain, Greece, Portugal, Cyprus, Malta</t>
  </si>
  <si>
    <t>Germany, Netherlands, Belgium, Sweden, Austria, Finland, Denmark, Ireland, Luxembourg, Greenland, Faroe Islands, Andorra</t>
  </si>
  <si>
    <t>Indonesia, Philippines, Viet Nam</t>
  </si>
  <si>
    <t>Argentina, Venezuela (Bolivarian Republic of), Colombia, Peru, Trinidad and Tobago, Ecuador, Guatemala, Cuba, Bolivia (Plurinational State of), Dominican Republic, Honduras, Paraguay, Uruguay, Costa Rica, El Salvador, Haiti, Panama, Nicaragua, Jamaica, Curaçao, Suriname, Antigua and Barbuda, Aruba, Bahamas, Barbados, Belize, Bermuda, British Virgin Islands, Cayman Islands, Dominica, Falkland Islands (Malvinas), Guyana, Grenada, Guadeloupe, Cooperative Republic of Guyana, Martinique, Montserrat, Puerto Rico, Saba, Bonaire, Sint Eustatius and Saba, Saint Kitts and Nevis, Saint Lucia, Saint Pierre and Miquelon, Saint Vincent and the Grenadines, Saint Martin, Turks and Caicos Islands, Sint Maarten (Dutch part), Anguilla</t>
  </si>
  <si>
    <t>Turkey, Israel, Syrian Arab Republic, Jordan, Lebanon, State of Palestine</t>
  </si>
  <si>
    <t>Iran (Islamic Republic of), Saudi Arabia, United Arab Emirates, Iraq, Qatar, Kuwait, Oman, Bahrain, Yemen</t>
  </si>
  <si>
    <t>COACOL</t>
  </si>
  <si>
    <t>COACOK</t>
  </si>
  <si>
    <t>Coke oven coke</t>
  </si>
  <si>
    <t>Lignite</t>
  </si>
  <si>
    <t>BIOETH</t>
  </si>
  <si>
    <t>BIORNG</t>
  </si>
  <si>
    <t>BIOJET</t>
  </si>
  <si>
    <t>Date</t>
  </si>
  <si>
    <t>Natural gas blend H2</t>
  </si>
  <si>
    <t>AGRH2B</t>
  </si>
  <si>
    <t>Developer:</t>
  </si>
  <si>
    <t xml:space="preserve">Version: </t>
  </si>
  <si>
    <t>Model repository:</t>
  </si>
  <si>
    <t>Licence:</t>
  </si>
  <si>
    <t>CC BY-NC-SA 4.0 (unless specified otherwise)</t>
  </si>
  <si>
    <t>https://creativecommons.org/licenses/by-nc-sa/4.0/</t>
  </si>
  <si>
    <t>OMNIA Model</t>
  </si>
  <si>
    <t>Republic of Korea</t>
  </si>
  <si>
    <t>South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</si>
</sst>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0.0"/>
    <numFmt numFmtId="166" formatCode="\Te\x\t"/>
    <numFmt numFmtId="167" formatCode="#,##0.0000"/>
  </numFmts>
  <fonts count="5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b/>
      <sz val="18"/>
      <color theme="1"/>
      <name val="Calibri"/>
      <family val="2"/>
      <scheme val="minor"/>
    </font>
    <font>
      <b/>
      <u/>
      <sz val="11"/>
      <name val="Calibri"/>
      <family val="2"/>
      <scheme val="minor"/>
    </font>
    <font>
      <u/>
      <sz val="11"/>
      <color theme="10"/>
      <name val="Calibri"/>
      <family val="2"/>
      <scheme val="minor"/>
    </font>
    <font>
      <sz val="11"/>
      <name val="Calibri"/>
      <family val="2"/>
      <scheme val="minor"/>
    </font>
    <font>
      <b/>
      <sz val="16"/>
      <color theme="1"/>
      <name val="Calibri"/>
      <family val="2"/>
      <scheme val="minor"/>
    </font>
    <font>
      <b/>
      <sz val="11"/>
      <color rgb="FFFF0000"/>
      <name val="Calibri"/>
      <family val="2"/>
      <scheme val="minor"/>
    </font>
    <font>
      <b/>
      <sz val="14"/>
      <color theme="1"/>
      <name val="Calibri"/>
      <family val="2"/>
      <scheme val="minor"/>
    </font>
    <font>
      <b/>
      <sz val="11"/>
      <name val="Calibri"/>
      <family val="2"/>
      <scheme val="minor"/>
    </font>
    <font>
      <sz val="10"/>
      <color theme="1"/>
      <name val="Calibri"/>
      <family val="2"/>
      <scheme val="minor"/>
    </font>
    <font>
      <b/>
      <sz val="20"/>
      <color theme="1"/>
      <name val="Calibri"/>
      <family val="2"/>
      <scheme val="minor"/>
    </font>
    <font>
      <sz val="10"/>
      <name val="Arial"/>
      <family val="2"/>
    </font>
    <font>
      <b/>
      <sz val="11"/>
      <color indexed="12"/>
      <name val="Calibri"/>
      <family val="2"/>
      <scheme val="minor"/>
    </font>
    <font>
      <sz val="8"/>
      <color indexed="81"/>
      <name val="Tahoma"/>
      <family val="2"/>
    </font>
    <font>
      <b/>
      <sz val="8"/>
      <color indexed="81"/>
      <name val="Tahoma"/>
      <family val="2"/>
    </font>
    <font>
      <sz val="11"/>
      <color rgb="FF1F497D"/>
      <name val="Calibri"/>
      <family val="2"/>
      <scheme val="minor"/>
    </font>
    <font>
      <b/>
      <sz val="11"/>
      <color theme="1"/>
      <name val="Calibri"/>
      <family val="2"/>
      <scheme val="minor"/>
    </font>
    <font>
      <sz val="10"/>
      <name val="Arial"/>
      <family val="2"/>
    </font>
    <font>
      <sz val="20"/>
      <color rgb="FF1F497D"/>
      <name val="Calibri"/>
      <family val="2"/>
      <scheme val="minor"/>
    </font>
    <font>
      <sz val="10"/>
      <name val="Calibri"/>
      <family val="2"/>
      <scheme val="minor"/>
    </font>
    <font>
      <sz val="12"/>
      <color theme="1"/>
      <name val="Calibri"/>
      <family val="2"/>
      <scheme val="minor"/>
    </font>
    <font>
      <b/>
      <u/>
      <sz val="11"/>
      <color theme="3"/>
      <name val="Calibri"/>
      <family val="2"/>
      <scheme val="minor"/>
    </font>
    <font>
      <sz val="11"/>
      <color theme="3"/>
      <name val="Calibri"/>
      <family val="2"/>
      <scheme val="minor"/>
    </font>
    <font>
      <b/>
      <sz val="14"/>
      <color theme="0"/>
      <name val="Calibri"/>
      <family val="2"/>
      <scheme val="minor"/>
    </font>
    <font>
      <u/>
      <sz val="11"/>
      <color theme="1"/>
      <name val="Calibri"/>
      <family val="2"/>
      <scheme val="minor"/>
    </font>
    <font>
      <vertAlign val="subscript"/>
      <sz val="11"/>
      <color theme="1"/>
      <name val="Calibri"/>
      <family val="2"/>
      <scheme val="minor"/>
    </font>
    <font>
      <sz val="11"/>
      <color rgb="FF000000"/>
      <name val="Calibri"/>
      <family val="2"/>
    </font>
    <font>
      <sz val="11"/>
      <name val="Calibri"/>
      <family val="2"/>
    </font>
    <font>
      <sz val="11"/>
      <color indexed="8"/>
      <name val="Calibri"/>
      <family val="2"/>
    </font>
    <font>
      <sz val="11"/>
      <color theme="1"/>
      <name val="Calibri"/>
      <family val="2"/>
      <charset val="162"/>
      <scheme val="minor"/>
    </font>
    <font>
      <sz val="8"/>
      <name val="Calibri"/>
      <family val="2"/>
      <scheme val="minor"/>
    </font>
    <font>
      <sz val="12"/>
      <name val="Calibri"/>
      <family val="2"/>
      <scheme val="minor"/>
    </font>
    <font>
      <sz val="14"/>
      <name val="Arial"/>
      <family val="2"/>
    </font>
    <font>
      <b/>
      <sz val="10"/>
      <name val="Arial"/>
      <family val="2"/>
    </font>
    <font>
      <b/>
      <sz val="12"/>
      <color theme="1"/>
      <name val="Calibri"/>
      <family val="2"/>
      <scheme val="minor"/>
    </font>
    <font>
      <sz val="12"/>
      <color rgb="FFFF0000"/>
      <name val="Calibri"/>
      <family val="2"/>
      <scheme val="minor"/>
    </font>
    <font>
      <b/>
      <sz val="24"/>
      <color theme="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3"/>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s>
  <borders count="18">
    <border>
      <left/>
      <right/>
      <top/>
      <bottom/>
      <diagonal/>
    </border>
    <border>
      <left/>
      <right/>
      <top style="thin">
        <color theme="0"/>
      </top>
      <bottom style="medium">
        <color theme="0"/>
      </bottom>
      <diagonal/>
    </border>
    <border>
      <left/>
      <right/>
      <top/>
      <bottom style="thin">
        <color indexed="64"/>
      </bottom>
      <diagonal/>
    </border>
    <border>
      <left/>
      <right/>
      <top style="medium">
        <color theme="0"/>
      </top>
      <bottom style="thin">
        <color indexed="64"/>
      </bottom>
      <diagonal/>
    </border>
    <border>
      <left/>
      <right/>
      <top style="thin">
        <color theme="0"/>
      </top>
      <bottom/>
      <diagonal/>
    </border>
    <border>
      <left/>
      <right/>
      <top style="thin">
        <color indexed="64"/>
      </top>
      <bottom style="thin">
        <color indexed="64"/>
      </bottom>
      <diagonal/>
    </border>
    <border>
      <left/>
      <right/>
      <top style="thin">
        <color indexed="64"/>
      </top>
      <bottom/>
      <diagonal/>
    </border>
    <border>
      <left/>
      <right/>
      <top style="medium">
        <color theme="0"/>
      </top>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theme="0"/>
      </top>
      <bottom/>
      <diagonal/>
    </border>
    <border>
      <left/>
      <right/>
      <top/>
      <bottom style="double">
        <color indexed="64"/>
      </bottom>
      <diagonal/>
    </border>
    <border>
      <left style="thin">
        <color theme="0"/>
      </left>
      <right/>
      <top style="thin">
        <color theme="0"/>
      </top>
      <bottom style="medium">
        <color theme="0"/>
      </bottom>
      <diagonal/>
    </border>
    <border>
      <left/>
      <right style="thin">
        <color theme="0"/>
      </right>
      <top style="thin">
        <color theme="0"/>
      </top>
      <bottom style="medium">
        <color theme="0"/>
      </bottom>
      <diagonal/>
    </border>
  </borders>
  <cellStyleXfs count="36">
    <xf numFmtId="0" fontId="0" fillId="0" borderId="0"/>
    <xf numFmtId="0" fontId="21" fillId="0" borderId="0"/>
    <xf numFmtId="0" fontId="21" fillId="0" borderId="0"/>
    <xf numFmtId="0" fontId="25" fillId="0" borderId="0" applyNumberFormat="0" applyFill="0" applyBorder="0" applyAlignment="0" applyProtection="0"/>
    <xf numFmtId="0" fontId="21" fillId="0" borderId="0"/>
    <xf numFmtId="0" fontId="21" fillId="0" borderId="0"/>
    <xf numFmtId="0" fontId="33" fillId="0" borderId="0"/>
    <xf numFmtId="43" fontId="33" fillId="0" borderId="0" applyFont="0" applyFill="0" applyBorder="0" applyAlignment="0" applyProtection="0"/>
    <xf numFmtId="9" fontId="33" fillId="0" borderId="0" applyFont="0" applyFill="0" applyBorder="0" applyAlignment="0" applyProtection="0"/>
    <xf numFmtId="0" fontId="33" fillId="0" borderId="0"/>
    <xf numFmtId="0" fontId="39" fillId="0" borderId="0"/>
    <xf numFmtId="9" fontId="39" fillId="0" borderId="0" applyFont="0" applyFill="0" applyBorder="0" applyAlignment="0" applyProtection="0"/>
    <xf numFmtId="164" fontId="39" fillId="0" borderId="0" applyFont="0" applyFill="0" applyBorder="0" applyAlignment="0" applyProtection="0"/>
    <xf numFmtId="9" fontId="42" fillId="0" borderId="0" applyFont="0" applyFill="0" applyBorder="0" applyAlignment="0" applyProtection="0"/>
    <xf numFmtId="0" fontId="42" fillId="0" borderId="0"/>
    <xf numFmtId="0" fontId="19" fillId="0" borderId="0"/>
    <xf numFmtId="0" fontId="19" fillId="0" borderId="0"/>
    <xf numFmtId="0" fontId="19" fillId="0" borderId="0"/>
    <xf numFmtId="0" fontId="19" fillId="0" borderId="0"/>
    <xf numFmtId="0" fontId="19" fillId="0" borderId="0"/>
    <xf numFmtId="164" fontId="19" fillId="0" borderId="0" applyFont="0" applyFill="0" applyBorder="0" applyAlignment="0" applyProtection="0"/>
    <xf numFmtId="0" fontId="50" fillId="0" borderId="0" applyFill="0" applyProtection="0"/>
    <xf numFmtId="9" fontId="19" fillId="0" borderId="0" applyFont="0" applyFill="0" applyBorder="0" applyAlignment="0" applyProtection="0"/>
    <xf numFmtId="0" fontId="51" fillId="0" borderId="0"/>
    <xf numFmtId="0" fontId="17" fillId="0" borderId="0"/>
    <xf numFmtId="164" fontId="17" fillId="0" borderId="0" applyFont="0" applyFill="0" applyBorder="0" applyAlignment="0" applyProtection="0"/>
    <xf numFmtId="0" fontId="16" fillId="0" borderId="0"/>
    <xf numFmtId="9" fontId="16" fillId="0" borderId="0" applyFont="0" applyFill="0" applyBorder="0" applyAlignment="0" applyProtection="0"/>
    <xf numFmtId="0" fontId="15" fillId="0" borderId="0"/>
    <xf numFmtId="0" fontId="33" fillId="0" borderId="0"/>
    <xf numFmtId="0" fontId="13" fillId="0" borderId="0"/>
    <xf numFmtId="0" fontId="11" fillId="0" borderId="0"/>
    <xf numFmtId="43" fontId="42" fillId="0" borderId="0" applyFont="0" applyFill="0" applyBorder="0" applyAlignment="0" applyProtection="0"/>
    <xf numFmtId="0" fontId="42" fillId="0" borderId="0"/>
    <xf numFmtId="0" fontId="33" fillId="0" borderId="0"/>
    <xf numFmtId="0" fontId="4" fillId="0" borderId="0"/>
  </cellStyleXfs>
  <cellXfs count="178">
    <xf numFmtId="0" fontId="0" fillId="0" borderId="0" xfId="0"/>
    <xf numFmtId="0" fontId="31" fillId="3" borderId="3" xfId="0" applyFont="1" applyFill="1" applyBorder="1" applyAlignment="1">
      <alignment horizontal="left" vertical="center" wrapText="1"/>
    </xf>
    <xf numFmtId="0" fontId="31" fillId="3" borderId="2" xfId="0" applyFont="1" applyFill="1" applyBorder="1" applyAlignment="1">
      <alignment horizontal="left" vertical="center" wrapText="1"/>
    </xf>
    <xf numFmtId="0" fontId="21" fillId="0" borderId="0" xfId="0" applyFont="1" applyAlignment="1">
      <alignment horizontal="left" vertical="center"/>
    </xf>
    <xf numFmtId="0" fontId="32" fillId="0" borderId="0" xfId="0" applyFont="1" applyAlignment="1">
      <alignment horizontal="left" vertical="center"/>
    </xf>
    <xf numFmtId="0" fontId="31" fillId="0" borderId="0" xfId="0" applyFont="1" applyAlignment="1">
      <alignment horizontal="left" vertical="center"/>
    </xf>
    <xf numFmtId="0" fontId="31" fillId="3" borderId="2" xfId="0" applyFont="1" applyFill="1" applyBorder="1" applyAlignment="1">
      <alignment horizontal="left" vertical="center"/>
    </xf>
    <xf numFmtId="0" fontId="30" fillId="0" borderId="0" xfId="1" applyFont="1" applyAlignment="1">
      <alignment horizontal="left" vertical="center"/>
    </xf>
    <xf numFmtId="0" fontId="37" fillId="0" borderId="0" xfId="0" applyFont="1" applyAlignment="1">
      <alignment horizontal="left" vertical="center"/>
    </xf>
    <xf numFmtId="0" fontId="0" fillId="0" borderId="0" xfId="0" applyAlignment="1">
      <alignment horizontal="left" vertical="center"/>
    </xf>
    <xf numFmtId="0" fontId="27" fillId="0" borderId="0" xfId="14" applyFont="1" applyAlignment="1">
      <alignment horizontal="left" vertical="center"/>
    </xf>
    <xf numFmtId="0" fontId="42" fillId="0" borderId="0" xfId="14" applyAlignment="1">
      <alignment horizontal="left" vertical="center"/>
    </xf>
    <xf numFmtId="0" fontId="19" fillId="0" borderId="0" xfId="15" applyAlignment="1">
      <alignment vertical="center"/>
    </xf>
    <xf numFmtId="0" fontId="24" fillId="2" borderId="0" xfId="16" applyFont="1" applyFill="1" applyAlignment="1">
      <alignment vertical="center"/>
    </xf>
    <xf numFmtId="0" fontId="26" fillId="2" borderId="0" xfId="3" applyFont="1" applyFill="1" applyBorder="1" applyAlignment="1">
      <alignment vertical="center"/>
    </xf>
    <xf numFmtId="0" fontId="43" fillId="0" borderId="0" xfId="15" applyFont="1" applyAlignment="1">
      <alignment vertical="center"/>
    </xf>
    <xf numFmtId="0" fontId="28" fillId="0" borderId="0" xfId="15" applyFont="1" applyAlignment="1">
      <alignment vertical="center"/>
    </xf>
    <xf numFmtId="0" fontId="44" fillId="0" borderId="0" xfId="15" quotePrefix="1" applyFont="1" applyAlignment="1">
      <alignment vertical="center"/>
    </xf>
    <xf numFmtId="0" fontId="27" fillId="0" borderId="0" xfId="15" applyFont="1" applyAlignment="1">
      <alignment vertical="center"/>
    </xf>
    <xf numFmtId="0" fontId="45" fillId="5" borderId="9" xfId="15" applyFont="1" applyFill="1" applyBorder="1" applyAlignment="1">
      <alignment vertical="center"/>
    </xf>
    <xf numFmtId="0" fontId="19" fillId="4" borderId="11" xfId="15" applyFill="1" applyBorder="1" applyAlignment="1">
      <alignment vertical="center"/>
    </xf>
    <xf numFmtId="0" fontId="28" fillId="4" borderId="11" xfId="15" applyFont="1" applyFill="1" applyBorder="1" applyAlignment="1">
      <alignment vertical="center"/>
    </xf>
    <xf numFmtId="0" fontId="19" fillId="0" borderId="12" xfId="15" applyBorder="1" applyAlignment="1">
      <alignment vertical="center"/>
    </xf>
    <xf numFmtId="0" fontId="19" fillId="6" borderId="13" xfId="18" applyFill="1" applyBorder="1" applyAlignment="1">
      <alignment vertical="center"/>
    </xf>
    <xf numFmtId="0" fontId="19" fillId="7" borderId="13" xfId="18" applyFill="1" applyBorder="1" applyAlignment="1">
      <alignment vertical="center"/>
    </xf>
    <xf numFmtId="0" fontId="19" fillId="8" borderId="12" xfId="18" applyFill="1" applyBorder="1" applyAlignment="1">
      <alignment vertical="center"/>
    </xf>
    <xf numFmtId="0" fontId="19" fillId="0" borderId="0" xfId="18" applyAlignment="1">
      <alignment vertical="center"/>
    </xf>
    <xf numFmtId="0" fontId="0" fillId="0" borderId="0" xfId="18" applyFont="1" applyAlignment="1">
      <alignment horizontal="left" vertical="center"/>
    </xf>
    <xf numFmtId="0" fontId="22" fillId="5" borderId="4" xfId="15" applyFont="1" applyFill="1" applyBorder="1" applyAlignment="1">
      <alignment horizontal="left" vertical="center"/>
    </xf>
    <xf numFmtId="0" fontId="38" fillId="0" borderId="0" xfId="15" applyFont="1" applyAlignment="1">
      <alignment vertical="center"/>
    </xf>
    <xf numFmtId="0" fontId="19" fillId="0" borderId="0" xfId="15" quotePrefix="1" applyAlignment="1">
      <alignment vertical="center"/>
    </xf>
    <xf numFmtId="0" fontId="19" fillId="6" borderId="12" xfId="15" applyFill="1" applyBorder="1" applyAlignment="1">
      <alignment vertical="center"/>
    </xf>
    <xf numFmtId="0" fontId="19" fillId="6" borderId="5" xfId="15" applyFill="1" applyBorder="1" applyAlignment="1">
      <alignment vertical="center"/>
    </xf>
    <xf numFmtId="0" fontId="19" fillId="6" borderId="10" xfId="15" applyFill="1" applyBorder="1" applyAlignment="1">
      <alignment vertical="center"/>
    </xf>
    <xf numFmtId="0" fontId="29" fillId="0" borderId="0" xfId="0" applyFont="1" applyAlignment="1">
      <alignment horizontal="left" vertical="center"/>
    </xf>
    <xf numFmtId="0" fontId="19" fillId="0" borderId="0" xfId="19"/>
    <xf numFmtId="0" fontId="22" fillId="5" borderId="1" xfId="19" applyFont="1" applyFill="1" applyBorder="1" applyAlignment="1">
      <alignment horizontal="left" vertical="center"/>
    </xf>
    <xf numFmtId="0" fontId="26" fillId="0" borderId="0" xfId="0" applyFont="1" applyAlignment="1">
      <alignment horizontal="left" vertical="center"/>
    </xf>
    <xf numFmtId="0" fontId="26" fillId="0" borderId="2" xfId="0" applyFont="1" applyBorder="1" applyAlignment="1">
      <alignment horizontal="left" vertical="center"/>
    </xf>
    <xf numFmtId="0" fontId="26" fillId="0" borderId="0" xfId="1" applyFont="1" applyAlignment="1">
      <alignment horizontal="left" vertical="center"/>
    </xf>
    <xf numFmtId="166" fontId="21" fillId="0" borderId="0" xfId="0" applyNumberFormat="1" applyFont="1" applyAlignment="1">
      <alignment horizontal="left" vertical="center"/>
    </xf>
    <xf numFmtId="0" fontId="26" fillId="0" borderId="6" xfId="0" applyFont="1" applyBorder="1" applyAlignment="1">
      <alignment horizontal="left" vertical="center"/>
    </xf>
    <xf numFmtId="0" fontId="41" fillId="3" borderId="2" xfId="0" applyFont="1" applyFill="1" applyBorder="1" applyAlignment="1">
      <alignment horizontal="left" vertical="center" wrapText="1"/>
    </xf>
    <xf numFmtId="0" fontId="41" fillId="3" borderId="2" xfId="0" applyFont="1" applyFill="1" applyBorder="1" applyAlignment="1">
      <alignment horizontal="left" vertical="center"/>
    </xf>
    <xf numFmtId="0" fontId="23" fillId="0" borderId="0" xfId="0" applyFont="1" applyAlignment="1">
      <alignment horizontal="left" vertical="center"/>
    </xf>
    <xf numFmtId="0" fontId="38" fillId="0" borderId="6" xfId="0" applyFont="1" applyBorder="1" applyAlignment="1">
      <alignment horizontal="left" vertical="center"/>
    </xf>
    <xf numFmtId="0" fontId="0" fillId="0" borderId="8" xfId="0" applyBorder="1" applyAlignment="1">
      <alignment horizontal="left" vertical="center"/>
    </xf>
    <xf numFmtId="0" fontId="30" fillId="0" borderId="5" xfId="0" applyFont="1" applyBorder="1" applyAlignment="1">
      <alignment horizontal="left" vertical="center"/>
    </xf>
    <xf numFmtId="0" fontId="26" fillId="0" borderId="5" xfId="0" applyFont="1" applyBorder="1" applyAlignment="1">
      <alignment horizontal="left" vertical="center"/>
    </xf>
    <xf numFmtId="165" fontId="26" fillId="0" borderId="0" xfId="0" applyNumberFormat="1" applyFont="1" applyAlignment="1">
      <alignment horizontal="left" vertical="center"/>
    </xf>
    <xf numFmtId="3" fontId="26" fillId="4" borderId="0" xfId="0" applyNumberFormat="1" applyFont="1" applyFill="1" applyAlignment="1">
      <alignment horizontal="left" vertical="center"/>
    </xf>
    <xf numFmtId="165" fontId="26" fillId="4" borderId="0" xfId="0" applyNumberFormat="1" applyFont="1" applyFill="1" applyAlignment="1">
      <alignment horizontal="left" vertical="center"/>
    </xf>
    <xf numFmtId="3" fontId="26" fillId="0" borderId="0" xfId="0" applyNumberFormat="1" applyFont="1" applyAlignment="1">
      <alignment horizontal="left" vertical="center"/>
    </xf>
    <xf numFmtId="2" fontId="26" fillId="0" borderId="0" xfId="0" applyNumberFormat="1" applyFont="1" applyAlignment="1">
      <alignment horizontal="left" vertical="center"/>
    </xf>
    <xf numFmtId="3" fontId="30" fillId="4" borderId="5" xfId="0" applyNumberFormat="1" applyFont="1" applyFill="1" applyBorder="1" applyAlignment="1">
      <alignment horizontal="left" vertical="center"/>
    </xf>
    <xf numFmtId="0" fontId="20" fillId="0" borderId="0" xfId="0" applyFont="1" applyAlignment="1">
      <alignment horizontal="left" vertical="center"/>
    </xf>
    <xf numFmtId="0" fontId="40" fillId="0" borderId="0" xfId="0" applyFont="1" applyAlignment="1">
      <alignment horizontal="left" vertical="center"/>
    </xf>
    <xf numFmtId="0" fontId="34" fillId="0" borderId="0" xfId="6" applyFont="1" applyAlignment="1">
      <alignment horizontal="left" vertical="center"/>
    </xf>
    <xf numFmtId="0" fontId="22" fillId="5" borderId="1" xfId="0" applyFont="1" applyFill="1" applyBorder="1" applyAlignment="1">
      <alignment horizontal="left" vertical="center"/>
    </xf>
    <xf numFmtId="2" fontId="26" fillId="0" borderId="2" xfId="0" applyNumberFormat="1" applyFont="1" applyBorder="1" applyAlignment="1">
      <alignment horizontal="left" vertical="center"/>
    </xf>
    <xf numFmtId="0" fontId="22" fillId="5" borderId="1" xfId="0" applyFont="1" applyFill="1" applyBorder="1" applyAlignment="1">
      <alignment horizontal="left" vertical="center" wrapText="1"/>
    </xf>
    <xf numFmtId="0" fontId="41" fillId="3" borderId="5" xfId="0" applyFont="1" applyFill="1" applyBorder="1" applyAlignment="1">
      <alignment horizontal="left" vertical="center" wrapText="1"/>
    </xf>
    <xf numFmtId="0" fontId="41" fillId="3" borderId="5" xfId="0" applyFont="1" applyFill="1" applyBorder="1" applyAlignment="1">
      <alignment horizontal="left" vertical="center"/>
    </xf>
    <xf numFmtId="0" fontId="26" fillId="0" borderId="2" xfId="1" applyFont="1" applyBorder="1" applyAlignment="1">
      <alignment horizontal="left" vertical="center"/>
    </xf>
    <xf numFmtId="166" fontId="34" fillId="0" borderId="0" xfId="6" applyNumberFormat="1" applyFont="1" applyAlignment="1">
      <alignment horizontal="left" vertical="center"/>
    </xf>
    <xf numFmtId="0" fontId="26" fillId="0" borderId="0" xfId="15" applyFont="1" applyAlignment="1">
      <alignment vertical="center" wrapText="1"/>
    </xf>
    <xf numFmtId="0" fontId="19" fillId="0" borderId="0" xfId="15" applyAlignment="1">
      <alignment vertical="center" wrapText="1"/>
    </xf>
    <xf numFmtId="0" fontId="19" fillId="0" borderId="0" xfId="15" applyAlignment="1">
      <alignment horizontal="left" vertical="center" wrapText="1"/>
    </xf>
    <xf numFmtId="0" fontId="16" fillId="0" borderId="12" xfId="15" applyFont="1" applyBorder="1" applyAlignment="1">
      <alignment vertical="center"/>
    </xf>
    <xf numFmtId="0" fontId="14" fillId="0" borderId="12" xfId="15" applyFont="1" applyBorder="1" applyAlignment="1">
      <alignment vertical="center"/>
    </xf>
    <xf numFmtId="0" fontId="14" fillId="6" borderId="12" xfId="15" applyFont="1" applyFill="1" applyBorder="1" applyAlignment="1">
      <alignment vertical="center"/>
    </xf>
    <xf numFmtId="0" fontId="31" fillId="3" borderId="5" xfId="0" applyFont="1" applyFill="1" applyBorder="1" applyAlignment="1">
      <alignment horizontal="left" vertical="center"/>
    </xf>
    <xf numFmtId="0" fontId="13" fillId="0" borderId="12" xfId="15" applyFont="1" applyBorder="1" applyAlignment="1">
      <alignment vertical="center"/>
    </xf>
    <xf numFmtId="0" fontId="12" fillId="0" borderId="12" xfId="15" applyFont="1" applyBorder="1" applyAlignment="1">
      <alignment vertical="center" wrapText="1"/>
    </xf>
    <xf numFmtId="0" fontId="38" fillId="0" borderId="0" xfId="31" applyFont="1" applyAlignment="1">
      <alignment vertical="center"/>
    </xf>
    <xf numFmtId="0" fontId="11" fillId="0" borderId="0" xfId="31" applyAlignment="1">
      <alignment vertical="center"/>
    </xf>
    <xf numFmtId="0" fontId="10" fillId="0" borderId="0" xfId="15" applyFont="1" applyAlignment="1">
      <alignment vertical="center"/>
    </xf>
    <xf numFmtId="0" fontId="0" fillId="0" borderId="5" xfId="0" applyBorder="1" applyAlignment="1">
      <alignment horizontal="left" vertical="center"/>
    </xf>
    <xf numFmtId="3" fontId="0" fillId="0" borderId="5" xfId="0" applyNumberFormat="1" applyBorder="1" applyAlignment="1">
      <alignment horizontal="left" vertical="center"/>
    </xf>
    <xf numFmtId="0" fontId="18" fillId="6" borderId="9" xfId="15" applyFont="1" applyFill="1" applyBorder="1" applyAlignment="1">
      <alignment vertical="center"/>
    </xf>
    <xf numFmtId="0" fontId="9" fillId="0" borderId="0" xfId="15" applyFont="1" applyAlignment="1">
      <alignment vertical="center"/>
    </xf>
    <xf numFmtId="0" fontId="9" fillId="0" borderId="0" xfId="15" applyFont="1" applyAlignment="1">
      <alignment horizontal="left" vertical="center"/>
    </xf>
    <xf numFmtId="0" fontId="26" fillId="4" borderId="0" xfId="0" applyFont="1" applyFill="1" applyAlignment="1">
      <alignment horizontal="left" vertical="center"/>
    </xf>
    <xf numFmtId="0" fontId="26" fillId="4" borderId="2" xfId="0" applyFont="1" applyFill="1" applyBorder="1" applyAlignment="1">
      <alignment horizontal="left" vertical="center"/>
    </xf>
    <xf numFmtId="0" fontId="9" fillId="0" borderId="12" xfId="15" applyFont="1" applyBorder="1" applyAlignment="1">
      <alignment vertical="center"/>
    </xf>
    <xf numFmtId="0" fontId="26" fillId="0" borderId="5" xfId="1" applyFont="1" applyBorder="1" applyAlignment="1">
      <alignment horizontal="left" vertical="center"/>
    </xf>
    <xf numFmtId="0" fontId="9" fillId="4" borderId="0" xfId="0" applyFont="1" applyFill="1"/>
    <xf numFmtId="1" fontId="26" fillId="0" borderId="0" xfId="0" applyNumberFormat="1" applyFont="1" applyAlignment="1">
      <alignment horizontal="left" vertical="center"/>
    </xf>
    <xf numFmtId="1" fontId="26" fillId="0" borderId="2" xfId="0" applyNumberFormat="1" applyFont="1" applyBorder="1" applyAlignment="1">
      <alignment horizontal="left" vertical="center"/>
    </xf>
    <xf numFmtId="9" fontId="26" fillId="0" borderId="0" xfId="13" applyFont="1" applyAlignment="1">
      <alignment horizontal="left" vertical="center"/>
    </xf>
    <xf numFmtId="9" fontId="26" fillId="0" borderId="2" xfId="13" applyFont="1" applyBorder="1" applyAlignment="1">
      <alignment horizontal="left" vertical="center"/>
    </xf>
    <xf numFmtId="0" fontId="9" fillId="6" borderId="12" xfId="15" applyFont="1" applyFill="1" applyBorder="1" applyAlignment="1">
      <alignment vertical="center"/>
    </xf>
    <xf numFmtId="1" fontId="0" fillId="2" borderId="5" xfId="0" applyNumberFormat="1" applyFill="1" applyBorder="1" applyAlignment="1">
      <alignment horizontal="left" vertical="center"/>
    </xf>
    <xf numFmtId="0" fontId="8" fillId="0" borderId="0" xfId="15" applyFont="1" applyAlignment="1">
      <alignment vertical="center"/>
    </xf>
    <xf numFmtId="0" fontId="7" fillId="0" borderId="12" xfId="15" applyFont="1" applyBorder="1" applyAlignment="1">
      <alignment horizontal="left" vertical="center" wrapText="1"/>
    </xf>
    <xf numFmtId="0" fontId="56" fillId="0" borderId="0" xfId="14" applyFont="1" applyAlignment="1">
      <alignment horizontal="left" vertical="center"/>
    </xf>
    <xf numFmtId="0" fontId="22" fillId="0" borderId="0" xfId="15" applyFont="1" applyAlignment="1">
      <alignment horizontal="left" vertical="center"/>
    </xf>
    <xf numFmtId="0" fontId="22" fillId="5" borderId="14" xfId="15" applyFont="1" applyFill="1" applyBorder="1" applyAlignment="1">
      <alignment horizontal="left" vertical="center"/>
    </xf>
    <xf numFmtId="0" fontId="6" fillId="6" borderId="0" xfId="15" applyFont="1" applyFill="1" applyAlignment="1">
      <alignment vertical="center"/>
    </xf>
    <xf numFmtId="0" fontId="6" fillId="6" borderId="9" xfId="15" applyFont="1" applyFill="1" applyBorder="1" applyAlignment="1">
      <alignment vertical="center"/>
    </xf>
    <xf numFmtId="0" fontId="29" fillId="0" borderId="0" xfId="33" applyFont="1" applyAlignment="1">
      <alignment horizontal="left" vertical="center"/>
    </xf>
    <xf numFmtId="0" fontId="42" fillId="0" borderId="0" xfId="33" applyAlignment="1">
      <alignment horizontal="left" vertical="center"/>
    </xf>
    <xf numFmtId="0" fontId="30" fillId="0" borderId="0" xfId="33" applyFont="1" applyAlignment="1">
      <alignment horizontal="left" vertical="center" wrapText="1"/>
    </xf>
    <xf numFmtId="0" fontId="48" fillId="0" borderId="0" xfId="33" applyFont="1" applyAlignment="1">
      <alignment vertical="center"/>
    </xf>
    <xf numFmtId="0" fontId="48" fillId="0" borderId="0" xfId="33" applyFont="1" applyAlignment="1">
      <alignment horizontal="left" vertical="center" wrapText="1"/>
    </xf>
    <xf numFmtId="0" fontId="48" fillId="0" borderId="0" xfId="33" applyFont="1" applyAlignment="1">
      <alignment vertical="center" wrapText="1"/>
    </xf>
    <xf numFmtId="0" fontId="30" fillId="0" borderId="0" xfId="33" applyFont="1" applyAlignment="1">
      <alignment vertical="center" wrapText="1"/>
    </xf>
    <xf numFmtId="0" fontId="30" fillId="0" borderId="0" xfId="0" applyFont="1" applyAlignment="1">
      <alignment horizontal="left" vertical="center"/>
    </xf>
    <xf numFmtId="14" fontId="0" fillId="2" borderId="0" xfId="0" applyNumberFormat="1" applyFill="1" applyAlignment="1">
      <alignment horizontal="left" vertical="center"/>
    </xf>
    <xf numFmtId="0" fontId="24" fillId="2" borderId="0" xfId="34" applyFont="1" applyFill="1" applyAlignment="1">
      <alignment vertical="center"/>
    </xf>
    <xf numFmtId="0" fontId="21" fillId="0" borderId="0" xfId="1" applyAlignment="1">
      <alignment vertical="center"/>
    </xf>
    <xf numFmtId="0" fontId="38" fillId="0" borderId="2" xfId="31" applyFont="1" applyBorder="1" applyAlignment="1">
      <alignment vertical="center"/>
    </xf>
    <xf numFmtId="0" fontId="11" fillId="0" borderId="2" xfId="31" applyBorder="1" applyAlignment="1">
      <alignment vertical="center"/>
    </xf>
    <xf numFmtId="1" fontId="26" fillId="4" borderId="0" xfId="32" applyNumberFormat="1" applyFont="1" applyFill="1" applyAlignment="1">
      <alignment horizontal="left" vertical="center"/>
    </xf>
    <xf numFmtId="1" fontId="26" fillId="4" borderId="0" xfId="0" applyNumberFormat="1" applyFont="1" applyFill="1" applyAlignment="1">
      <alignment horizontal="left" vertical="center"/>
    </xf>
    <xf numFmtId="1" fontId="30" fillId="4" borderId="5" xfId="0" applyNumberFormat="1" applyFont="1" applyFill="1" applyBorder="1" applyAlignment="1">
      <alignment horizontal="left" vertical="center"/>
    </xf>
    <xf numFmtId="1" fontId="26" fillId="0" borderId="5" xfId="0" applyNumberFormat="1" applyFont="1" applyBorder="1" applyAlignment="1">
      <alignment horizontal="left" vertical="center"/>
    </xf>
    <xf numFmtId="0" fontId="26" fillId="0" borderId="15" xfId="0" applyFont="1" applyBorder="1" applyAlignment="1">
      <alignment horizontal="left" vertical="center"/>
    </xf>
    <xf numFmtId="0" fontId="0" fillId="0" borderId="2" xfId="0" applyBorder="1" applyAlignment="1">
      <alignment horizontal="left" vertical="center"/>
    </xf>
    <xf numFmtId="9" fontId="0" fillId="0" borderId="0" xfId="0" applyNumberFormat="1" applyAlignment="1">
      <alignment horizontal="left" vertical="center"/>
    </xf>
    <xf numFmtId="1" fontId="0" fillId="0" borderId="2" xfId="0" applyNumberFormat="1" applyBorder="1" applyAlignment="1">
      <alignment horizontal="left" vertical="center"/>
    </xf>
    <xf numFmtId="0" fontId="0" fillId="2" borderId="5" xfId="0" applyFill="1" applyBorder="1" applyAlignment="1">
      <alignment horizontal="left" vertical="center"/>
    </xf>
    <xf numFmtId="0" fontId="0" fillId="2" borderId="0" xfId="0" applyFill="1" applyAlignment="1">
      <alignment horizontal="left" vertical="center"/>
    </xf>
    <xf numFmtId="0" fontId="54" fillId="2" borderId="0" xfId="0" applyFont="1" applyFill="1" applyAlignment="1">
      <alignment horizontal="left" vertical="center"/>
    </xf>
    <xf numFmtId="9" fontId="53" fillId="2" borderId="0" xfId="13" applyFont="1" applyFill="1" applyAlignment="1">
      <alignment horizontal="left" vertical="center"/>
    </xf>
    <xf numFmtId="0" fontId="55" fillId="2" borderId="0" xfId="0" applyFont="1" applyFill="1" applyAlignment="1">
      <alignment horizontal="left" vertical="center"/>
    </xf>
    <xf numFmtId="9" fontId="53" fillId="2" borderId="0" xfId="13" applyFont="1" applyFill="1" applyBorder="1" applyAlignment="1">
      <alignment horizontal="left" vertical="center"/>
    </xf>
    <xf numFmtId="0" fontId="0" fillId="2" borderId="2" xfId="0" applyFill="1" applyBorder="1" applyAlignment="1">
      <alignment horizontal="left" vertical="center"/>
    </xf>
    <xf numFmtId="9" fontId="53" fillId="2" borderId="2" xfId="13" applyFont="1" applyFill="1" applyBorder="1" applyAlignment="1">
      <alignment horizontal="left" vertical="center"/>
    </xf>
    <xf numFmtId="0" fontId="0" fillId="2" borderId="6" xfId="0" applyFill="1" applyBorder="1" applyAlignment="1">
      <alignment horizontal="left" vertical="center"/>
    </xf>
    <xf numFmtId="9" fontId="57" fillId="4" borderId="0" xfId="13" applyFont="1" applyFill="1" applyAlignment="1">
      <alignment horizontal="left" vertical="center"/>
    </xf>
    <xf numFmtId="9" fontId="57" fillId="4" borderId="2" xfId="13" applyFont="1" applyFill="1" applyBorder="1" applyAlignment="1">
      <alignment horizontal="left" vertical="center"/>
    </xf>
    <xf numFmtId="0" fontId="27" fillId="0" borderId="0" xfId="0" applyFont="1" applyAlignment="1">
      <alignment vertical="center"/>
    </xf>
    <xf numFmtId="0" fontId="7" fillId="7" borderId="12" xfId="18" applyFont="1" applyFill="1" applyBorder="1" applyAlignment="1">
      <alignment vertical="center"/>
    </xf>
    <xf numFmtId="3" fontId="26" fillId="0" borderId="15" xfId="0" applyNumberFormat="1" applyFont="1" applyBorder="1" applyAlignment="1">
      <alignment horizontal="left" vertical="center"/>
    </xf>
    <xf numFmtId="0" fontId="48" fillId="0" borderId="0" xfId="0" applyFont="1" applyAlignment="1">
      <alignment vertical="center" wrapText="1"/>
    </xf>
    <xf numFmtId="0" fontId="48" fillId="0" borderId="0" xfId="0" applyFont="1" applyAlignment="1">
      <alignment horizontal="left" vertical="center" wrapText="1"/>
    </xf>
    <xf numFmtId="167" fontId="26" fillId="0" borderId="0" xfId="0" applyNumberFormat="1" applyFont="1" applyAlignment="1">
      <alignment horizontal="left" vertical="center"/>
    </xf>
    <xf numFmtId="0" fontId="14" fillId="0" borderId="9" xfId="15" applyFont="1" applyBorder="1" applyAlignment="1">
      <alignment vertical="center"/>
    </xf>
    <xf numFmtId="0" fontId="14" fillId="0" borderId="10" xfId="15" applyFont="1" applyBorder="1" applyAlignment="1">
      <alignment vertical="center"/>
    </xf>
    <xf numFmtId="0" fontId="3" fillId="0" borderId="12" xfId="15" applyFont="1" applyBorder="1" applyAlignment="1">
      <alignment vertical="center"/>
    </xf>
    <xf numFmtId="14" fontId="26" fillId="2" borderId="0" xfId="34" applyNumberFormat="1" applyFont="1" applyFill="1" applyAlignment="1">
      <alignment horizontal="left" vertical="center"/>
    </xf>
    <xf numFmtId="0" fontId="25" fillId="0" borderId="0" xfId="3" applyAlignment="1">
      <alignment vertical="center"/>
    </xf>
    <xf numFmtId="0" fontId="13" fillId="0" borderId="0" xfId="30" applyAlignment="1">
      <alignment vertical="center"/>
    </xf>
    <xf numFmtId="0" fontId="25" fillId="2" borderId="0" xfId="3" applyFill="1" applyAlignment="1">
      <alignment vertical="center"/>
    </xf>
    <xf numFmtId="0" fontId="31" fillId="2" borderId="0" xfId="34" applyFont="1" applyFill="1" applyAlignment="1">
      <alignment vertical="center"/>
    </xf>
    <xf numFmtId="165" fontId="8" fillId="0" borderId="0" xfId="15" applyNumberFormat="1" applyFont="1" applyAlignment="1">
      <alignment horizontal="left" vertical="center"/>
    </xf>
    <xf numFmtId="0" fontId="2" fillId="0" borderId="0" xfId="31" applyFont="1" applyAlignment="1">
      <alignment vertical="center"/>
    </xf>
    <xf numFmtId="0" fontId="58" fillId="5" borderId="16" xfId="33" applyFont="1" applyFill="1" applyBorder="1" applyAlignment="1">
      <alignment horizontal="center" vertical="center"/>
    </xf>
    <xf numFmtId="0" fontId="58" fillId="5" borderId="1" xfId="33" applyFont="1" applyFill="1" applyBorder="1" applyAlignment="1">
      <alignment horizontal="center" vertical="center"/>
    </xf>
    <xf numFmtId="0" fontId="58" fillId="5" borderId="17" xfId="33" applyFont="1" applyFill="1" applyBorder="1" applyAlignment="1">
      <alignment horizontal="center" vertical="center"/>
    </xf>
    <xf numFmtId="0" fontId="19" fillId="0" borderId="9" xfId="15" applyBorder="1" applyAlignment="1">
      <alignment vertical="center"/>
    </xf>
    <xf numFmtId="0" fontId="19" fillId="0" borderId="10" xfId="15" applyBorder="1" applyAlignment="1">
      <alignment vertical="center"/>
    </xf>
    <xf numFmtId="0" fontId="14" fillId="0" borderId="9" xfId="15" applyFont="1" applyBorder="1" applyAlignment="1">
      <alignment vertical="center"/>
    </xf>
    <xf numFmtId="0" fontId="14" fillId="0" borderId="10" xfId="15" applyFont="1" applyBorder="1" applyAlignment="1">
      <alignment vertical="center"/>
    </xf>
    <xf numFmtId="0" fontId="48" fillId="0" borderId="0" xfId="0" applyFont="1" applyAlignment="1">
      <alignment vertical="center" wrapText="1"/>
    </xf>
    <xf numFmtId="0" fontId="49" fillId="0" borderId="0" xfId="0" applyFont="1" applyAlignment="1">
      <alignment vertical="center" wrapText="1"/>
    </xf>
    <xf numFmtId="0" fontId="0" fillId="0" borderId="0" xfId="0" applyAlignment="1">
      <alignment horizontal="left" wrapText="1"/>
    </xf>
    <xf numFmtId="0" fontId="11" fillId="0" borderId="0" xfId="31" applyAlignment="1">
      <alignment vertical="center" wrapText="1"/>
    </xf>
    <xf numFmtId="0" fontId="2" fillId="0" borderId="0" xfId="31" applyFont="1" applyAlignment="1">
      <alignment vertical="center" wrapText="1"/>
    </xf>
    <xf numFmtId="0" fontId="11" fillId="0" borderId="2" xfId="31" applyBorder="1" applyAlignment="1">
      <alignment vertical="center" wrapText="1"/>
    </xf>
    <xf numFmtId="0" fontId="48" fillId="0" borderId="7" xfId="0" applyFont="1" applyBorder="1" applyAlignment="1">
      <alignment vertical="center" wrapText="1"/>
    </xf>
    <xf numFmtId="0" fontId="38" fillId="3" borderId="12" xfId="15" applyFont="1" applyFill="1" applyBorder="1" applyAlignment="1">
      <alignment horizontal="left" vertical="center"/>
    </xf>
    <xf numFmtId="0" fontId="38" fillId="3" borderId="9" xfId="15" applyFont="1" applyFill="1" applyBorder="1" applyAlignment="1">
      <alignment horizontal="left" vertical="center"/>
    </xf>
    <xf numFmtId="0" fontId="38" fillId="3" borderId="5" xfId="15" applyFont="1" applyFill="1" applyBorder="1" applyAlignment="1">
      <alignment horizontal="left" vertical="center"/>
    </xf>
    <xf numFmtId="0" fontId="38" fillId="3" borderId="10" xfId="15" applyFont="1" applyFill="1" applyBorder="1" applyAlignment="1">
      <alignment horizontal="left" vertical="center"/>
    </xf>
    <xf numFmtId="0" fontId="19" fillId="0" borderId="12" xfId="15" applyBorder="1" applyAlignment="1">
      <alignment vertical="center"/>
    </xf>
    <xf numFmtId="0" fontId="9" fillId="0" borderId="9" xfId="15" applyFont="1" applyBorder="1" applyAlignment="1">
      <alignment vertical="center"/>
    </xf>
    <xf numFmtId="0" fontId="45" fillId="5" borderId="5" xfId="15" applyFont="1" applyFill="1" applyBorder="1" applyAlignment="1">
      <alignment vertical="center"/>
    </xf>
    <xf numFmtId="0" fontId="45" fillId="5" borderId="10" xfId="15" applyFont="1" applyFill="1" applyBorder="1" applyAlignment="1">
      <alignment vertical="center"/>
    </xf>
    <xf numFmtId="0" fontId="5" fillId="7" borderId="9" xfId="18" applyFont="1" applyFill="1" applyBorder="1" applyAlignment="1">
      <alignment horizontal="left" vertical="center"/>
    </xf>
    <xf numFmtId="0" fontId="19" fillId="7" borderId="5" xfId="18" applyFill="1" applyBorder="1" applyAlignment="1">
      <alignment horizontal="left" vertical="center"/>
    </xf>
    <xf numFmtId="0" fontId="19" fillId="7" borderId="10" xfId="18" applyFill="1" applyBorder="1" applyAlignment="1">
      <alignment horizontal="left" vertical="center"/>
    </xf>
    <xf numFmtId="0" fontId="0" fillId="0" borderId="9" xfId="18" applyFont="1" applyBorder="1" applyAlignment="1">
      <alignment vertical="center"/>
    </xf>
    <xf numFmtId="0" fontId="0" fillId="0" borderId="5" xfId="18" applyFont="1" applyBorder="1" applyAlignment="1">
      <alignment vertical="center"/>
    </xf>
    <xf numFmtId="0" fontId="0" fillId="0" borderId="10" xfId="18" applyFont="1" applyBorder="1" applyAlignment="1">
      <alignment vertical="center"/>
    </xf>
    <xf numFmtId="0" fontId="26" fillId="2" borderId="0" xfId="34" applyFont="1" applyFill="1" applyAlignment="1">
      <alignment vertical="center"/>
    </xf>
    <xf numFmtId="0" fontId="19" fillId="0" borderId="5" xfId="15" applyBorder="1" applyAlignment="1">
      <alignment vertical="center"/>
    </xf>
  </cellXfs>
  <cellStyles count="36">
    <cellStyle name="Comma" xfId="32" builtinId="3"/>
    <cellStyle name="Comma 2" xfId="7" xr:uid="{00000000-0005-0000-0000-000001000000}"/>
    <cellStyle name="Comma 2 2" xfId="25" xr:uid="{C59DE54E-86C7-43F6-BD5B-7C72A045EB56}"/>
    <cellStyle name="Comma 3" xfId="12" xr:uid="{00000000-0005-0000-0000-000002000000}"/>
    <cellStyle name="Comma 4" xfId="20" xr:uid="{B52920D1-A68F-4255-AADA-141716329297}"/>
    <cellStyle name="Hyperlink" xfId="3" builtinId="8"/>
    <cellStyle name="Normal" xfId="0" builtinId="0"/>
    <cellStyle name="Normal 10 2" xfId="6" xr:uid="{00000000-0005-0000-0000-000005000000}"/>
    <cellStyle name="Normal 2" xfId="1" xr:uid="{00000000-0005-0000-0000-000006000000}"/>
    <cellStyle name="Normal 2 10" xfId="34" xr:uid="{6F50A76E-9943-49B3-9635-2CCDF2D79B6A}"/>
    <cellStyle name="Normal 2 10 2" xfId="19" xr:uid="{D0D4795B-909D-4D24-A771-F3CEDDB52C2C}"/>
    <cellStyle name="Normal 2 2" xfId="23" xr:uid="{554B598D-6B3A-451C-8D3A-D113B7F26CA3}"/>
    <cellStyle name="Normal 2 3" xfId="30" xr:uid="{D61C0E38-9446-4CEA-B932-5DACC618263E}"/>
    <cellStyle name="Normal 2 45" xfId="33" xr:uid="{B585BCF8-AA71-4296-90A2-67B0AE930638}"/>
    <cellStyle name="Normal 3" xfId="10" xr:uid="{00000000-0005-0000-0000-000007000000}"/>
    <cellStyle name="Normal 3 2" xfId="29" xr:uid="{AF725841-29C6-430E-BF29-A2A3C207C4BD}"/>
    <cellStyle name="Normal 3 28" xfId="5" xr:uid="{00000000-0005-0000-0000-000008000000}"/>
    <cellStyle name="Normal 3 28 2" xfId="18" xr:uid="{115CC548-DD44-4AE7-9D91-DA25F4D952B2}"/>
    <cellStyle name="Normal 3 3" xfId="21" xr:uid="{ADB10CD4-4A6A-4941-9262-C6467B9B731B}"/>
    <cellStyle name="Normal 4" xfId="15" xr:uid="{3C554E17-AC9A-467D-9801-ED38B8AED660}"/>
    <cellStyle name="Normal 5" xfId="24" xr:uid="{BBF2A4A3-4DEB-4198-BD5C-3C5191C038BF}"/>
    <cellStyle name="Normal 5 10" xfId="31" xr:uid="{8EA982F8-F8BE-4C36-AA4B-C490BE38A97A}"/>
    <cellStyle name="Normal 50" xfId="2" xr:uid="{00000000-0005-0000-0000-000009000000}"/>
    <cellStyle name="Normal 50 2" xfId="16" xr:uid="{89B6A7B1-33C8-409A-B1D8-24C07204669F}"/>
    <cellStyle name="Normal 50 7" xfId="4" xr:uid="{00000000-0005-0000-0000-00000A000000}"/>
    <cellStyle name="Normal 50 7 2" xfId="17" xr:uid="{E52643A8-2D10-410D-AE59-B32FE8676BCF}"/>
    <cellStyle name="Normal 56" xfId="14" xr:uid="{50FEA88E-9A10-4705-8C03-887943642E2C}"/>
    <cellStyle name="Normal 6" xfId="26" xr:uid="{653634E8-D455-44A0-8120-AD73C9CC764A}"/>
    <cellStyle name="Normal 62 2" xfId="28" xr:uid="{DC35DA09-7436-4F71-B934-05DD4575A1E7}"/>
    <cellStyle name="Normal 7" xfId="35" xr:uid="{D4D29100-8E42-496C-9815-58B083834888}"/>
    <cellStyle name="Percent" xfId="13" builtinId="5"/>
    <cellStyle name="Percent 2" xfId="8" xr:uid="{00000000-0005-0000-0000-00000B000000}"/>
    <cellStyle name="Percent 3" xfId="11" xr:uid="{00000000-0005-0000-0000-00000C000000}"/>
    <cellStyle name="Percent 4" xfId="22" xr:uid="{9AABB95B-1902-43DA-A659-85A27138E4B2}"/>
    <cellStyle name="Percent 5" xfId="27" xr:uid="{B0892E7F-840B-4F58-B2D0-8F9E89A02198}"/>
    <cellStyle name="Standard_Sce_D_Extraction" xfId="9" xr:uid="{00000000-0005-0000-0000-00000D000000}"/>
  </cellStyles>
  <dxfs count="0"/>
  <tableStyles count="0" defaultTableStyle="TableStyleMedium2" defaultPivotStyle="PivotStyleLight16"/>
  <colors>
    <mruColors>
      <color rgb="FFBB87AC"/>
      <color rgb="FFD27079"/>
      <color rgb="FFFA7D00"/>
      <color rgb="FFC5D9F2"/>
      <color rgb="FFFFFFCC"/>
      <color rgb="FF1F497D"/>
      <color rgb="FFFFFF99"/>
      <color rgb="FFFDAFA9"/>
      <color rgb="FFE2EFDA"/>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reativecommons.org/licenses/by-nc-sa/4.0/"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ABF34-333F-493D-B878-3E1DE445615F}">
  <sheetPr>
    <tabColor rgb="FFFF0000"/>
  </sheetPr>
  <dimension ref="A1:G88"/>
  <sheetViews>
    <sheetView showGridLines="0" topLeftCell="A59" workbookViewId="0">
      <selection activeCell="C72" sqref="C72"/>
    </sheetView>
  </sheetViews>
  <sheetFormatPr defaultColWidth="8" defaultRowHeight="14.4" x14ac:dyDescent="0.3"/>
  <cols>
    <col min="1" max="1" width="31.69921875" style="12" customWidth="1"/>
    <col min="2" max="3" width="24.69921875" style="12" customWidth="1"/>
    <col min="4" max="4" width="27.5" style="12" customWidth="1"/>
    <col min="5" max="5" width="19" style="12" bestFit="1" customWidth="1"/>
    <col min="6" max="16384" width="8" style="12"/>
  </cols>
  <sheetData>
    <row r="1" spans="1:6" ht="31.8" thickBot="1" x14ac:dyDescent="0.35">
      <c r="A1" s="148" t="s">
        <v>296</v>
      </c>
      <c r="B1" s="149"/>
      <c r="C1" s="149"/>
      <c r="D1" s="150"/>
      <c r="F1" s="15"/>
    </row>
    <row r="2" spans="1:6" x14ac:dyDescent="0.3">
      <c r="A2" s="13" t="s">
        <v>21</v>
      </c>
      <c r="B2" s="14" t="s">
        <v>95</v>
      </c>
      <c r="C2" s="16"/>
      <c r="F2" s="17"/>
    </row>
    <row r="3" spans="1:6" x14ac:dyDescent="0.3">
      <c r="A3" s="13" t="s">
        <v>96</v>
      </c>
      <c r="B3" s="80" t="s">
        <v>97</v>
      </c>
      <c r="C3" s="14"/>
      <c r="F3" s="17"/>
    </row>
    <row r="4" spans="1:6" x14ac:dyDescent="0.3">
      <c r="A4" s="13" t="s">
        <v>98</v>
      </c>
      <c r="B4" s="14" t="s">
        <v>178</v>
      </c>
      <c r="C4" s="76" t="s">
        <v>179</v>
      </c>
      <c r="F4" s="17"/>
    </row>
    <row r="5" spans="1:6" x14ac:dyDescent="0.3">
      <c r="A5" s="13" t="s">
        <v>239</v>
      </c>
      <c r="B5" s="81">
        <v>2019</v>
      </c>
      <c r="F5" s="17"/>
    </row>
    <row r="6" spans="1:6" ht="15.6" x14ac:dyDescent="0.3">
      <c r="A6" s="13" t="s">
        <v>290</v>
      </c>
      <c r="B6" s="108" t="s">
        <v>240</v>
      </c>
      <c r="F6" s="17"/>
    </row>
    <row r="7" spans="1:6" x14ac:dyDescent="0.3">
      <c r="A7" s="13" t="s">
        <v>99</v>
      </c>
      <c r="B7" s="93" t="s">
        <v>222</v>
      </c>
    </row>
    <row r="8" spans="1:6" x14ac:dyDescent="0.3">
      <c r="A8" s="13" t="s">
        <v>291</v>
      </c>
      <c r="B8" s="146">
        <v>1</v>
      </c>
    </row>
    <row r="9" spans="1:6" ht="15.6" x14ac:dyDescent="0.3">
      <c r="A9" s="109" t="s">
        <v>287</v>
      </c>
      <c r="B9" s="141">
        <v>45868</v>
      </c>
      <c r="C9" s="108"/>
      <c r="D9" s="110"/>
    </row>
    <row r="10" spans="1:6" ht="15.6" x14ac:dyDescent="0.3">
      <c r="A10" s="109" t="s">
        <v>292</v>
      </c>
      <c r="B10" s="142"/>
      <c r="C10" s="108"/>
      <c r="D10" s="143"/>
    </row>
    <row r="11" spans="1:6" x14ac:dyDescent="0.3">
      <c r="A11" s="109" t="s">
        <v>293</v>
      </c>
      <c r="B11" s="176" t="s">
        <v>294</v>
      </c>
      <c r="C11" s="176"/>
      <c r="D11" s="176"/>
    </row>
    <row r="12" spans="1:6" x14ac:dyDescent="0.3">
      <c r="A12" s="143"/>
      <c r="B12" s="144" t="s">
        <v>295</v>
      </c>
      <c r="C12" s="145"/>
      <c r="D12" s="145"/>
    </row>
    <row r="13" spans="1:6" customFormat="1" ht="15.6" x14ac:dyDescent="0.3"/>
    <row r="14" spans="1:6" ht="21" x14ac:dyDescent="0.3">
      <c r="A14" s="132" t="s">
        <v>242</v>
      </c>
    </row>
    <row r="15" spans="1:6" ht="18" x14ac:dyDescent="0.3">
      <c r="A15" s="19" t="s">
        <v>25</v>
      </c>
      <c r="B15" s="168"/>
      <c r="C15" s="168"/>
      <c r="D15" s="169"/>
    </row>
    <row r="16" spans="1:6" x14ac:dyDescent="0.3">
      <c r="A16" s="20" t="s">
        <v>100</v>
      </c>
      <c r="B16" s="151" t="s">
        <v>101</v>
      </c>
      <c r="C16" s="177"/>
      <c r="D16" s="152"/>
    </row>
    <row r="17" spans="1:7" x14ac:dyDescent="0.3">
      <c r="A17" s="21" t="s">
        <v>100</v>
      </c>
      <c r="B17" s="151" t="s">
        <v>102</v>
      </c>
      <c r="C17" s="177"/>
      <c r="D17" s="152"/>
    </row>
    <row r="18" spans="1:7" x14ac:dyDescent="0.3">
      <c r="A18" s="22"/>
      <c r="B18" s="151" t="s">
        <v>103</v>
      </c>
      <c r="C18" s="177"/>
      <c r="D18" s="152"/>
    </row>
    <row r="20" spans="1:7" ht="18" x14ac:dyDescent="0.3">
      <c r="A20" s="19" t="s">
        <v>26</v>
      </c>
      <c r="B20" s="168"/>
      <c r="C20" s="168"/>
      <c r="D20" s="169"/>
    </row>
    <row r="21" spans="1:7" ht="15.6" x14ac:dyDescent="0.3">
      <c r="A21" s="23"/>
      <c r="B21" s="173" t="s">
        <v>27</v>
      </c>
      <c r="C21" s="174"/>
      <c r="D21" s="175"/>
    </row>
    <row r="22" spans="1:7" ht="15.6" x14ac:dyDescent="0.3">
      <c r="A22" s="24"/>
      <c r="B22" s="173" t="s">
        <v>104</v>
      </c>
      <c r="C22" s="174"/>
      <c r="D22" s="175"/>
    </row>
    <row r="23" spans="1:7" ht="15.6" x14ac:dyDescent="0.3">
      <c r="A23" s="25"/>
      <c r="B23" s="173" t="s">
        <v>105</v>
      </c>
      <c r="C23" s="174"/>
      <c r="D23" s="175"/>
    </row>
    <row r="24" spans="1:7" ht="15.6" x14ac:dyDescent="0.3">
      <c r="A24" s="26"/>
      <c r="B24" s="27"/>
      <c r="C24" s="27"/>
    </row>
    <row r="25" spans="1:7" ht="15" customHeight="1" x14ac:dyDescent="0.3">
      <c r="A25" s="18" t="s">
        <v>22</v>
      </c>
    </row>
    <row r="26" spans="1:7" ht="15" customHeight="1" x14ac:dyDescent="0.3">
      <c r="A26" s="28" t="s">
        <v>23</v>
      </c>
      <c r="B26" s="28" t="s">
        <v>24</v>
      </c>
      <c r="C26" s="28"/>
      <c r="D26" s="28"/>
      <c r="F26" s="29"/>
    </row>
    <row r="27" spans="1:7" x14ac:dyDescent="0.3">
      <c r="A27" s="133" t="s">
        <v>234</v>
      </c>
      <c r="B27" s="170" t="s">
        <v>237</v>
      </c>
      <c r="C27" s="171"/>
      <c r="D27" s="172"/>
    </row>
    <row r="28" spans="1:7" ht="15" customHeight="1" x14ac:dyDescent="0.3">
      <c r="A28" s="70" t="s">
        <v>143</v>
      </c>
      <c r="B28" s="98" t="s">
        <v>235</v>
      </c>
      <c r="C28" s="32"/>
      <c r="D28" s="33"/>
      <c r="G28" s="30"/>
    </row>
    <row r="29" spans="1:7" ht="15" customHeight="1" x14ac:dyDescent="0.3">
      <c r="A29" s="31" t="s">
        <v>106</v>
      </c>
      <c r="B29" s="99" t="s">
        <v>236</v>
      </c>
      <c r="C29" s="32"/>
      <c r="D29" s="33"/>
      <c r="G29" s="30"/>
    </row>
    <row r="30" spans="1:7" ht="15" customHeight="1" x14ac:dyDescent="0.3">
      <c r="A30" s="91" t="s">
        <v>218</v>
      </c>
      <c r="B30" s="79" t="s">
        <v>136</v>
      </c>
      <c r="C30" s="32"/>
      <c r="D30" s="33"/>
      <c r="G30" s="30"/>
    </row>
    <row r="31" spans="1:7" x14ac:dyDescent="0.3">
      <c r="A31" s="26"/>
    </row>
    <row r="32" spans="1:7" ht="21" x14ac:dyDescent="0.3">
      <c r="A32" s="18" t="s">
        <v>107</v>
      </c>
    </row>
    <row r="33" spans="1:4" x14ac:dyDescent="0.3">
      <c r="A33" s="28" t="s">
        <v>108</v>
      </c>
      <c r="B33" s="28" t="s">
        <v>29</v>
      </c>
      <c r="C33" s="28" t="s">
        <v>24</v>
      </c>
      <c r="D33" s="28"/>
    </row>
    <row r="34" spans="1:4" x14ac:dyDescent="0.3">
      <c r="A34" s="162" t="s">
        <v>109</v>
      </c>
      <c r="B34" s="162"/>
      <c r="C34" s="162"/>
      <c r="D34" s="162"/>
    </row>
    <row r="35" spans="1:4" x14ac:dyDescent="0.3">
      <c r="A35" s="22" t="s">
        <v>72</v>
      </c>
      <c r="B35" s="22" t="s">
        <v>180</v>
      </c>
      <c r="C35" s="151"/>
      <c r="D35" s="152"/>
    </row>
    <row r="36" spans="1:4" x14ac:dyDescent="0.3">
      <c r="A36" s="22" t="s">
        <v>16</v>
      </c>
      <c r="B36" s="22" t="s">
        <v>181</v>
      </c>
      <c r="C36" s="151"/>
      <c r="D36" s="152"/>
    </row>
    <row r="37" spans="1:4" x14ac:dyDescent="0.3">
      <c r="A37" s="22" t="s">
        <v>17</v>
      </c>
      <c r="B37" s="22" t="s">
        <v>182</v>
      </c>
      <c r="C37" s="151"/>
      <c r="D37" s="152"/>
    </row>
    <row r="38" spans="1:4" x14ac:dyDescent="0.3">
      <c r="A38" s="22" t="s">
        <v>19</v>
      </c>
      <c r="B38" s="22" t="s">
        <v>183</v>
      </c>
      <c r="C38" s="151"/>
      <c r="D38" s="152"/>
    </row>
    <row r="39" spans="1:4" x14ac:dyDescent="0.3">
      <c r="A39" s="69" t="s">
        <v>18</v>
      </c>
      <c r="B39" s="22" t="s">
        <v>184</v>
      </c>
      <c r="C39" s="153" t="s">
        <v>137</v>
      </c>
      <c r="D39" s="154"/>
    </row>
    <row r="40" spans="1:4" x14ac:dyDescent="0.3">
      <c r="A40" s="68" t="s">
        <v>288</v>
      </c>
      <c r="B40" s="140" t="s">
        <v>289</v>
      </c>
      <c r="C40" s="138"/>
      <c r="D40" s="139"/>
    </row>
    <row r="41" spans="1:4" x14ac:dyDescent="0.3">
      <c r="A41" s="68" t="s">
        <v>142</v>
      </c>
      <c r="B41" s="84" t="s">
        <v>198</v>
      </c>
      <c r="C41" s="167" t="s">
        <v>199</v>
      </c>
      <c r="D41" s="152"/>
    </row>
    <row r="42" spans="1:4" x14ac:dyDescent="0.3">
      <c r="A42" s="72" t="s">
        <v>159</v>
      </c>
      <c r="B42" s="22" t="s">
        <v>185</v>
      </c>
      <c r="C42" s="151"/>
      <c r="D42" s="152"/>
    </row>
    <row r="43" spans="1:4" x14ac:dyDescent="0.3">
      <c r="A43" s="22" t="s">
        <v>0</v>
      </c>
      <c r="B43" s="22" t="s">
        <v>186</v>
      </c>
      <c r="C43" s="151"/>
      <c r="D43" s="152"/>
    </row>
    <row r="44" spans="1:4" x14ac:dyDescent="0.3">
      <c r="A44" s="22" t="s">
        <v>89</v>
      </c>
      <c r="B44" s="22" t="s">
        <v>187</v>
      </c>
      <c r="C44" s="151"/>
      <c r="D44" s="152"/>
    </row>
    <row r="45" spans="1:4" x14ac:dyDescent="0.3">
      <c r="A45" s="84" t="s">
        <v>217</v>
      </c>
      <c r="B45" s="22" t="s">
        <v>188</v>
      </c>
      <c r="C45" s="151"/>
      <c r="D45" s="152"/>
    </row>
    <row r="46" spans="1:4" x14ac:dyDescent="0.3">
      <c r="A46" s="22" t="s">
        <v>20</v>
      </c>
      <c r="B46" s="22" t="s">
        <v>189</v>
      </c>
      <c r="C46" s="151"/>
      <c r="D46" s="152"/>
    </row>
    <row r="47" spans="1:4" x14ac:dyDescent="0.3">
      <c r="A47" s="72" t="s">
        <v>158</v>
      </c>
      <c r="B47" s="84" t="s">
        <v>200</v>
      </c>
      <c r="C47" s="151"/>
      <c r="D47" s="152"/>
    </row>
    <row r="48" spans="1:4" x14ac:dyDescent="0.3">
      <c r="A48" s="72" t="s">
        <v>160</v>
      </c>
      <c r="B48" s="84" t="s">
        <v>201</v>
      </c>
      <c r="C48" s="151"/>
      <c r="D48" s="152"/>
    </row>
    <row r="49" spans="1:5" x14ac:dyDescent="0.3">
      <c r="A49" s="163" t="s">
        <v>70</v>
      </c>
      <c r="B49" s="164"/>
      <c r="C49" s="164"/>
      <c r="D49" s="165"/>
    </row>
    <row r="50" spans="1:5" ht="15.6" x14ac:dyDescent="0.3">
      <c r="A50" s="22" t="s">
        <v>110</v>
      </c>
      <c r="B50" s="22" t="s">
        <v>190</v>
      </c>
      <c r="C50" s="166" t="s">
        <v>111</v>
      </c>
      <c r="D50" s="166"/>
    </row>
    <row r="51" spans="1:5" ht="15.6" x14ac:dyDescent="0.3">
      <c r="A51" s="22" t="s">
        <v>112</v>
      </c>
      <c r="B51" s="22" t="s">
        <v>191</v>
      </c>
      <c r="C51" s="151" t="s">
        <v>113</v>
      </c>
      <c r="D51" s="152"/>
    </row>
    <row r="52" spans="1:5" ht="15.6" x14ac:dyDescent="0.3">
      <c r="A52" s="22" t="s">
        <v>114</v>
      </c>
      <c r="B52" s="22" t="s">
        <v>192</v>
      </c>
      <c r="C52" s="151" t="s">
        <v>115</v>
      </c>
      <c r="D52" s="152"/>
    </row>
    <row r="53" spans="1:5" ht="15.6" x14ac:dyDescent="0.3">
      <c r="A53" s="22" t="s">
        <v>116</v>
      </c>
      <c r="B53" s="22" t="s">
        <v>193</v>
      </c>
      <c r="C53" s="151" t="s">
        <v>117</v>
      </c>
      <c r="D53" s="152"/>
    </row>
    <row r="55" spans="1:5" ht="21" x14ac:dyDescent="0.3">
      <c r="A55" s="18" t="s">
        <v>118</v>
      </c>
    </row>
    <row r="56" spans="1:5" x14ac:dyDescent="0.3">
      <c r="A56" s="28" t="s">
        <v>119</v>
      </c>
      <c r="B56" s="28" t="s">
        <v>81</v>
      </c>
      <c r="C56" s="28" t="s">
        <v>81</v>
      </c>
      <c r="D56" s="97" t="s">
        <v>140</v>
      </c>
      <c r="E56" s="96" t="s">
        <v>138</v>
      </c>
    </row>
    <row r="57" spans="1:5" x14ac:dyDescent="0.3">
      <c r="A57" s="22" t="str">
        <f>EB_AGR!A1</f>
        <v>Agricultural energy balance</v>
      </c>
      <c r="B57" s="94" t="s">
        <v>234</v>
      </c>
      <c r="C57" s="73" t="s">
        <v>177</v>
      </c>
      <c r="D57" s="73" t="s">
        <v>141</v>
      </c>
      <c r="E57" s="66"/>
    </row>
    <row r="58" spans="1:5" x14ac:dyDescent="0.3">
      <c r="A58" s="66"/>
      <c r="B58" s="67"/>
      <c r="C58" s="65"/>
      <c r="D58" s="65"/>
    </row>
    <row r="59" spans="1:5" ht="18" x14ac:dyDescent="0.3">
      <c r="A59" s="100" t="s">
        <v>28</v>
      </c>
      <c r="B59" s="101"/>
      <c r="C59" s="101"/>
      <c r="D59" s="35"/>
    </row>
    <row r="60" spans="1:5" ht="15" thickBot="1" x14ac:dyDescent="0.35">
      <c r="A60" s="36" t="s">
        <v>28</v>
      </c>
      <c r="B60" s="36" t="s">
        <v>24</v>
      </c>
      <c r="C60" s="36" t="s">
        <v>120</v>
      </c>
      <c r="D60" s="36"/>
    </row>
    <row r="61" spans="1:5" ht="37.950000000000003" customHeight="1" x14ac:dyDescent="0.3">
      <c r="A61" s="102" t="s">
        <v>146</v>
      </c>
      <c r="B61" s="103" t="s">
        <v>161</v>
      </c>
      <c r="C61" s="161" t="s">
        <v>263</v>
      </c>
      <c r="D61" s="161"/>
    </row>
    <row r="62" spans="1:5" ht="14.4" customHeight="1" x14ac:dyDescent="0.3">
      <c r="A62" s="102" t="s">
        <v>147</v>
      </c>
      <c r="B62" s="104" t="s">
        <v>162</v>
      </c>
      <c r="C62" s="156" t="s">
        <v>264</v>
      </c>
      <c r="D62" s="156"/>
    </row>
    <row r="63" spans="1:5" ht="14.4" customHeight="1" x14ac:dyDescent="0.3">
      <c r="A63" s="102" t="s">
        <v>149</v>
      </c>
      <c r="B63" s="105" t="s">
        <v>164</v>
      </c>
      <c r="C63" s="157" t="s">
        <v>265</v>
      </c>
      <c r="D63" s="157"/>
    </row>
    <row r="64" spans="1:5" ht="14.4" customHeight="1" x14ac:dyDescent="0.3">
      <c r="A64" s="102" t="s">
        <v>148</v>
      </c>
      <c r="B64" s="104" t="s">
        <v>163</v>
      </c>
      <c r="C64" s="155" t="s">
        <v>266</v>
      </c>
      <c r="D64" s="155"/>
    </row>
    <row r="65" spans="1:4" x14ac:dyDescent="0.3">
      <c r="A65" s="102" t="s">
        <v>150</v>
      </c>
      <c r="B65" s="105" t="s">
        <v>165</v>
      </c>
      <c r="C65" s="155" t="s">
        <v>267</v>
      </c>
      <c r="D65" s="155"/>
    </row>
    <row r="66" spans="1:4" x14ac:dyDescent="0.3">
      <c r="A66" s="102" t="s">
        <v>151</v>
      </c>
      <c r="B66" s="104" t="s">
        <v>166</v>
      </c>
      <c r="C66" s="155" t="s">
        <v>268</v>
      </c>
      <c r="D66" s="155"/>
    </row>
    <row r="67" spans="1:4" ht="14.4" customHeight="1" x14ac:dyDescent="0.3">
      <c r="A67" s="106" t="s">
        <v>152</v>
      </c>
      <c r="B67" s="104" t="s">
        <v>167</v>
      </c>
      <c r="C67" s="155" t="s">
        <v>269</v>
      </c>
      <c r="D67" s="155"/>
    </row>
    <row r="68" spans="1:4" ht="14.4" customHeight="1" x14ac:dyDescent="0.3">
      <c r="A68" s="102" t="s">
        <v>153</v>
      </c>
      <c r="B68" s="104" t="s">
        <v>168</v>
      </c>
      <c r="C68" s="155" t="s">
        <v>270</v>
      </c>
      <c r="D68" s="155"/>
    </row>
    <row r="69" spans="1:4" x14ac:dyDescent="0.3">
      <c r="A69" s="102" t="s">
        <v>1</v>
      </c>
      <c r="B69" s="105" t="s">
        <v>83</v>
      </c>
      <c r="C69" s="155" t="s">
        <v>83</v>
      </c>
      <c r="D69" s="155"/>
    </row>
    <row r="70" spans="1:4" ht="14.4" customHeight="1" x14ac:dyDescent="0.3">
      <c r="A70" s="102" t="s">
        <v>2</v>
      </c>
      <c r="B70" s="105" t="s">
        <v>84</v>
      </c>
      <c r="C70" s="135" t="s">
        <v>84</v>
      </c>
      <c r="D70" s="135"/>
    </row>
    <row r="71" spans="1:4" x14ac:dyDescent="0.3">
      <c r="A71" s="102" t="s">
        <v>243</v>
      </c>
      <c r="B71" s="104" t="s">
        <v>252</v>
      </c>
      <c r="C71" s="136" t="s">
        <v>252</v>
      </c>
      <c r="D71" s="136"/>
    </row>
    <row r="72" spans="1:4" x14ac:dyDescent="0.3">
      <c r="A72" s="102" t="s">
        <v>3</v>
      </c>
      <c r="B72" s="104" t="s">
        <v>253</v>
      </c>
      <c r="C72" s="136" t="s">
        <v>253</v>
      </c>
      <c r="D72" s="136"/>
    </row>
    <row r="73" spans="1:4" x14ac:dyDescent="0.3">
      <c r="A73" s="102" t="s">
        <v>154</v>
      </c>
      <c r="B73" s="105" t="s">
        <v>169</v>
      </c>
      <c r="C73" s="155" t="s">
        <v>271</v>
      </c>
      <c r="D73" s="155"/>
    </row>
    <row r="74" spans="1:4" ht="14.4" customHeight="1" x14ac:dyDescent="0.3">
      <c r="A74" s="102" t="s">
        <v>155</v>
      </c>
      <c r="B74" s="105" t="s">
        <v>170</v>
      </c>
      <c r="C74" s="155" t="s">
        <v>272</v>
      </c>
      <c r="D74" s="155"/>
    </row>
    <row r="75" spans="1:4" x14ac:dyDescent="0.3">
      <c r="A75" s="102" t="s">
        <v>156</v>
      </c>
      <c r="B75" s="104" t="s">
        <v>171</v>
      </c>
      <c r="C75" s="155" t="s">
        <v>273</v>
      </c>
      <c r="D75" s="155"/>
    </row>
    <row r="76" spans="1:4" ht="14.4" customHeight="1" x14ac:dyDescent="0.3">
      <c r="A76" s="102" t="s">
        <v>244</v>
      </c>
      <c r="B76" s="105" t="s">
        <v>254</v>
      </c>
      <c r="C76" s="155" t="s">
        <v>274</v>
      </c>
      <c r="D76" s="155"/>
    </row>
    <row r="77" spans="1:4" ht="14.4" customHeight="1" x14ac:dyDescent="0.3">
      <c r="A77" s="106" t="s">
        <v>157</v>
      </c>
      <c r="B77" s="105" t="s">
        <v>172</v>
      </c>
      <c r="C77" s="155" t="s">
        <v>275</v>
      </c>
      <c r="D77" s="155"/>
    </row>
    <row r="78" spans="1:4" x14ac:dyDescent="0.3">
      <c r="A78" s="102" t="s">
        <v>4</v>
      </c>
      <c r="B78" s="105" t="s">
        <v>255</v>
      </c>
      <c r="C78" s="155" t="s">
        <v>276</v>
      </c>
      <c r="D78" s="155"/>
    </row>
    <row r="79" spans="1:4" x14ac:dyDescent="0.3">
      <c r="A79" s="102" t="s">
        <v>5</v>
      </c>
      <c r="B79" s="104" t="s">
        <v>85</v>
      </c>
      <c r="C79" s="155" t="s">
        <v>85</v>
      </c>
      <c r="D79" s="155"/>
    </row>
    <row r="80" spans="1:4" x14ac:dyDescent="0.3">
      <c r="A80" s="102" t="s">
        <v>6</v>
      </c>
      <c r="B80" s="105" t="s">
        <v>86</v>
      </c>
      <c r="C80" s="155" t="s">
        <v>86</v>
      </c>
      <c r="D80" s="155"/>
    </row>
    <row r="81" spans="1:4" x14ac:dyDescent="0.3">
      <c r="A81" s="102" t="s">
        <v>7</v>
      </c>
      <c r="B81" s="104" t="s">
        <v>87</v>
      </c>
      <c r="C81" s="155" t="s">
        <v>277</v>
      </c>
      <c r="D81" s="155"/>
    </row>
    <row r="82" spans="1:4" x14ac:dyDescent="0.3">
      <c r="A82" s="106" t="s">
        <v>245</v>
      </c>
      <c r="B82" s="105" t="s">
        <v>256</v>
      </c>
      <c r="C82" s="156" t="s">
        <v>278</v>
      </c>
      <c r="D82" s="156"/>
    </row>
    <row r="83" spans="1:4" x14ac:dyDescent="0.3">
      <c r="A83" s="102" t="s">
        <v>8</v>
      </c>
      <c r="B83" s="103" t="s">
        <v>257</v>
      </c>
      <c r="C83" s="155" t="s">
        <v>279</v>
      </c>
      <c r="D83" s="155"/>
    </row>
    <row r="84" spans="1:4" ht="14.4" customHeight="1" x14ac:dyDescent="0.3">
      <c r="A84" s="74" t="s">
        <v>9</v>
      </c>
      <c r="B84" s="75" t="s">
        <v>88</v>
      </c>
      <c r="C84" s="158" t="s">
        <v>88</v>
      </c>
      <c r="D84" s="158"/>
    </row>
    <row r="85" spans="1:4" ht="14.4" customHeight="1" x14ac:dyDescent="0.3">
      <c r="A85" s="74" t="s">
        <v>246</v>
      </c>
      <c r="B85" s="75" t="s">
        <v>258</v>
      </c>
      <c r="C85" s="158" t="s">
        <v>258</v>
      </c>
      <c r="D85" s="158"/>
    </row>
    <row r="86" spans="1:4" x14ac:dyDescent="0.3">
      <c r="A86" s="74" t="s">
        <v>10</v>
      </c>
      <c r="B86" s="75" t="s">
        <v>259</v>
      </c>
      <c r="C86" s="158" t="s">
        <v>259</v>
      </c>
      <c r="D86" s="158"/>
    </row>
    <row r="87" spans="1:4" x14ac:dyDescent="0.3">
      <c r="A87" s="74" t="s">
        <v>247</v>
      </c>
      <c r="B87" s="147" t="s">
        <v>298</v>
      </c>
      <c r="C87" s="159" t="s">
        <v>297</v>
      </c>
      <c r="D87" s="158"/>
    </row>
    <row r="88" spans="1:4" x14ac:dyDescent="0.3">
      <c r="A88" s="111" t="s">
        <v>11</v>
      </c>
      <c r="B88" s="112" t="s">
        <v>173</v>
      </c>
      <c r="C88" s="160" t="s">
        <v>173</v>
      </c>
      <c r="D88" s="160"/>
    </row>
  </sheetData>
  <sortState xmlns:xlrd2="http://schemas.microsoft.com/office/spreadsheetml/2017/richdata2" ref="A35:C47">
    <sortCondition ref="A35:A47"/>
  </sortState>
  <mergeCells count="55">
    <mergeCell ref="B11:D11"/>
    <mergeCell ref="B15:D15"/>
    <mergeCell ref="B16:D16"/>
    <mergeCell ref="B17:D17"/>
    <mergeCell ref="B18:D18"/>
    <mergeCell ref="C44:D44"/>
    <mergeCell ref="C45:D45"/>
    <mergeCell ref="C35:D35"/>
    <mergeCell ref="B20:D20"/>
    <mergeCell ref="C36:D36"/>
    <mergeCell ref="C37:D37"/>
    <mergeCell ref="B27:D27"/>
    <mergeCell ref="B21:D21"/>
    <mergeCell ref="B22:D22"/>
    <mergeCell ref="B23:D23"/>
    <mergeCell ref="C79:D79"/>
    <mergeCell ref="C80:D80"/>
    <mergeCell ref="C86:D86"/>
    <mergeCell ref="C87:D87"/>
    <mergeCell ref="C88:D88"/>
    <mergeCell ref="C81:D81"/>
    <mergeCell ref="C82:D82"/>
    <mergeCell ref="C83:D83"/>
    <mergeCell ref="C84:D84"/>
    <mergeCell ref="C85:D85"/>
    <mergeCell ref="C78:D78"/>
    <mergeCell ref="C73:D73"/>
    <mergeCell ref="C74:D74"/>
    <mergeCell ref="C75:D75"/>
    <mergeCell ref="C53:D53"/>
    <mergeCell ref="C67:D67"/>
    <mergeCell ref="C68:D68"/>
    <mergeCell ref="C69:D69"/>
    <mergeCell ref="C62:D62"/>
    <mergeCell ref="C63:D63"/>
    <mergeCell ref="C64:D64"/>
    <mergeCell ref="C65:D65"/>
    <mergeCell ref="C66:D66"/>
    <mergeCell ref="C61:D61"/>
    <mergeCell ref="A1:D1"/>
    <mergeCell ref="C38:D38"/>
    <mergeCell ref="C39:D39"/>
    <mergeCell ref="C76:D76"/>
    <mergeCell ref="C77:D77"/>
    <mergeCell ref="A34:D34"/>
    <mergeCell ref="A49:D49"/>
    <mergeCell ref="C50:D50"/>
    <mergeCell ref="C51:D51"/>
    <mergeCell ref="C52:D52"/>
    <mergeCell ref="C48:D48"/>
    <mergeCell ref="C46:D46"/>
    <mergeCell ref="C47:D47"/>
    <mergeCell ref="C41:D41"/>
    <mergeCell ref="C42:D42"/>
    <mergeCell ref="C43:D43"/>
  </mergeCells>
  <phoneticPr fontId="52" type="noConversion"/>
  <hyperlinks>
    <hyperlink ref="B12" r:id="rId1" xr:uid="{5064A248-38E0-4BEF-96AB-490071A3EE9F}"/>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39997558519241921"/>
  </sheetPr>
  <dimension ref="A1:AH68"/>
  <sheetViews>
    <sheetView tabSelected="1" topLeftCell="A42" workbookViewId="0">
      <selection activeCell="D12" sqref="D12"/>
    </sheetView>
  </sheetViews>
  <sheetFormatPr defaultColWidth="9" defaultRowHeight="14.4" x14ac:dyDescent="0.3"/>
  <cols>
    <col min="1" max="1" width="17.09765625" style="37" bestFit="1" customWidth="1"/>
    <col min="2" max="2" width="17.09765625" style="37" customWidth="1"/>
    <col min="3" max="3" width="16.8984375" style="37" bestFit="1" customWidth="1"/>
    <col min="4" max="4" width="35" style="37" bestFit="1" customWidth="1"/>
    <col min="5" max="32" width="9.69921875" style="37" customWidth="1"/>
    <col min="33" max="33" width="9" style="37"/>
    <col min="34" max="34" width="10" style="37" bestFit="1" customWidth="1"/>
    <col min="35" max="16384" width="9" style="37"/>
  </cols>
  <sheetData>
    <row r="1" spans="1:34" ht="21" x14ac:dyDescent="0.3">
      <c r="A1" s="10" t="s">
        <v>196</v>
      </c>
      <c r="B1" s="10"/>
    </row>
    <row r="2" spans="1:34" ht="15.6" x14ac:dyDescent="0.3">
      <c r="A2" s="95" t="s">
        <v>81</v>
      </c>
      <c r="B2" s="107" t="s">
        <v>238</v>
      </c>
    </row>
    <row r="3" spans="1:34" ht="15.6" x14ac:dyDescent="0.3">
      <c r="A3" s="11" t="s">
        <v>91</v>
      </c>
      <c r="B3" s="11">
        <v>2018</v>
      </c>
    </row>
    <row r="5" spans="1:34" x14ac:dyDescent="0.3">
      <c r="A5" s="45" t="s">
        <v>15</v>
      </c>
      <c r="B5" s="45"/>
      <c r="C5" s="45"/>
      <c r="D5" s="45"/>
      <c r="E5" s="45" t="s">
        <v>146</v>
      </c>
      <c r="F5" s="45" t="s">
        <v>147</v>
      </c>
      <c r="G5" s="45" t="s">
        <v>149</v>
      </c>
      <c r="H5" s="45" t="s">
        <v>148</v>
      </c>
      <c r="I5" s="45" t="s">
        <v>150</v>
      </c>
      <c r="J5" s="45" t="s">
        <v>151</v>
      </c>
      <c r="K5" s="45" t="s">
        <v>152</v>
      </c>
      <c r="L5" s="45" t="s">
        <v>153</v>
      </c>
      <c r="M5" s="45" t="s">
        <v>1</v>
      </c>
      <c r="N5" s="45" t="s">
        <v>2</v>
      </c>
      <c r="O5" s="45" t="s">
        <v>243</v>
      </c>
      <c r="P5" s="45" t="s">
        <v>3</v>
      </c>
      <c r="Q5" s="45" t="s">
        <v>154</v>
      </c>
      <c r="R5" s="45" t="s">
        <v>155</v>
      </c>
      <c r="S5" s="45" t="s">
        <v>156</v>
      </c>
      <c r="T5" s="45" t="s">
        <v>244</v>
      </c>
      <c r="U5" s="45" t="s">
        <v>157</v>
      </c>
      <c r="V5" s="45" t="s">
        <v>4</v>
      </c>
      <c r="W5" s="45" t="s">
        <v>5</v>
      </c>
      <c r="X5" s="45" t="s">
        <v>6</v>
      </c>
      <c r="Y5" s="45" t="s">
        <v>7</v>
      </c>
      <c r="Z5" s="45" t="s">
        <v>245</v>
      </c>
      <c r="AA5" s="45" t="s">
        <v>8</v>
      </c>
      <c r="AB5" s="45" t="s">
        <v>9</v>
      </c>
      <c r="AC5" s="45" t="s">
        <v>246</v>
      </c>
      <c r="AD5" s="45" t="s">
        <v>10</v>
      </c>
      <c r="AE5" s="45" t="s">
        <v>247</v>
      </c>
      <c r="AF5" s="45" t="s">
        <v>11</v>
      </c>
      <c r="AG5" s="7"/>
    </row>
    <row r="6" spans="1:34" ht="16.2" thickBot="1" x14ac:dyDescent="0.35">
      <c r="A6" s="46" t="s">
        <v>82</v>
      </c>
      <c r="B6" s="46" t="s">
        <v>92</v>
      </c>
      <c r="C6" s="46" t="s">
        <v>93</v>
      </c>
      <c r="D6" s="46" t="s">
        <v>94</v>
      </c>
      <c r="E6" s="46" t="s">
        <v>12</v>
      </c>
      <c r="F6" s="46" t="s">
        <v>12</v>
      </c>
      <c r="G6" s="46" t="s">
        <v>12</v>
      </c>
      <c r="H6" s="46" t="s">
        <v>12</v>
      </c>
      <c r="I6" s="46" t="s">
        <v>12</v>
      </c>
      <c r="J6" s="46" t="s">
        <v>12</v>
      </c>
      <c r="K6" s="46" t="s">
        <v>12</v>
      </c>
      <c r="L6" s="46" t="s">
        <v>12</v>
      </c>
      <c r="M6" s="46" t="s">
        <v>12</v>
      </c>
      <c r="N6" s="46" t="s">
        <v>12</v>
      </c>
      <c r="O6" s="46" t="s">
        <v>12</v>
      </c>
      <c r="P6" s="46" t="s">
        <v>12</v>
      </c>
      <c r="Q6" s="46" t="s">
        <v>12</v>
      </c>
      <c r="R6" s="46" t="s">
        <v>12</v>
      </c>
      <c r="S6" s="46" t="s">
        <v>12</v>
      </c>
      <c r="T6" s="46" t="s">
        <v>12</v>
      </c>
      <c r="U6" s="46" t="s">
        <v>12</v>
      </c>
      <c r="V6" s="46" t="s">
        <v>12</v>
      </c>
      <c r="W6" s="46" t="s">
        <v>12</v>
      </c>
      <c r="X6" s="46" t="s">
        <v>12</v>
      </c>
      <c r="Y6" s="46" t="s">
        <v>12</v>
      </c>
      <c r="Z6" s="46" t="s">
        <v>12</v>
      </c>
      <c r="AA6" s="46" t="s">
        <v>12</v>
      </c>
      <c r="AB6" s="46" t="s">
        <v>12</v>
      </c>
      <c r="AC6" s="46" t="s">
        <v>12</v>
      </c>
      <c r="AD6" s="46" t="s">
        <v>12</v>
      </c>
      <c r="AE6" s="46" t="s">
        <v>12</v>
      </c>
      <c r="AF6" s="46" t="s">
        <v>12</v>
      </c>
      <c r="AH6" s="46" t="s">
        <v>73</v>
      </c>
    </row>
    <row r="7" spans="1:34" x14ac:dyDescent="0.3">
      <c r="A7" s="37" t="s">
        <v>179</v>
      </c>
      <c r="B7" s="37" t="s">
        <v>178</v>
      </c>
      <c r="C7" s="37" t="s">
        <v>205</v>
      </c>
      <c r="D7" s="37" t="s">
        <v>16</v>
      </c>
      <c r="E7" s="50">
        <v>0</v>
      </c>
      <c r="F7" s="50">
        <v>0</v>
      </c>
      <c r="G7" s="50">
        <v>0</v>
      </c>
      <c r="H7" s="50">
        <v>19.384</v>
      </c>
      <c r="I7" s="50">
        <v>2.0299999999999998</v>
      </c>
      <c r="J7" s="50">
        <v>4.0380000000000003</v>
      </c>
      <c r="K7" s="50">
        <v>8.6739999999999995</v>
      </c>
      <c r="L7" s="50">
        <v>0</v>
      </c>
      <c r="M7" s="50">
        <v>0</v>
      </c>
      <c r="N7" s="50">
        <v>0.79300000000000004</v>
      </c>
      <c r="O7" s="50">
        <v>0</v>
      </c>
      <c r="P7" s="50">
        <v>448.798</v>
      </c>
      <c r="Q7" s="50">
        <v>0.47299999999999998</v>
      </c>
      <c r="R7" s="50">
        <v>0</v>
      </c>
      <c r="S7" s="50">
        <v>30.74</v>
      </c>
      <c r="T7" s="50">
        <v>3.5999999999999997E-2</v>
      </c>
      <c r="U7" s="50">
        <v>2.92</v>
      </c>
      <c r="V7" s="50">
        <v>0.70399999999999996</v>
      </c>
      <c r="W7" s="50">
        <v>0</v>
      </c>
      <c r="X7" s="50">
        <v>0</v>
      </c>
      <c r="Y7" s="50">
        <v>4.0000000000000001E-3</v>
      </c>
      <c r="Z7" s="50">
        <v>0</v>
      </c>
      <c r="AA7" s="50">
        <v>0</v>
      </c>
      <c r="AB7" s="50">
        <v>0</v>
      </c>
      <c r="AC7" s="50">
        <v>0</v>
      </c>
      <c r="AD7" s="50">
        <v>1.837</v>
      </c>
      <c r="AE7" s="50">
        <v>0</v>
      </c>
      <c r="AF7" s="50">
        <v>0</v>
      </c>
      <c r="AH7" s="49">
        <f t="shared" ref="AH7:AH14" si="0">SUM(E7:AF7)</f>
        <v>520.43099999999981</v>
      </c>
    </row>
    <row r="8" spans="1:34" x14ac:dyDescent="0.3">
      <c r="A8" s="37" t="s">
        <v>179</v>
      </c>
      <c r="B8" s="37" t="s">
        <v>178</v>
      </c>
      <c r="C8" s="37" t="s">
        <v>281</v>
      </c>
      <c r="D8" s="37" t="s">
        <v>282</v>
      </c>
      <c r="E8" s="50">
        <v>0</v>
      </c>
      <c r="F8" s="50">
        <v>0</v>
      </c>
      <c r="G8" s="50">
        <v>0</v>
      </c>
      <c r="H8" s="50">
        <v>0</v>
      </c>
      <c r="I8" s="50">
        <v>0</v>
      </c>
      <c r="J8" s="50">
        <v>0</v>
      </c>
      <c r="K8" s="50">
        <v>0</v>
      </c>
      <c r="L8" s="50">
        <v>0</v>
      </c>
      <c r="M8" s="50">
        <v>0</v>
      </c>
      <c r="N8" s="50">
        <v>0</v>
      </c>
      <c r="O8" s="50">
        <v>0</v>
      </c>
      <c r="P8" s="50">
        <v>20.638000000000002</v>
      </c>
      <c r="Q8" s="50">
        <v>0</v>
      </c>
      <c r="R8" s="50">
        <v>0</v>
      </c>
      <c r="S8" s="50">
        <v>9.0999999999999998E-2</v>
      </c>
      <c r="T8" s="50">
        <v>0</v>
      </c>
      <c r="U8" s="50">
        <v>1.7999999999999999E-2</v>
      </c>
      <c r="V8" s="50">
        <v>0</v>
      </c>
      <c r="W8" s="50">
        <v>0</v>
      </c>
      <c r="X8" s="50">
        <v>1E-3</v>
      </c>
      <c r="Y8" s="50">
        <v>0</v>
      </c>
      <c r="Z8" s="50">
        <v>0</v>
      </c>
      <c r="AA8" s="50">
        <v>0</v>
      </c>
      <c r="AB8" s="50">
        <v>0</v>
      </c>
      <c r="AC8" s="50">
        <v>0</v>
      </c>
      <c r="AD8" s="50">
        <v>0</v>
      </c>
      <c r="AE8" s="50">
        <v>0</v>
      </c>
      <c r="AF8" s="50">
        <v>0</v>
      </c>
      <c r="AH8" s="49"/>
    </row>
    <row r="9" spans="1:34" x14ac:dyDescent="0.3">
      <c r="A9" s="37" t="s">
        <v>179</v>
      </c>
      <c r="B9" s="37" t="s">
        <v>178</v>
      </c>
      <c r="C9" s="37" t="s">
        <v>280</v>
      </c>
      <c r="D9" s="37" t="s">
        <v>283</v>
      </c>
      <c r="E9" s="50">
        <v>0</v>
      </c>
      <c r="F9" s="50">
        <v>0</v>
      </c>
      <c r="G9" s="50">
        <v>0</v>
      </c>
      <c r="H9" s="50">
        <v>0</v>
      </c>
      <c r="I9" s="50">
        <v>8.0000000000000002E-3</v>
      </c>
      <c r="J9" s="50">
        <v>2E-3</v>
      </c>
      <c r="K9" s="50">
        <v>0</v>
      </c>
      <c r="L9" s="50">
        <v>0</v>
      </c>
      <c r="M9" s="50">
        <v>0</v>
      </c>
      <c r="N9" s="50">
        <v>0</v>
      </c>
      <c r="O9" s="50">
        <v>0</v>
      </c>
      <c r="P9" s="50">
        <v>0</v>
      </c>
      <c r="Q9" s="50">
        <v>3.0000000000000001E-3</v>
      </c>
      <c r="R9" s="50">
        <v>0</v>
      </c>
      <c r="S9" s="50">
        <v>0.96499999999999997</v>
      </c>
      <c r="T9" s="50">
        <v>5.1999999999999998E-2</v>
      </c>
      <c r="U9" s="50">
        <v>0</v>
      </c>
      <c r="V9" s="50">
        <v>0</v>
      </c>
      <c r="W9" s="50">
        <v>0</v>
      </c>
      <c r="X9" s="50">
        <v>0</v>
      </c>
      <c r="Y9" s="50">
        <v>0</v>
      </c>
      <c r="Z9" s="50">
        <v>0</v>
      </c>
      <c r="AA9" s="50">
        <v>0</v>
      </c>
      <c r="AB9" s="50">
        <v>0</v>
      </c>
      <c r="AC9" s="50">
        <v>0</v>
      </c>
      <c r="AD9" s="50">
        <v>0.41399999999999998</v>
      </c>
      <c r="AE9" s="50">
        <v>0</v>
      </c>
      <c r="AF9" s="50">
        <v>0</v>
      </c>
      <c r="AH9" s="49"/>
    </row>
    <row r="10" spans="1:34" x14ac:dyDescent="0.3">
      <c r="A10" s="37" t="s">
        <v>179</v>
      </c>
      <c r="B10" s="37" t="s">
        <v>178</v>
      </c>
      <c r="C10" s="37" t="s">
        <v>206</v>
      </c>
      <c r="D10" s="37" t="s">
        <v>223</v>
      </c>
      <c r="E10" s="50">
        <v>15.71</v>
      </c>
      <c r="F10" s="50">
        <v>82.742000000000004</v>
      </c>
      <c r="G10" s="50">
        <v>11.757</v>
      </c>
      <c r="H10" s="50">
        <v>64.370999999999995</v>
      </c>
      <c r="I10" s="50">
        <v>90.715999999999994</v>
      </c>
      <c r="J10" s="50">
        <v>28.08</v>
      </c>
      <c r="K10" s="50">
        <v>227.428</v>
      </c>
      <c r="L10" s="50">
        <v>45.381</v>
      </c>
      <c r="M10" s="50">
        <v>207.898</v>
      </c>
      <c r="N10" s="50">
        <v>151.011</v>
      </c>
      <c r="O10" s="50">
        <v>11.467000000000001</v>
      </c>
      <c r="P10" s="50">
        <v>636.07600000000002</v>
      </c>
      <c r="Q10" s="50">
        <v>90.712000000000003</v>
      </c>
      <c r="R10" s="50">
        <v>39.128999999999998</v>
      </c>
      <c r="S10" s="50">
        <v>150.28299999999999</v>
      </c>
      <c r="T10" s="50">
        <v>310.30200000000002</v>
      </c>
      <c r="U10" s="50">
        <v>183.797</v>
      </c>
      <c r="V10" s="50">
        <v>82.114000000000004</v>
      </c>
      <c r="W10" s="50">
        <v>27.094999999999999</v>
      </c>
      <c r="X10" s="50">
        <v>160.304</v>
      </c>
      <c r="Y10" s="50">
        <v>198.94300000000001</v>
      </c>
      <c r="Z10" s="50">
        <v>137.37799999999999</v>
      </c>
      <c r="AA10" s="50">
        <v>109.61199999999999</v>
      </c>
      <c r="AB10" s="50">
        <v>106.851</v>
      </c>
      <c r="AC10" s="50">
        <v>0.186</v>
      </c>
      <c r="AD10" s="50">
        <v>121.205</v>
      </c>
      <c r="AE10" s="50">
        <v>44.853000000000002</v>
      </c>
      <c r="AF10" s="50">
        <v>336.12599999999998</v>
      </c>
      <c r="AH10" s="49">
        <f t="shared" si="0"/>
        <v>3671.527</v>
      </c>
    </row>
    <row r="11" spans="1:34" x14ac:dyDescent="0.3">
      <c r="A11" s="37" t="s">
        <v>179</v>
      </c>
      <c r="B11" s="37" t="s">
        <v>178</v>
      </c>
      <c r="C11" s="37" t="s">
        <v>207</v>
      </c>
      <c r="D11" s="37" t="s">
        <v>17</v>
      </c>
      <c r="E11" s="50">
        <v>5.101</v>
      </c>
      <c r="F11" s="50">
        <v>52.826000000000001</v>
      </c>
      <c r="G11" s="50">
        <v>1.61</v>
      </c>
      <c r="H11" s="50">
        <v>29.814</v>
      </c>
      <c r="I11" s="50">
        <v>16.989000000000001</v>
      </c>
      <c r="J11" s="50">
        <v>86.539000000000001</v>
      </c>
      <c r="K11" s="50">
        <v>5.1470000000000002</v>
      </c>
      <c r="L11" s="50">
        <v>43.582999999999998</v>
      </c>
      <c r="M11" s="50">
        <v>112.11499999999999</v>
      </c>
      <c r="N11" s="50">
        <v>37.972999999999999</v>
      </c>
      <c r="O11" s="50">
        <v>8.6189999999999998</v>
      </c>
      <c r="P11" s="50">
        <v>481.03199999999998</v>
      </c>
      <c r="Q11" s="50">
        <v>21.741</v>
      </c>
      <c r="R11" s="50">
        <v>27.202000000000002</v>
      </c>
      <c r="S11" s="50">
        <v>21.402000000000001</v>
      </c>
      <c r="T11" s="50">
        <v>84.986999999999995</v>
      </c>
      <c r="U11" s="50">
        <v>88.808000000000007</v>
      </c>
      <c r="V11" s="50">
        <v>35.927</v>
      </c>
      <c r="W11" s="50">
        <v>821.41899999999998</v>
      </c>
      <c r="X11" s="50">
        <v>11.805</v>
      </c>
      <c r="Y11" s="50">
        <v>23.760999999999999</v>
      </c>
      <c r="Z11" s="50">
        <v>57.892000000000003</v>
      </c>
      <c r="AA11" s="50">
        <v>168.768</v>
      </c>
      <c r="AB11" s="50">
        <v>47.271999999999998</v>
      </c>
      <c r="AC11" s="50">
        <v>0</v>
      </c>
      <c r="AD11" s="50">
        <v>70.950999999999993</v>
      </c>
      <c r="AE11" s="50">
        <v>61.51</v>
      </c>
      <c r="AF11" s="50">
        <v>270.74099999999999</v>
      </c>
      <c r="AH11" s="49">
        <f t="shared" si="0"/>
        <v>2695.5340000000001</v>
      </c>
    </row>
    <row r="12" spans="1:34" x14ac:dyDescent="0.3">
      <c r="A12" s="37" t="s">
        <v>179</v>
      </c>
      <c r="B12" s="37" t="s">
        <v>178</v>
      </c>
      <c r="C12" s="37" t="s">
        <v>208</v>
      </c>
      <c r="D12" s="37" t="s">
        <v>224</v>
      </c>
      <c r="E12" s="50">
        <v>2.54</v>
      </c>
      <c r="F12" s="50">
        <v>0.68799999999999994</v>
      </c>
      <c r="G12" s="50">
        <v>0.115</v>
      </c>
      <c r="H12" s="50">
        <v>5.4669999999999996</v>
      </c>
      <c r="I12" s="50">
        <v>7.0590000000000002</v>
      </c>
      <c r="J12" s="50">
        <v>0.23699999999999999</v>
      </c>
      <c r="K12" s="50">
        <v>6.9749999999999996</v>
      </c>
      <c r="L12" s="50">
        <v>0.126</v>
      </c>
      <c r="M12" s="50">
        <v>0</v>
      </c>
      <c r="N12" s="50">
        <v>47.481999999999999</v>
      </c>
      <c r="O12" s="50">
        <v>0</v>
      </c>
      <c r="P12" s="50">
        <v>110.461</v>
      </c>
      <c r="Q12" s="50">
        <v>0.64600000000000002</v>
      </c>
      <c r="R12" s="50">
        <v>7.0000000000000001E-3</v>
      </c>
      <c r="S12" s="50">
        <v>0.876</v>
      </c>
      <c r="T12" s="50">
        <v>2.2010000000000001</v>
      </c>
      <c r="U12" s="50">
        <v>3.8050000000000002</v>
      </c>
      <c r="V12" s="50">
        <v>40.439</v>
      </c>
      <c r="W12" s="50">
        <v>0</v>
      </c>
      <c r="X12" s="50">
        <v>0</v>
      </c>
      <c r="Y12" s="50">
        <v>6.4960000000000004</v>
      </c>
      <c r="Z12" s="50">
        <v>0.14799999999999999</v>
      </c>
      <c r="AA12" s="50">
        <v>0</v>
      </c>
      <c r="AB12" s="50">
        <v>0</v>
      </c>
      <c r="AC12" s="50">
        <v>0</v>
      </c>
      <c r="AD12" s="50">
        <v>0</v>
      </c>
      <c r="AE12" s="50">
        <v>0</v>
      </c>
      <c r="AF12" s="50">
        <v>128.339</v>
      </c>
      <c r="AH12" s="49">
        <f t="shared" si="0"/>
        <v>364.10699999999997</v>
      </c>
    </row>
    <row r="13" spans="1:34" x14ac:dyDescent="0.3">
      <c r="A13" s="37" t="s">
        <v>179</v>
      </c>
      <c r="B13" s="37" t="s">
        <v>178</v>
      </c>
      <c r="C13" s="37" t="s">
        <v>175</v>
      </c>
      <c r="D13" s="37" t="s">
        <v>19</v>
      </c>
      <c r="E13" s="50">
        <v>0</v>
      </c>
      <c r="F13" s="50">
        <v>0</v>
      </c>
      <c r="G13" s="50">
        <v>0</v>
      </c>
      <c r="H13" s="50">
        <v>0</v>
      </c>
      <c r="I13" s="50">
        <v>0.44500000000000001</v>
      </c>
      <c r="J13" s="50">
        <v>4.2999999999999997E-2</v>
      </c>
      <c r="K13" s="50">
        <v>0</v>
      </c>
      <c r="L13" s="50">
        <v>0</v>
      </c>
      <c r="M13" s="50">
        <v>0</v>
      </c>
      <c r="N13" s="50">
        <v>0</v>
      </c>
      <c r="O13" s="50">
        <v>0</v>
      </c>
      <c r="P13" s="50">
        <v>0</v>
      </c>
      <c r="Q13" s="50">
        <v>0.13200000000000001</v>
      </c>
      <c r="R13" s="50">
        <v>0.88300000000000001</v>
      </c>
      <c r="S13" s="50">
        <v>2.0259999999999998</v>
      </c>
      <c r="T13" s="50">
        <v>3.1680000000000001</v>
      </c>
      <c r="U13" s="50">
        <v>5.5640000000000001</v>
      </c>
      <c r="V13" s="50">
        <v>0</v>
      </c>
      <c r="W13" s="50">
        <v>0</v>
      </c>
      <c r="X13" s="50">
        <v>0.47</v>
      </c>
      <c r="Y13" s="50">
        <v>0</v>
      </c>
      <c r="Z13" s="50">
        <v>26.251000000000001</v>
      </c>
      <c r="AA13" s="50">
        <v>0</v>
      </c>
      <c r="AB13" s="50">
        <v>0</v>
      </c>
      <c r="AC13" s="50">
        <v>0</v>
      </c>
      <c r="AD13" s="50">
        <v>0</v>
      </c>
      <c r="AE13" s="50">
        <v>1.228</v>
      </c>
      <c r="AF13" s="50">
        <v>0</v>
      </c>
      <c r="AH13" s="49">
        <f t="shared" si="0"/>
        <v>40.21</v>
      </c>
    </row>
    <row r="14" spans="1:34" x14ac:dyDescent="0.3">
      <c r="A14" s="37" t="s">
        <v>179</v>
      </c>
      <c r="B14" s="37" t="s">
        <v>178</v>
      </c>
      <c r="C14" s="37" t="s">
        <v>213</v>
      </c>
      <c r="D14" s="37" t="s">
        <v>260</v>
      </c>
      <c r="E14" s="50">
        <v>0</v>
      </c>
      <c r="F14" s="50">
        <v>0</v>
      </c>
      <c r="G14" s="50">
        <v>0</v>
      </c>
      <c r="H14" s="50">
        <v>0</v>
      </c>
      <c r="I14" s="50">
        <v>0</v>
      </c>
      <c r="J14" s="50">
        <v>0</v>
      </c>
      <c r="K14" s="50">
        <v>0</v>
      </c>
      <c r="L14" s="50">
        <v>9.5399999999999991</v>
      </c>
      <c r="M14" s="50">
        <v>67.438000000000002</v>
      </c>
      <c r="N14" s="50">
        <v>0</v>
      </c>
      <c r="O14" s="50">
        <v>0</v>
      </c>
      <c r="P14" s="50">
        <v>0</v>
      </c>
      <c r="Q14" s="50">
        <v>4.1920000000000002</v>
      </c>
      <c r="R14" s="50">
        <v>0</v>
      </c>
      <c r="S14" s="50">
        <v>20.446000000000002</v>
      </c>
      <c r="T14" s="50">
        <v>0</v>
      </c>
      <c r="U14" s="50">
        <v>0</v>
      </c>
      <c r="V14" s="50">
        <v>0</v>
      </c>
      <c r="W14" s="50">
        <v>0</v>
      </c>
      <c r="X14" s="50">
        <v>0</v>
      </c>
      <c r="Y14" s="50">
        <v>0</v>
      </c>
      <c r="Z14" s="50">
        <v>0</v>
      </c>
      <c r="AA14" s="50">
        <v>0</v>
      </c>
      <c r="AB14" s="50">
        <v>0</v>
      </c>
      <c r="AC14" s="50">
        <v>0</v>
      </c>
      <c r="AD14" s="50">
        <v>0</v>
      </c>
      <c r="AE14" s="50">
        <v>0</v>
      </c>
      <c r="AF14" s="50">
        <v>0</v>
      </c>
      <c r="AH14" s="49">
        <f t="shared" si="0"/>
        <v>101.61600000000001</v>
      </c>
    </row>
    <row r="15" spans="1:34" x14ac:dyDescent="0.3">
      <c r="A15" s="37" t="s">
        <v>179</v>
      </c>
      <c r="B15" s="37" t="s">
        <v>178</v>
      </c>
      <c r="C15" s="37" t="s">
        <v>261</v>
      </c>
      <c r="D15" s="37" t="s">
        <v>262</v>
      </c>
      <c r="E15" s="50">
        <v>6.9000000000000006E-2</v>
      </c>
      <c r="F15" s="50">
        <v>1.409</v>
      </c>
      <c r="G15" s="50">
        <v>0</v>
      </c>
      <c r="H15" s="50">
        <v>1.3460000000000001</v>
      </c>
      <c r="I15" s="50">
        <v>0</v>
      </c>
      <c r="J15" s="50">
        <v>0.316</v>
      </c>
      <c r="K15" s="50">
        <v>0.19</v>
      </c>
      <c r="L15" s="50">
        <v>1E-3</v>
      </c>
      <c r="M15" s="50">
        <v>0.36</v>
      </c>
      <c r="N15" s="50">
        <v>7.391</v>
      </c>
      <c r="O15" s="50">
        <v>3.6539999999999999</v>
      </c>
      <c r="P15" s="50">
        <v>0.47099999999999997</v>
      </c>
      <c r="Q15" s="50">
        <v>0.316</v>
      </c>
      <c r="R15" s="50">
        <v>1.7090000000000001</v>
      </c>
      <c r="S15" s="50">
        <v>0.61599999999999999</v>
      </c>
      <c r="T15" s="50">
        <v>1.33</v>
      </c>
      <c r="U15" s="50">
        <v>2.2330000000000001</v>
      </c>
      <c r="V15" s="50">
        <v>9.9000000000000005E-2</v>
      </c>
      <c r="W15" s="50">
        <v>3.0489999999999999</v>
      </c>
      <c r="X15" s="50">
        <v>0</v>
      </c>
      <c r="Y15" s="50">
        <v>4.6870000000000003</v>
      </c>
      <c r="Z15" s="50">
        <v>0</v>
      </c>
      <c r="AA15" s="50">
        <v>0.33300000000000002</v>
      </c>
      <c r="AB15" s="50">
        <v>19.91</v>
      </c>
      <c r="AC15" s="50">
        <v>0</v>
      </c>
      <c r="AD15" s="50">
        <v>18.942</v>
      </c>
      <c r="AE15" s="50">
        <v>1.1599999999999999</v>
      </c>
      <c r="AF15" s="50">
        <v>3.3000000000000002E-2</v>
      </c>
      <c r="AH15" s="49"/>
    </row>
    <row r="16" spans="1:34" x14ac:dyDescent="0.3">
      <c r="A16" s="37" t="s">
        <v>179</v>
      </c>
      <c r="B16" s="37" t="s">
        <v>178</v>
      </c>
      <c r="C16" s="37" t="s">
        <v>210</v>
      </c>
      <c r="D16" s="37" t="s">
        <v>225</v>
      </c>
      <c r="E16" s="50">
        <v>4.7E-2</v>
      </c>
      <c r="F16" s="50">
        <v>8.9999999999999993E-3</v>
      </c>
      <c r="G16" s="50">
        <v>7.8E-2</v>
      </c>
      <c r="H16" s="50">
        <v>6.2519999999999998</v>
      </c>
      <c r="I16" s="50">
        <v>0</v>
      </c>
      <c r="J16" s="50">
        <v>3.6999999999999998E-2</v>
      </c>
      <c r="K16" s="50">
        <v>2E-3</v>
      </c>
      <c r="L16" s="50">
        <v>0</v>
      </c>
      <c r="M16" s="50">
        <v>0</v>
      </c>
      <c r="N16" s="50">
        <v>0.55600000000000005</v>
      </c>
      <c r="O16" s="50">
        <v>0</v>
      </c>
      <c r="P16" s="50">
        <v>2.2250000000000001</v>
      </c>
      <c r="Q16" s="50">
        <v>4.3999999999999997E-2</v>
      </c>
      <c r="R16" s="50">
        <v>13.224</v>
      </c>
      <c r="S16" s="50">
        <v>4.5999999999999999E-2</v>
      </c>
      <c r="T16" s="50">
        <v>2.4E-2</v>
      </c>
      <c r="U16" s="50">
        <v>0.253</v>
      </c>
      <c r="V16" s="50">
        <v>1.7000000000000001E-2</v>
      </c>
      <c r="W16" s="50">
        <v>0</v>
      </c>
      <c r="X16" s="50">
        <v>18.478999999999999</v>
      </c>
      <c r="Y16" s="50">
        <v>6.3E-2</v>
      </c>
      <c r="Z16" s="50">
        <v>0</v>
      </c>
      <c r="AA16" s="50">
        <v>0.36199999999999999</v>
      </c>
      <c r="AB16" s="50">
        <v>0</v>
      </c>
      <c r="AC16" s="50">
        <v>0</v>
      </c>
      <c r="AD16" s="50">
        <v>0</v>
      </c>
      <c r="AE16" s="50">
        <v>5.1120000000000001</v>
      </c>
      <c r="AF16" s="50">
        <v>0</v>
      </c>
      <c r="AH16" s="49">
        <f t="shared" ref="AH16:AH26" si="1">SUM(E16:AF16)</f>
        <v>46.830000000000005</v>
      </c>
    </row>
    <row r="17" spans="1:34" x14ac:dyDescent="0.3">
      <c r="A17" s="37" t="s">
        <v>179</v>
      </c>
      <c r="B17" s="37" t="s">
        <v>178</v>
      </c>
      <c r="C17" s="37" t="s">
        <v>212</v>
      </c>
      <c r="D17" s="37" t="s">
        <v>226</v>
      </c>
      <c r="E17" s="50">
        <v>0.01</v>
      </c>
      <c r="F17" s="50">
        <v>5.6210000000000004</v>
      </c>
      <c r="G17" s="50">
        <v>0</v>
      </c>
      <c r="H17" s="50">
        <v>0.22800000000000001</v>
      </c>
      <c r="I17" s="50">
        <v>2.0569999999999999</v>
      </c>
      <c r="J17" s="50">
        <v>1.512</v>
      </c>
      <c r="K17" s="50">
        <v>8.4000000000000005E-2</v>
      </c>
      <c r="L17" s="50">
        <v>0</v>
      </c>
      <c r="M17" s="50">
        <v>0.75700000000000001</v>
      </c>
      <c r="N17" s="50">
        <v>9.6780000000000008</v>
      </c>
      <c r="O17" s="50">
        <v>3.4159999999999999</v>
      </c>
      <c r="P17" s="50">
        <v>3.61</v>
      </c>
      <c r="Q17" s="50">
        <v>1.0509999999999999</v>
      </c>
      <c r="R17" s="50">
        <v>4.04</v>
      </c>
      <c r="S17" s="50">
        <v>5.1760000000000002</v>
      </c>
      <c r="T17" s="50">
        <v>17.843</v>
      </c>
      <c r="U17" s="50">
        <v>10.65</v>
      </c>
      <c r="V17" s="50">
        <v>2.4E-2</v>
      </c>
      <c r="W17" s="50">
        <v>1.2010000000000001</v>
      </c>
      <c r="X17" s="50">
        <v>9.0999999999999998E-2</v>
      </c>
      <c r="Y17" s="50">
        <v>5.1920000000000002</v>
      </c>
      <c r="Z17" s="50">
        <v>0.124</v>
      </c>
      <c r="AA17" s="50">
        <v>2.86</v>
      </c>
      <c r="AB17" s="50">
        <v>3.3740000000000001</v>
      </c>
      <c r="AC17" s="50">
        <v>0</v>
      </c>
      <c r="AD17" s="50">
        <v>2.371</v>
      </c>
      <c r="AE17" s="50">
        <v>0.22700000000000001</v>
      </c>
      <c r="AF17" s="50">
        <v>34.756</v>
      </c>
      <c r="AH17" s="49">
        <f t="shared" si="1"/>
        <v>115.95299999999997</v>
      </c>
    </row>
    <row r="18" spans="1:34" x14ac:dyDescent="0.3">
      <c r="A18" s="37" t="s">
        <v>179</v>
      </c>
      <c r="B18" s="37" t="s">
        <v>178</v>
      </c>
      <c r="C18" s="37" t="s">
        <v>176</v>
      </c>
      <c r="D18" s="37" t="s">
        <v>227</v>
      </c>
      <c r="E18" s="50">
        <v>0</v>
      </c>
      <c r="F18" s="50">
        <v>2.5569999999999999</v>
      </c>
      <c r="G18" s="50">
        <v>0</v>
      </c>
      <c r="H18" s="50">
        <v>0</v>
      </c>
      <c r="I18" s="50">
        <v>2.427</v>
      </c>
      <c r="J18" s="50">
        <v>9.6449999999999996</v>
      </c>
      <c r="K18" s="50">
        <v>0</v>
      </c>
      <c r="L18" s="50">
        <v>1.0089999999999999</v>
      </c>
      <c r="M18" s="50">
        <v>0</v>
      </c>
      <c r="N18" s="50">
        <v>39.795000000000002</v>
      </c>
      <c r="O18" s="50">
        <v>1.0289999999999999</v>
      </c>
      <c r="P18" s="50">
        <v>4.2140000000000004</v>
      </c>
      <c r="Q18" s="50">
        <v>9.0190000000000001</v>
      </c>
      <c r="R18" s="50">
        <v>3.931</v>
      </c>
      <c r="S18" s="50">
        <v>17.588000000000001</v>
      </c>
      <c r="T18" s="50">
        <v>22.388000000000002</v>
      </c>
      <c r="U18" s="50">
        <v>115.16500000000001</v>
      </c>
      <c r="V18" s="50">
        <v>0</v>
      </c>
      <c r="W18" s="50">
        <v>7.218</v>
      </c>
      <c r="X18" s="50">
        <v>6.2E-2</v>
      </c>
      <c r="Y18" s="50">
        <v>0.35399999999999998</v>
      </c>
      <c r="Z18" s="50">
        <v>6.8940000000000001</v>
      </c>
      <c r="AA18" s="50">
        <v>80.353999999999999</v>
      </c>
      <c r="AB18" s="50">
        <v>0</v>
      </c>
      <c r="AC18" s="50">
        <v>0</v>
      </c>
      <c r="AD18" s="50">
        <v>51.655000000000001</v>
      </c>
      <c r="AE18" s="50">
        <v>0.17100000000000001</v>
      </c>
      <c r="AF18" s="50">
        <v>62.164999999999999</v>
      </c>
      <c r="AH18" s="49">
        <f t="shared" si="1"/>
        <v>437.64</v>
      </c>
    </row>
    <row r="19" spans="1:34" x14ac:dyDescent="0.3">
      <c r="A19" s="37" t="s">
        <v>179</v>
      </c>
      <c r="B19" s="37" t="s">
        <v>178</v>
      </c>
      <c r="C19" s="37" t="s">
        <v>14</v>
      </c>
      <c r="D19" s="37" t="s">
        <v>20</v>
      </c>
      <c r="E19" s="50">
        <v>0</v>
      </c>
      <c r="F19" s="50">
        <v>0</v>
      </c>
      <c r="G19" s="50">
        <v>0</v>
      </c>
      <c r="H19" s="50">
        <v>0</v>
      </c>
      <c r="I19" s="50">
        <v>0</v>
      </c>
      <c r="J19" s="50">
        <v>0</v>
      </c>
      <c r="K19" s="50">
        <v>0</v>
      </c>
      <c r="L19" s="50">
        <v>1.9E-2</v>
      </c>
      <c r="M19" s="50">
        <v>0</v>
      </c>
      <c r="N19" s="50">
        <v>0</v>
      </c>
      <c r="O19" s="50">
        <v>0</v>
      </c>
      <c r="P19" s="50">
        <v>0</v>
      </c>
      <c r="Q19" s="50">
        <v>0</v>
      </c>
      <c r="R19" s="50">
        <v>1.4999999999999999E-2</v>
      </c>
      <c r="S19" s="50">
        <v>0</v>
      </c>
      <c r="T19" s="50">
        <v>0.24099999999999999</v>
      </c>
      <c r="U19" s="50">
        <v>0.105</v>
      </c>
      <c r="V19" s="50">
        <v>0</v>
      </c>
      <c r="W19" s="50">
        <v>0</v>
      </c>
      <c r="X19" s="50">
        <v>0</v>
      </c>
      <c r="Y19" s="50">
        <v>7.0000000000000001E-3</v>
      </c>
      <c r="Z19" s="50">
        <v>0</v>
      </c>
      <c r="AA19" s="50">
        <v>0</v>
      </c>
      <c r="AB19" s="50">
        <v>0</v>
      </c>
      <c r="AC19" s="50">
        <v>0</v>
      </c>
      <c r="AD19" s="50">
        <v>0</v>
      </c>
      <c r="AE19" s="50">
        <v>0</v>
      </c>
      <c r="AF19" s="50">
        <v>0</v>
      </c>
      <c r="AH19" s="49">
        <f t="shared" si="1"/>
        <v>0.38700000000000001</v>
      </c>
    </row>
    <row r="20" spans="1:34" x14ac:dyDescent="0.3">
      <c r="A20" s="37" t="s">
        <v>179</v>
      </c>
      <c r="B20" s="37" t="s">
        <v>178</v>
      </c>
      <c r="C20" s="37" t="s">
        <v>215</v>
      </c>
      <c r="D20" s="37" t="s">
        <v>228</v>
      </c>
      <c r="E20" s="50">
        <v>0</v>
      </c>
      <c r="F20" s="50">
        <v>0</v>
      </c>
      <c r="G20" s="50">
        <v>0</v>
      </c>
      <c r="H20" s="50">
        <v>0</v>
      </c>
      <c r="I20" s="50">
        <v>0</v>
      </c>
      <c r="J20" s="50">
        <v>0</v>
      </c>
      <c r="K20" s="50">
        <v>0</v>
      </c>
      <c r="L20" s="50">
        <v>0</v>
      </c>
      <c r="M20" s="50">
        <v>0</v>
      </c>
      <c r="N20" s="50">
        <v>0</v>
      </c>
      <c r="O20" s="50">
        <v>0</v>
      </c>
      <c r="P20" s="50">
        <v>0</v>
      </c>
      <c r="Q20" s="50">
        <v>0</v>
      </c>
      <c r="R20" s="50">
        <v>0</v>
      </c>
      <c r="S20" s="50">
        <v>0</v>
      </c>
      <c r="T20" s="50">
        <v>0</v>
      </c>
      <c r="U20" s="50">
        <v>0</v>
      </c>
      <c r="V20" s="50">
        <v>0</v>
      </c>
      <c r="W20" s="50">
        <v>0</v>
      </c>
      <c r="X20" s="50">
        <v>0</v>
      </c>
      <c r="Y20" s="50">
        <v>0</v>
      </c>
      <c r="Z20" s="50">
        <v>0</v>
      </c>
      <c r="AA20" s="50">
        <v>0</v>
      </c>
      <c r="AB20" s="50">
        <v>0</v>
      </c>
      <c r="AC20" s="50">
        <v>0</v>
      </c>
      <c r="AD20" s="50">
        <v>0</v>
      </c>
      <c r="AE20" s="50">
        <v>0</v>
      </c>
      <c r="AF20" s="50">
        <v>0</v>
      </c>
      <c r="AH20" s="49">
        <f t="shared" si="1"/>
        <v>0</v>
      </c>
    </row>
    <row r="21" spans="1:34" ht="14.25" customHeight="1" x14ac:dyDescent="0.3">
      <c r="A21" s="37" t="s">
        <v>179</v>
      </c>
      <c r="B21" s="37" t="s">
        <v>178</v>
      </c>
      <c r="C21" s="37" t="s">
        <v>197</v>
      </c>
      <c r="D21" s="37" t="s">
        <v>229</v>
      </c>
      <c r="E21" s="50">
        <v>0</v>
      </c>
      <c r="F21" s="50">
        <v>0</v>
      </c>
      <c r="G21" s="50">
        <v>0</v>
      </c>
      <c r="H21" s="50">
        <v>0</v>
      </c>
      <c r="I21" s="50">
        <v>0</v>
      </c>
      <c r="J21" s="50">
        <v>0</v>
      </c>
      <c r="K21" s="50">
        <v>0</v>
      </c>
      <c r="L21" s="50">
        <v>0</v>
      </c>
      <c r="M21" s="50">
        <v>17.329000000000001</v>
      </c>
      <c r="N21" s="50">
        <v>0</v>
      </c>
      <c r="O21" s="50">
        <v>0</v>
      </c>
      <c r="P21" s="50">
        <v>0</v>
      </c>
      <c r="Q21" s="50">
        <v>0.35099999999999998</v>
      </c>
      <c r="R21" s="50">
        <v>1.0999999999999999E-2</v>
      </c>
      <c r="S21" s="50">
        <v>5.5E-2</v>
      </c>
      <c r="T21" s="50">
        <v>6.1580000000000004</v>
      </c>
      <c r="U21" s="50">
        <v>8.4499999999999993</v>
      </c>
      <c r="V21" s="50">
        <v>5.8999999999999997E-2</v>
      </c>
      <c r="W21" s="50">
        <v>0</v>
      </c>
      <c r="X21" s="50">
        <v>0</v>
      </c>
      <c r="Y21" s="50">
        <v>0.28100000000000003</v>
      </c>
      <c r="Z21" s="50">
        <v>0</v>
      </c>
      <c r="AA21" s="50">
        <v>0</v>
      </c>
      <c r="AB21" s="50">
        <v>0</v>
      </c>
      <c r="AC21" s="50">
        <v>0</v>
      </c>
      <c r="AD21" s="50">
        <v>0</v>
      </c>
      <c r="AE21" s="50">
        <v>0</v>
      </c>
      <c r="AF21" s="50">
        <v>7.7960000000000003</v>
      </c>
      <c r="AH21" s="49">
        <f t="shared" si="1"/>
        <v>40.489999999999995</v>
      </c>
    </row>
    <row r="22" spans="1:34" x14ac:dyDescent="0.3">
      <c r="A22" s="37" t="s">
        <v>179</v>
      </c>
      <c r="B22" s="37" t="s">
        <v>178</v>
      </c>
      <c r="C22" s="37" t="s">
        <v>174</v>
      </c>
      <c r="D22" s="37" t="s">
        <v>72</v>
      </c>
      <c r="E22" s="50">
        <v>0</v>
      </c>
      <c r="F22" s="50">
        <v>0</v>
      </c>
      <c r="G22" s="50">
        <v>0</v>
      </c>
      <c r="H22" s="50">
        <v>0</v>
      </c>
      <c r="I22" s="50">
        <v>0</v>
      </c>
      <c r="J22" s="50">
        <v>0</v>
      </c>
      <c r="K22" s="50">
        <v>0</v>
      </c>
      <c r="L22" s="50">
        <v>0</v>
      </c>
      <c r="M22" s="50">
        <v>0</v>
      </c>
      <c r="N22" s="50">
        <v>7.0000000000000001E-3</v>
      </c>
      <c r="O22" s="50">
        <v>1.9E-2</v>
      </c>
      <c r="P22" s="50">
        <v>0</v>
      </c>
      <c r="Q22" s="50">
        <v>0.16800000000000001</v>
      </c>
      <c r="R22" s="50">
        <v>0.56699999999999995</v>
      </c>
      <c r="S22" s="50">
        <v>4.1879999999999997</v>
      </c>
      <c r="T22" s="50">
        <v>1.5349999999999999</v>
      </c>
      <c r="U22" s="50">
        <v>22.155999999999999</v>
      </c>
      <c r="V22" s="50">
        <v>0</v>
      </c>
      <c r="W22" s="50">
        <v>0</v>
      </c>
      <c r="X22" s="50">
        <v>0</v>
      </c>
      <c r="Y22" s="50">
        <v>0</v>
      </c>
      <c r="Z22" s="50">
        <v>0</v>
      </c>
      <c r="AA22" s="50">
        <v>0</v>
      </c>
      <c r="AB22" s="50">
        <v>0</v>
      </c>
      <c r="AC22" s="50">
        <v>0</v>
      </c>
      <c r="AD22" s="50">
        <v>0</v>
      </c>
      <c r="AE22" s="50">
        <v>0.03</v>
      </c>
      <c r="AF22" s="50">
        <v>3.7999999999999999E-2</v>
      </c>
      <c r="AH22" s="49">
        <f t="shared" si="1"/>
        <v>28.708000000000002</v>
      </c>
    </row>
    <row r="23" spans="1:34" x14ac:dyDescent="0.3">
      <c r="A23" s="37" t="s">
        <v>179</v>
      </c>
      <c r="B23" s="37" t="s">
        <v>178</v>
      </c>
      <c r="C23" s="37" t="s">
        <v>284</v>
      </c>
      <c r="D23" s="37" t="s">
        <v>230</v>
      </c>
      <c r="E23" s="50">
        <v>0</v>
      </c>
      <c r="F23" s="50">
        <v>0</v>
      </c>
      <c r="G23" s="50">
        <v>0</v>
      </c>
      <c r="H23" s="50">
        <v>0</v>
      </c>
      <c r="I23" s="50">
        <v>0</v>
      </c>
      <c r="J23" s="50">
        <v>0</v>
      </c>
      <c r="K23" s="50">
        <v>0</v>
      </c>
      <c r="L23" s="50">
        <v>0</v>
      </c>
      <c r="M23" s="50">
        <v>0.34</v>
      </c>
      <c r="N23" s="50">
        <v>0</v>
      </c>
      <c r="O23" s="50">
        <v>0</v>
      </c>
      <c r="P23" s="50">
        <v>0</v>
      </c>
      <c r="Q23" s="50">
        <v>0</v>
      </c>
      <c r="R23" s="50">
        <v>1E-3</v>
      </c>
      <c r="S23" s="50">
        <v>0</v>
      </c>
      <c r="T23" s="50">
        <v>0</v>
      </c>
      <c r="U23" s="50">
        <v>0.16800000000000001</v>
      </c>
      <c r="V23" s="50">
        <v>0</v>
      </c>
      <c r="W23" s="50">
        <v>0</v>
      </c>
      <c r="X23" s="50">
        <v>0</v>
      </c>
      <c r="Y23" s="50">
        <v>1.4E-2</v>
      </c>
      <c r="Z23" s="50">
        <v>0</v>
      </c>
      <c r="AA23" s="50">
        <v>0</v>
      </c>
      <c r="AB23" s="50">
        <v>0</v>
      </c>
      <c r="AC23" s="50">
        <v>0</v>
      </c>
      <c r="AD23" s="50">
        <v>0</v>
      </c>
      <c r="AE23" s="50">
        <v>0</v>
      </c>
      <c r="AF23" s="50">
        <v>0</v>
      </c>
      <c r="AH23" s="49">
        <f t="shared" si="1"/>
        <v>0.52300000000000002</v>
      </c>
    </row>
    <row r="24" spans="1:34" x14ac:dyDescent="0.3">
      <c r="A24" s="37" t="s">
        <v>179</v>
      </c>
      <c r="B24" s="37" t="s">
        <v>178</v>
      </c>
      <c r="C24" s="37" t="s">
        <v>209</v>
      </c>
      <c r="D24" s="37" t="s">
        <v>18</v>
      </c>
      <c r="E24" s="50">
        <v>0</v>
      </c>
      <c r="F24" s="50">
        <v>0</v>
      </c>
      <c r="G24" s="50">
        <v>0</v>
      </c>
      <c r="H24" s="50">
        <v>0</v>
      </c>
      <c r="I24" s="50">
        <v>0</v>
      </c>
      <c r="J24" s="50">
        <v>8.7929999999999993</v>
      </c>
      <c r="K24" s="50">
        <v>0</v>
      </c>
      <c r="L24" s="50">
        <v>0</v>
      </c>
      <c r="M24" s="50">
        <v>0</v>
      </c>
      <c r="N24" s="50">
        <v>0</v>
      </c>
      <c r="O24" s="50">
        <v>0</v>
      </c>
      <c r="P24" s="50">
        <v>0.69899999999999995</v>
      </c>
      <c r="Q24" s="50">
        <v>69.978999999999999</v>
      </c>
      <c r="R24" s="50">
        <v>1.742</v>
      </c>
      <c r="S24" s="50">
        <v>2.86</v>
      </c>
      <c r="T24" s="50">
        <v>1.405</v>
      </c>
      <c r="U24" s="50">
        <v>5.9210000000000003</v>
      </c>
      <c r="V24" s="50">
        <v>0</v>
      </c>
      <c r="W24" s="50">
        <v>0</v>
      </c>
      <c r="X24" s="50">
        <v>0</v>
      </c>
      <c r="Y24" s="50">
        <v>0</v>
      </c>
      <c r="Z24" s="50">
        <v>0</v>
      </c>
      <c r="AA24" s="50">
        <v>0</v>
      </c>
      <c r="AB24" s="50">
        <v>0</v>
      </c>
      <c r="AC24" s="50">
        <v>0</v>
      </c>
      <c r="AD24" s="50">
        <v>106.423</v>
      </c>
      <c r="AE24" s="50">
        <v>0</v>
      </c>
      <c r="AF24" s="50">
        <v>0</v>
      </c>
      <c r="AH24" s="49">
        <f t="shared" si="1"/>
        <v>197.822</v>
      </c>
    </row>
    <row r="25" spans="1:34" x14ac:dyDescent="0.3">
      <c r="A25" s="37" t="s">
        <v>179</v>
      </c>
      <c r="B25" s="37" t="s">
        <v>178</v>
      </c>
      <c r="C25" s="37" t="s">
        <v>211</v>
      </c>
      <c r="D25" s="37" t="s">
        <v>231</v>
      </c>
      <c r="E25" s="50">
        <v>0</v>
      </c>
      <c r="F25" s="50">
        <v>0</v>
      </c>
      <c r="G25" s="50">
        <v>0</v>
      </c>
      <c r="H25" s="50">
        <v>0</v>
      </c>
      <c r="I25" s="50">
        <v>0</v>
      </c>
      <c r="J25" s="50">
        <v>0</v>
      </c>
      <c r="K25" s="50">
        <v>0</v>
      </c>
      <c r="L25" s="50">
        <v>0</v>
      </c>
      <c r="M25" s="50">
        <v>0</v>
      </c>
      <c r="N25" s="50">
        <v>0</v>
      </c>
      <c r="O25" s="50">
        <v>0</v>
      </c>
      <c r="P25" s="50">
        <v>0</v>
      </c>
      <c r="Q25" s="50">
        <v>0</v>
      </c>
      <c r="R25" s="50">
        <v>0</v>
      </c>
      <c r="S25" s="50">
        <v>0</v>
      </c>
      <c r="T25" s="50">
        <v>0</v>
      </c>
      <c r="U25" s="50">
        <v>0</v>
      </c>
      <c r="V25" s="50">
        <v>0</v>
      </c>
      <c r="W25" s="50">
        <v>0</v>
      </c>
      <c r="X25" s="50">
        <v>0</v>
      </c>
      <c r="Y25" s="50">
        <v>0</v>
      </c>
      <c r="Z25" s="50">
        <v>0</v>
      </c>
      <c r="AA25" s="50">
        <v>0</v>
      </c>
      <c r="AB25" s="50">
        <v>0</v>
      </c>
      <c r="AC25" s="50">
        <v>0</v>
      </c>
      <c r="AD25" s="50">
        <v>0</v>
      </c>
      <c r="AE25" s="50">
        <v>0</v>
      </c>
      <c r="AF25" s="50">
        <v>0</v>
      </c>
      <c r="AH25" s="49">
        <f t="shared" si="1"/>
        <v>0</v>
      </c>
    </row>
    <row r="26" spans="1:34" x14ac:dyDescent="0.3">
      <c r="A26" s="37" t="s">
        <v>179</v>
      </c>
      <c r="B26" s="37" t="s">
        <v>178</v>
      </c>
      <c r="C26" s="37" t="s">
        <v>214</v>
      </c>
      <c r="D26" s="37" t="s">
        <v>232</v>
      </c>
      <c r="E26" s="50">
        <v>54.622999999999998</v>
      </c>
      <c r="F26" s="50">
        <v>0</v>
      </c>
      <c r="G26" s="50">
        <v>8.5310000000000006</v>
      </c>
      <c r="H26" s="50">
        <v>0</v>
      </c>
      <c r="I26" s="50">
        <v>0</v>
      </c>
      <c r="J26" s="50">
        <v>1.2999999999999999E-2</v>
      </c>
      <c r="K26" s="50">
        <v>0</v>
      </c>
      <c r="L26" s="50">
        <v>0</v>
      </c>
      <c r="M26" s="50">
        <v>128.488</v>
      </c>
      <c r="N26" s="50">
        <v>0</v>
      </c>
      <c r="O26" s="50">
        <v>0.309</v>
      </c>
      <c r="P26" s="50">
        <v>0</v>
      </c>
      <c r="Q26" s="50">
        <v>3.4</v>
      </c>
      <c r="R26" s="50">
        <v>0.97099999999999997</v>
      </c>
      <c r="S26" s="50">
        <v>25.161000000000001</v>
      </c>
      <c r="T26" s="50">
        <v>6.2089999999999996</v>
      </c>
      <c r="U26" s="50">
        <v>30.491</v>
      </c>
      <c r="V26" s="50">
        <v>9.2330000000000005</v>
      </c>
      <c r="W26" s="50">
        <v>0</v>
      </c>
      <c r="X26" s="50">
        <v>0</v>
      </c>
      <c r="Y26" s="50">
        <v>15.186999999999999</v>
      </c>
      <c r="Z26" s="50">
        <v>1E-3</v>
      </c>
      <c r="AA26" s="50">
        <v>0</v>
      </c>
      <c r="AB26" s="50">
        <v>0</v>
      </c>
      <c r="AC26" s="50">
        <v>0</v>
      </c>
      <c r="AD26" s="50">
        <v>3.2269999999999999</v>
      </c>
      <c r="AE26" s="50">
        <v>0.63600000000000001</v>
      </c>
      <c r="AF26" s="50">
        <v>47.162999999999997</v>
      </c>
      <c r="AH26" s="49">
        <f t="shared" si="1"/>
        <v>333.64300000000003</v>
      </c>
    </row>
    <row r="27" spans="1:34" x14ac:dyDescent="0.3">
      <c r="A27" s="37" t="s">
        <v>179</v>
      </c>
      <c r="B27" s="37" t="s">
        <v>178</v>
      </c>
      <c r="C27" s="37" t="s">
        <v>248</v>
      </c>
      <c r="D27" s="37" t="s">
        <v>249</v>
      </c>
      <c r="E27" s="50">
        <v>0</v>
      </c>
      <c r="F27" s="50">
        <v>0</v>
      </c>
      <c r="G27" s="50">
        <v>0</v>
      </c>
      <c r="H27" s="50">
        <v>16.023</v>
      </c>
      <c r="I27" s="50">
        <v>0</v>
      </c>
      <c r="J27" s="50">
        <v>0</v>
      </c>
      <c r="K27" s="50">
        <v>5.0000000000000001E-3</v>
      </c>
      <c r="L27" s="50">
        <v>0</v>
      </c>
      <c r="M27" s="50">
        <v>0</v>
      </c>
      <c r="N27" s="50">
        <v>0</v>
      </c>
      <c r="O27" s="50">
        <v>0</v>
      </c>
      <c r="P27" s="50">
        <v>144.22200000000001</v>
      </c>
      <c r="Q27" s="50">
        <v>4.0000000000000001E-3</v>
      </c>
      <c r="R27" s="50">
        <v>4.1820000000000004</v>
      </c>
      <c r="S27" s="50">
        <v>0.47399999999999998</v>
      </c>
      <c r="T27" s="50">
        <v>6.59</v>
      </c>
      <c r="U27" s="50">
        <v>6.5069999999999997</v>
      </c>
      <c r="V27" s="50">
        <v>0</v>
      </c>
      <c r="W27" s="50">
        <v>0</v>
      </c>
      <c r="X27" s="50">
        <v>0.02</v>
      </c>
      <c r="Y27" s="50">
        <v>0.27400000000000002</v>
      </c>
      <c r="Z27" s="50">
        <v>0</v>
      </c>
      <c r="AA27" s="50">
        <v>0</v>
      </c>
      <c r="AB27" s="50">
        <v>0</v>
      </c>
      <c r="AC27" s="50">
        <v>0</v>
      </c>
      <c r="AD27" s="50">
        <v>0</v>
      </c>
      <c r="AE27" s="50">
        <v>0</v>
      </c>
      <c r="AF27" s="50">
        <v>11.99</v>
      </c>
      <c r="AH27" s="49"/>
    </row>
    <row r="28" spans="1:34" x14ac:dyDescent="0.3">
      <c r="A28" s="37" t="s">
        <v>179</v>
      </c>
      <c r="B28" s="37" t="s">
        <v>178</v>
      </c>
      <c r="C28" s="37" t="s">
        <v>251</v>
      </c>
      <c r="D28" s="37" t="s">
        <v>250</v>
      </c>
      <c r="E28" s="50">
        <v>0</v>
      </c>
      <c r="F28" s="50">
        <v>0</v>
      </c>
      <c r="G28" s="50">
        <v>0</v>
      </c>
      <c r="H28" s="50">
        <v>0</v>
      </c>
      <c r="I28" s="50">
        <v>0</v>
      </c>
      <c r="J28" s="50">
        <v>0</v>
      </c>
      <c r="K28" s="50">
        <v>0</v>
      </c>
      <c r="L28" s="50">
        <v>0</v>
      </c>
      <c r="M28" s="50">
        <v>0</v>
      </c>
      <c r="N28" s="50">
        <v>0</v>
      </c>
      <c r="O28" s="50">
        <v>0</v>
      </c>
      <c r="P28" s="50">
        <v>0</v>
      </c>
      <c r="Q28" s="50">
        <v>0</v>
      </c>
      <c r="R28" s="50">
        <v>0</v>
      </c>
      <c r="S28" s="50">
        <v>0</v>
      </c>
      <c r="T28" s="50">
        <v>0</v>
      </c>
      <c r="U28" s="50">
        <v>0</v>
      </c>
      <c r="V28" s="50">
        <v>0</v>
      </c>
      <c r="W28" s="50">
        <v>0</v>
      </c>
      <c r="X28" s="50">
        <v>0</v>
      </c>
      <c r="Y28" s="50">
        <v>0</v>
      </c>
      <c r="Z28" s="50">
        <v>0</v>
      </c>
      <c r="AA28" s="50">
        <v>0</v>
      </c>
      <c r="AB28" s="50">
        <v>0</v>
      </c>
      <c r="AC28" s="50">
        <v>0</v>
      </c>
      <c r="AD28" s="50">
        <v>0.49</v>
      </c>
      <c r="AE28" s="50">
        <v>0</v>
      </c>
      <c r="AF28" s="50">
        <v>0</v>
      </c>
      <c r="AH28" s="49"/>
    </row>
    <row r="29" spans="1:34" x14ac:dyDescent="0.3">
      <c r="A29" s="37" t="s">
        <v>179</v>
      </c>
      <c r="B29" s="37" t="s">
        <v>178</v>
      </c>
      <c r="C29" s="37" t="s">
        <v>207</v>
      </c>
      <c r="D29" s="37" t="s">
        <v>233</v>
      </c>
      <c r="E29" s="50">
        <v>0</v>
      </c>
      <c r="F29" s="50">
        <v>0</v>
      </c>
      <c r="G29" s="50">
        <v>0</v>
      </c>
      <c r="H29" s="50">
        <v>0</v>
      </c>
      <c r="I29" s="50">
        <v>0</v>
      </c>
      <c r="J29" s="50">
        <v>0</v>
      </c>
      <c r="K29" s="50">
        <v>0</v>
      </c>
      <c r="L29" s="50">
        <v>0</v>
      </c>
      <c r="M29" s="50">
        <v>0</v>
      </c>
      <c r="N29" s="50">
        <v>0</v>
      </c>
      <c r="O29" s="50">
        <v>0</v>
      </c>
      <c r="P29" s="50">
        <v>0</v>
      </c>
      <c r="Q29" s="50">
        <v>0</v>
      </c>
      <c r="R29" s="50">
        <v>0</v>
      </c>
      <c r="S29" s="50">
        <v>0</v>
      </c>
      <c r="T29" s="50">
        <v>0</v>
      </c>
      <c r="U29" s="50">
        <v>0</v>
      </c>
      <c r="V29" s="50">
        <v>0</v>
      </c>
      <c r="W29" s="50">
        <v>0</v>
      </c>
      <c r="X29" s="50">
        <v>0</v>
      </c>
      <c r="Y29" s="50">
        <v>0</v>
      </c>
      <c r="Z29" s="50">
        <v>0</v>
      </c>
      <c r="AA29" s="50">
        <v>0</v>
      </c>
      <c r="AB29" s="50">
        <v>0</v>
      </c>
      <c r="AC29" s="50">
        <v>0</v>
      </c>
      <c r="AD29" s="50">
        <v>0</v>
      </c>
      <c r="AE29" s="50">
        <v>0</v>
      </c>
      <c r="AF29" s="50">
        <v>0</v>
      </c>
      <c r="AH29" s="49">
        <f>SUM(E29:AF29)</f>
        <v>0</v>
      </c>
    </row>
    <row r="30" spans="1:34" x14ac:dyDescent="0.3">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H30" s="49"/>
    </row>
    <row r="31" spans="1:34" x14ac:dyDescent="0.3">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H31" s="49"/>
    </row>
    <row r="32" spans="1:34" x14ac:dyDescent="0.3">
      <c r="E32" s="50"/>
      <c r="F32" s="50"/>
      <c r="G32" s="50"/>
      <c r="H32" s="50"/>
      <c r="I32" s="50"/>
      <c r="J32" s="50"/>
      <c r="K32" s="50"/>
      <c r="L32" s="50"/>
      <c r="M32" s="50"/>
      <c r="N32" s="50"/>
      <c r="O32" s="50"/>
      <c r="P32" s="50"/>
      <c r="Q32" s="50"/>
      <c r="R32" s="50"/>
      <c r="S32" s="50"/>
      <c r="T32" s="50"/>
      <c r="U32" s="50"/>
      <c r="V32" s="50"/>
      <c r="W32" s="50"/>
      <c r="X32" s="50"/>
      <c r="Y32" s="50"/>
      <c r="Z32" s="50"/>
      <c r="AA32" s="50"/>
      <c r="AB32" s="51"/>
      <c r="AC32" s="51"/>
      <c r="AD32" s="51"/>
      <c r="AE32" s="51"/>
      <c r="AF32" s="51"/>
      <c r="AH32" s="49"/>
    </row>
    <row r="33" spans="1:34" x14ac:dyDescent="0.3">
      <c r="A33" s="47" t="s">
        <v>90</v>
      </c>
      <c r="B33" s="47"/>
      <c r="C33" s="47"/>
      <c r="D33" s="47"/>
      <c r="E33" s="54">
        <f t="shared" ref="E33:AF33" si="2">SUM(E7:E32)</f>
        <v>78.099999999999994</v>
      </c>
      <c r="F33" s="54">
        <f t="shared" si="2"/>
        <v>145.85199999999998</v>
      </c>
      <c r="G33" s="54">
        <f t="shared" si="2"/>
        <v>22.091000000000001</v>
      </c>
      <c r="H33" s="54">
        <f t="shared" si="2"/>
        <v>142.88499999999999</v>
      </c>
      <c r="I33" s="54">
        <f t="shared" si="2"/>
        <v>121.73099999999999</v>
      </c>
      <c r="J33" s="54">
        <f t="shared" si="2"/>
        <v>139.25500000000002</v>
      </c>
      <c r="K33" s="54">
        <f t="shared" si="2"/>
        <v>248.505</v>
      </c>
      <c r="L33" s="54">
        <f t="shared" si="2"/>
        <v>99.659000000000006</v>
      </c>
      <c r="M33" s="54">
        <f t="shared" si="2"/>
        <v>534.72499999999991</v>
      </c>
      <c r="N33" s="54">
        <f t="shared" si="2"/>
        <v>294.68599999999998</v>
      </c>
      <c r="O33" s="54">
        <f t="shared" si="2"/>
        <v>28.512999999999998</v>
      </c>
      <c r="P33" s="54">
        <f t="shared" si="2"/>
        <v>1852.4459999999997</v>
      </c>
      <c r="Q33" s="54">
        <f t="shared" si="2"/>
        <v>202.23099999999999</v>
      </c>
      <c r="R33" s="54">
        <f t="shared" si="2"/>
        <v>97.614000000000019</v>
      </c>
      <c r="S33" s="54">
        <f t="shared" si="2"/>
        <v>282.99299999999999</v>
      </c>
      <c r="T33" s="54">
        <f t="shared" si="2"/>
        <v>464.46900000000005</v>
      </c>
      <c r="U33" s="54">
        <f t="shared" si="2"/>
        <v>487.01100000000002</v>
      </c>
      <c r="V33" s="54">
        <f t="shared" si="2"/>
        <v>168.61599999999999</v>
      </c>
      <c r="W33" s="54">
        <f t="shared" si="2"/>
        <v>859.98199999999997</v>
      </c>
      <c r="X33" s="54">
        <f t="shared" si="2"/>
        <v>191.23200000000006</v>
      </c>
      <c r="Y33" s="54">
        <f t="shared" si="2"/>
        <v>255.26300000000006</v>
      </c>
      <c r="Z33" s="54">
        <f t="shared" si="2"/>
        <v>228.68799999999999</v>
      </c>
      <c r="AA33" s="54">
        <f t="shared" si="2"/>
        <v>362.28900000000004</v>
      </c>
      <c r="AB33" s="54">
        <f t="shared" si="2"/>
        <v>177.40699999999998</v>
      </c>
      <c r="AC33" s="54">
        <f t="shared" si="2"/>
        <v>0.186</v>
      </c>
      <c r="AD33" s="54">
        <f t="shared" si="2"/>
        <v>377.51499999999999</v>
      </c>
      <c r="AE33" s="54">
        <f t="shared" si="2"/>
        <v>114.92699999999999</v>
      </c>
      <c r="AF33" s="54">
        <f t="shared" si="2"/>
        <v>899.14699999999993</v>
      </c>
      <c r="AH33" s="49">
        <f>SUM(E33:AF33)</f>
        <v>8878.018</v>
      </c>
    </row>
    <row r="34" spans="1:34" x14ac:dyDescent="0.3">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c r="AD34" s="137"/>
      <c r="AE34" s="137"/>
      <c r="AF34" s="137"/>
      <c r="AG34" s="137"/>
    </row>
    <row r="35" spans="1:34" x14ac:dyDescent="0.3">
      <c r="E35" s="52"/>
      <c r="F35" s="52"/>
      <c r="G35" s="52"/>
      <c r="H35" s="52"/>
      <c r="I35" s="52"/>
      <c r="J35" s="52"/>
      <c r="K35" s="52"/>
      <c r="L35" s="52"/>
      <c r="M35" s="52"/>
      <c r="N35" s="52"/>
      <c r="O35" s="52"/>
      <c r="P35" s="52"/>
      <c r="Q35" s="52"/>
      <c r="R35" s="52"/>
      <c r="S35" s="52"/>
      <c r="T35" s="52"/>
      <c r="U35" s="52"/>
      <c r="V35" s="52"/>
      <c r="W35" s="52"/>
      <c r="X35" s="52"/>
      <c r="Y35" s="52"/>
      <c r="Z35" s="52"/>
      <c r="AA35" s="52"/>
      <c r="AB35" s="53"/>
      <c r="AC35" s="53"/>
      <c r="AD35" s="53"/>
      <c r="AE35" s="53"/>
      <c r="AF35" s="53"/>
    </row>
    <row r="36" spans="1:34" x14ac:dyDescent="0.3">
      <c r="A36" s="45" t="s">
        <v>139</v>
      </c>
      <c r="B36" s="45"/>
      <c r="C36" s="45"/>
      <c r="D36" s="45"/>
      <c r="E36" s="45" t="s">
        <v>146</v>
      </c>
      <c r="F36" s="45" t="s">
        <v>147</v>
      </c>
      <c r="G36" s="45" t="s">
        <v>149</v>
      </c>
      <c r="H36" s="45" t="s">
        <v>148</v>
      </c>
      <c r="I36" s="45" t="s">
        <v>150</v>
      </c>
      <c r="J36" s="45" t="s">
        <v>151</v>
      </c>
      <c r="K36" s="45" t="s">
        <v>152</v>
      </c>
      <c r="L36" s="45" t="s">
        <v>153</v>
      </c>
      <c r="M36" s="45" t="s">
        <v>1</v>
      </c>
      <c r="N36" s="45" t="s">
        <v>2</v>
      </c>
      <c r="O36" s="45" t="s">
        <v>243</v>
      </c>
      <c r="P36" s="45" t="s">
        <v>3</v>
      </c>
      <c r="Q36" s="45" t="s">
        <v>154</v>
      </c>
      <c r="R36" s="45" t="s">
        <v>155</v>
      </c>
      <c r="S36" s="45" t="s">
        <v>156</v>
      </c>
      <c r="T36" s="45" t="s">
        <v>244</v>
      </c>
      <c r="U36" s="45" t="s">
        <v>157</v>
      </c>
      <c r="V36" s="45" t="s">
        <v>4</v>
      </c>
      <c r="W36" s="45" t="s">
        <v>5</v>
      </c>
      <c r="X36" s="45" t="s">
        <v>6</v>
      </c>
      <c r="Y36" s="45" t="s">
        <v>7</v>
      </c>
      <c r="Z36" s="45" t="s">
        <v>245</v>
      </c>
      <c r="AA36" s="45" t="s">
        <v>8</v>
      </c>
      <c r="AB36" s="45" t="s">
        <v>9</v>
      </c>
      <c r="AC36" s="45" t="s">
        <v>246</v>
      </c>
      <c r="AD36" s="45" t="s">
        <v>10</v>
      </c>
      <c r="AE36" s="45" t="s">
        <v>247</v>
      </c>
      <c r="AF36" s="45" t="s">
        <v>11</v>
      </c>
    </row>
    <row r="37" spans="1:34" ht="16.2" thickBot="1" x14ac:dyDescent="0.35">
      <c r="A37" s="46" t="s">
        <v>82</v>
      </c>
      <c r="B37" s="46" t="s">
        <v>92</v>
      </c>
      <c r="C37" s="46" t="s">
        <v>194</v>
      </c>
      <c r="D37" s="46" t="s">
        <v>195</v>
      </c>
      <c r="E37" s="46" t="s">
        <v>12</v>
      </c>
      <c r="F37" s="46" t="s">
        <v>12</v>
      </c>
      <c r="G37" s="46" t="s">
        <v>12</v>
      </c>
      <c r="H37" s="46" t="s">
        <v>12</v>
      </c>
      <c r="I37" s="46" t="s">
        <v>12</v>
      </c>
      <c r="J37" s="46" t="s">
        <v>12</v>
      </c>
      <c r="K37" s="46" t="s">
        <v>12</v>
      </c>
      <c r="L37" s="46" t="s">
        <v>12</v>
      </c>
      <c r="M37" s="46" t="s">
        <v>12</v>
      </c>
      <c r="N37" s="46" t="s">
        <v>12</v>
      </c>
      <c r="O37" s="46" t="s">
        <v>12</v>
      </c>
      <c r="P37" s="46" t="s">
        <v>12</v>
      </c>
      <c r="Q37" s="46" t="s">
        <v>12</v>
      </c>
      <c r="R37" s="46" t="s">
        <v>12</v>
      </c>
      <c r="S37" s="46" t="s">
        <v>12</v>
      </c>
      <c r="T37" s="46" t="s">
        <v>12</v>
      </c>
      <c r="U37" s="46" t="s">
        <v>12</v>
      </c>
      <c r="V37" s="46" t="s">
        <v>12</v>
      </c>
      <c r="W37" s="46" t="s">
        <v>12</v>
      </c>
      <c r="X37" s="46" t="s">
        <v>12</v>
      </c>
      <c r="Y37" s="46" t="s">
        <v>12</v>
      </c>
      <c r="Z37" s="46" t="s">
        <v>12</v>
      </c>
      <c r="AA37" s="46" t="s">
        <v>12</v>
      </c>
      <c r="AB37" s="46" t="s">
        <v>12</v>
      </c>
      <c r="AC37" s="46" t="s">
        <v>12</v>
      </c>
      <c r="AD37" s="46" t="s">
        <v>12</v>
      </c>
      <c r="AE37" s="46" t="s">
        <v>12</v>
      </c>
      <c r="AF37" s="46" t="s">
        <v>12</v>
      </c>
    </row>
    <row r="38" spans="1:34" x14ac:dyDescent="0.3">
      <c r="A38" s="37" t="s">
        <v>179</v>
      </c>
      <c r="B38" s="37" t="s">
        <v>178</v>
      </c>
      <c r="C38" s="37" t="str">
        <f>Legend!B35</f>
        <v>AGRBGS</v>
      </c>
      <c r="D38" s="37" t="str">
        <f>Legend!A35</f>
        <v>Biogas</v>
      </c>
      <c r="E38" s="113">
        <f>E22</f>
        <v>0</v>
      </c>
      <c r="F38" s="114">
        <f t="shared" ref="F38:AF38" si="3">F22</f>
        <v>0</v>
      </c>
      <c r="G38" s="114">
        <f t="shared" si="3"/>
        <v>0</v>
      </c>
      <c r="H38" s="114">
        <f t="shared" si="3"/>
        <v>0</v>
      </c>
      <c r="I38" s="114">
        <f t="shared" si="3"/>
        <v>0</v>
      </c>
      <c r="J38" s="114">
        <f t="shared" si="3"/>
        <v>0</v>
      </c>
      <c r="K38" s="114">
        <f t="shared" si="3"/>
        <v>0</v>
      </c>
      <c r="L38" s="114">
        <f t="shared" si="3"/>
        <v>0</v>
      </c>
      <c r="M38" s="114">
        <f t="shared" si="3"/>
        <v>0</v>
      </c>
      <c r="N38" s="114">
        <f t="shared" si="3"/>
        <v>7.0000000000000001E-3</v>
      </c>
      <c r="O38" s="114">
        <f t="shared" si="3"/>
        <v>1.9E-2</v>
      </c>
      <c r="P38" s="114">
        <f t="shared" si="3"/>
        <v>0</v>
      </c>
      <c r="Q38" s="114">
        <f t="shared" si="3"/>
        <v>0.16800000000000001</v>
      </c>
      <c r="R38" s="114">
        <f t="shared" si="3"/>
        <v>0.56699999999999995</v>
      </c>
      <c r="S38" s="114">
        <f t="shared" si="3"/>
        <v>4.1879999999999997</v>
      </c>
      <c r="T38" s="114">
        <f t="shared" si="3"/>
        <v>1.5349999999999999</v>
      </c>
      <c r="U38" s="114">
        <f t="shared" si="3"/>
        <v>22.155999999999999</v>
      </c>
      <c r="V38" s="114">
        <f t="shared" si="3"/>
        <v>0</v>
      </c>
      <c r="W38" s="114">
        <f t="shared" si="3"/>
        <v>0</v>
      </c>
      <c r="X38" s="114">
        <f t="shared" si="3"/>
        <v>0</v>
      </c>
      <c r="Y38" s="114">
        <f t="shared" si="3"/>
        <v>0</v>
      </c>
      <c r="Z38" s="114">
        <f t="shared" si="3"/>
        <v>0</v>
      </c>
      <c r="AA38" s="114">
        <f t="shared" si="3"/>
        <v>0</v>
      </c>
      <c r="AB38" s="114">
        <f t="shared" si="3"/>
        <v>0</v>
      </c>
      <c r="AC38" s="114">
        <f t="shared" si="3"/>
        <v>0</v>
      </c>
      <c r="AD38" s="114">
        <f t="shared" si="3"/>
        <v>0</v>
      </c>
      <c r="AE38" s="114">
        <f t="shared" si="3"/>
        <v>0.03</v>
      </c>
      <c r="AF38" s="114">
        <f t="shared" si="3"/>
        <v>3.7999999999999999E-2</v>
      </c>
    </row>
    <row r="39" spans="1:34" x14ac:dyDescent="0.3">
      <c r="A39" s="37" t="s">
        <v>179</v>
      </c>
      <c r="B39" s="37" t="s">
        <v>178</v>
      </c>
      <c r="C39" s="37" t="str">
        <f>Legend!B36</f>
        <v>AGRCOA</v>
      </c>
      <c r="D39" s="37" t="str">
        <f>Legend!A36</f>
        <v>Coal</v>
      </c>
      <c r="E39" s="113">
        <f>E7+E8+E9</f>
        <v>0</v>
      </c>
      <c r="F39" s="113">
        <f t="shared" ref="F39:AF39" si="4">F7+F8+F9</f>
        <v>0</v>
      </c>
      <c r="G39" s="113">
        <f t="shared" si="4"/>
        <v>0</v>
      </c>
      <c r="H39" s="113">
        <f t="shared" si="4"/>
        <v>19.384</v>
      </c>
      <c r="I39" s="113">
        <f t="shared" si="4"/>
        <v>2.0379999999999998</v>
      </c>
      <c r="J39" s="113">
        <f t="shared" si="4"/>
        <v>4.04</v>
      </c>
      <c r="K39" s="113">
        <f t="shared" si="4"/>
        <v>8.6739999999999995</v>
      </c>
      <c r="L39" s="113">
        <f t="shared" si="4"/>
        <v>0</v>
      </c>
      <c r="M39" s="113">
        <f t="shared" si="4"/>
        <v>0</v>
      </c>
      <c r="N39" s="113">
        <f t="shared" si="4"/>
        <v>0.79300000000000004</v>
      </c>
      <c r="O39" s="113">
        <f t="shared" si="4"/>
        <v>0</v>
      </c>
      <c r="P39" s="113">
        <f t="shared" si="4"/>
        <v>469.43599999999998</v>
      </c>
      <c r="Q39" s="113">
        <f t="shared" si="4"/>
        <v>0.47599999999999998</v>
      </c>
      <c r="R39" s="113">
        <f t="shared" si="4"/>
        <v>0</v>
      </c>
      <c r="S39" s="113">
        <f t="shared" si="4"/>
        <v>31.795999999999999</v>
      </c>
      <c r="T39" s="113">
        <f t="shared" si="4"/>
        <v>8.7999999999999995E-2</v>
      </c>
      <c r="U39" s="113">
        <f t="shared" si="4"/>
        <v>2.9379999999999997</v>
      </c>
      <c r="V39" s="113">
        <f t="shared" si="4"/>
        <v>0.70399999999999996</v>
      </c>
      <c r="W39" s="113">
        <f t="shared" si="4"/>
        <v>0</v>
      </c>
      <c r="X39" s="113">
        <f t="shared" si="4"/>
        <v>1E-3</v>
      </c>
      <c r="Y39" s="113">
        <f t="shared" si="4"/>
        <v>4.0000000000000001E-3</v>
      </c>
      <c r="Z39" s="113">
        <f t="shared" si="4"/>
        <v>0</v>
      </c>
      <c r="AA39" s="113">
        <f t="shared" si="4"/>
        <v>0</v>
      </c>
      <c r="AB39" s="113">
        <f t="shared" si="4"/>
        <v>0</v>
      </c>
      <c r="AC39" s="113">
        <f t="shared" si="4"/>
        <v>0</v>
      </c>
      <c r="AD39" s="113">
        <f t="shared" si="4"/>
        <v>2.2509999999999999</v>
      </c>
      <c r="AE39" s="113">
        <f t="shared" si="4"/>
        <v>0</v>
      </c>
      <c r="AF39" s="113">
        <f t="shared" si="4"/>
        <v>0</v>
      </c>
    </row>
    <row r="40" spans="1:34" ht="14.25" customHeight="1" x14ac:dyDescent="0.3">
      <c r="A40" s="37" t="s">
        <v>179</v>
      </c>
      <c r="B40" s="37" t="s">
        <v>178</v>
      </c>
      <c r="C40" s="37" t="str">
        <f>Legend!B37</f>
        <v>AGRELC</v>
      </c>
      <c r="D40" s="37" t="str">
        <f>Legend!A37</f>
        <v>Electricity</v>
      </c>
      <c r="E40" s="113">
        <f t="shared" ref="E40:AF40" si="5">E11+E29</f>
        <v>5.101</v>
      </c>
      <c r="F40" s="113">
        <f t="shared" si="5"/>
        <v>52.826000000000001</v>
      </c>
      <c r="G40" s="113">
        <f t="shared" si="5"/>
        <v>1.61</v>
      </c>
      <c r="H40" s="113">
        <f t="shared" si="5"/>
        <v>29.814</v>
      </c>
      <c r="I40" s="113">
        <f t="shared" si="5"/>
        <v>16.989000000000001</v>
      </c>
      <c r="J40" s="113">
        <f t="shared" si="5"/>
        <v>86.539000000000001</v>
      </c>
      <c r="K40" s="113">
        <f t="shared" si="5"/>
        <v>5.1470000000000002</v>
      </c>
      <c r="L40" s="113">
        <f t="shared" si="5"/>
        <v>43.582999999999998</v>
      </c>
      <c r="M40" s="113">
        <f t="shared" si="5"/>
        <v>112.11499999999999</v>
      </c>
      <c r="N40" s="113">
        <f t="shared" si="5"/>
        <v>37.972999999999999</v>
      </c>
      <c r="O40" s="113">
        <f t="shared" si="5"/>
        <v>8.6189999999999998</v>
      </c>
      <c r="P40" s="113">
        <f t="shared" si="5"/>
        <v>481.03199999999998</v>
      </c>
      <c r="Q40" s="113">
        <f t="shared" si="5"/>
        <v>21.741</v>
      </c>
      <c r="R40" s="113">
        <f t="shared" si="5"/>
        <v>27.202000000000002</v>
      </c>
      <c r="S40" s="113">
        <f t="shared" si="5"/>
        <v>21.402000000000001</v>
      </c>
      <c r="T40" s="113">
        <f t="shared" si="5"/>
        <v>84.986999999999995</v>
      </c>
      <c r="U40" s="113">
        <f t="shared" si="5"/>
        <v>88.808000000000007</v>
      </c>
      <c r="V40" s="113">
        <f t="shared" si="5"/>
        <v>35.927</v>
      </c>
      <c r="W40" s="113">
        <f t="shared" si="5"/>
        <v>821.41899999999998</v>
      </c>
      <c r="X40" s="113">
        <f t="shared" si="5"/>
        <v>11.805</v>
      </c>
      <c r="Y40" s="113">
        <f t="shared" si="5"/>
        <v>23.760999999999999</v>
      </c>
      <c r="Z40" s="113">
        <f t="shared" si="5"/>
        <v>57.892000000000003</v>
      </c>
      <c r="AA40" s="113">
        <f t="shared" si="5"/>
        <v>168.768</v>
      </c>
      <c r="AB40" s="113">
        <f t="shared" si="5"/>
        <v>47.271999999999998</v>
      </c>
      <c r="AC40" s="113">
        <f t="shared" si="5"/>
        <v>0</v>
      </c>
      <c r="AD40" s="113">
        <f t="shared" si="5"/>
        <v>70.950999999999993</v>
      </c>
      <c r="AE40" s="113">
        <f t="shared" si="5"/>
        <v>61.51</v>
      </c>
      <c r="AF40" s="113">
        <f t="shared" si="5"/>
        <v>270.74099999999999</v>
      </c>
    </row>
    <row r="41" spans="1:34" x14ac:dyDescent="0.3">
      <c r="A41" s="37" t="s">
        <v>179</v>
      </c>
      <c r="B41" s="37" t="s">
        <v>178</v>
      </c>
      <c r="C41" s="37" t="str">
        <f>Legend!B38</f>
        <v>AGRGEO</v>
      </c>
      <c r="D41" s="37" t="str">
        <f>Legend!A38</f>
        <v>Geothermal</v>
      </c>
      <c r="E41" s="113">
        <f t="shared" ref="E41:AF41" si="6">E13</f>
        <v>0</v>
      </c>
      <c r="F41" s="114">
        <f t="shared" si="6"/>
        <v>0</v>
      </c>
      <c r="G41" s="114">
        <f t="shared" si="6"/>
        <v>0</v>
      </c>
      <c r="H41" s="114">
        <f t="shared" si="6"/>
        <v>0</v>
      </c>
      <c r="I41" s="114">
        <f t="shared" si="6"/>
        <v>0.44500000000000001</v>
      </c>
      <c r="J41" s="114">
        <f t="shared" si="6"/>
        <v>4.2999999999999997E-2</v>
      </c>
      <c r="K41" s="114">
        <f t="shared" si="6"/>
        <v>0</v>
      </c>
      <c r="L41" s="114">
        <f t="shared" si="6"/>
        <v>0</v>
      </c>
      <c r="M41" s="114">
        <f t="shared" si="6"/>
        <v>0</v>
      </c>
      <c r="N41" s="114">
        <f t="shared" si="6"/>
        <v>0</v>
      </c>
      <c r="O41" s="114">
        <f t="shared" si="6"/>
        <v>0</v>
      </c>
      <c r="P41" s="114">
        <f t="shared" si="6"/>
        <v>0</v>
      </c>
      <c r="Q41" s="114">
        <f t="shared" si="6"/>
        <v>0.13200000000000001</v>
      </c>
      <c r="R41" s="114">
        <f t="shared" si="6"/>
        <v>0.88300000000000001</v>
      </c>
      <c r="S41" s="114">
        <f t="shared" si="6"/>
        <v>2.0259999999999998</v>
      </c>
      <c r="T41" s="114">
        <f t="shared" si="6"/>
        <v>3.1680000000000001</v>
      </c>
      <c r="U41" s="114">
        <f t="shared" si="6"/>
        <v>5.5640000000000001</v>
      </c>
      <c r="V41" s="114">
        <f t="shared" si="6"/>
        <v>0</v>
      </c>
      <c r="W41" s="114">
        <f t="shared" si="6"/>
        <v>0</v>
      </c>
      <c r="X41" s="114">
        <f t="shared" si="6"/>
        <v>0.47</v>
      </c>
      <c r="Y41" s="114">
        <f t="shared" si="6"/>
        <v>0</v>
      </c>
      <c r="Z41" s="114">
        <f t="shared" si="6"/>
        <v>26.251000000000001</v>
      </c>
      <c r="AA41" s="114">
        <f t="shared" si="6"/>
        <v>0</v>
      </c>
      <c r="AB41" s="114">
        <f t="shared" si="6"/>
        <v>0</v>
      </c>
      <c r="AC41" s="114">
        <f t="shared" si="6"/>
        <v>0</v>
      </c>
      <c r="AD41" s="114">
        <f t="shared" si="6"/>
        <v>0</v>
      </c>
      <c r="AE41" s="114">
        <f t="shared" si="6"/>
        <v>1.228</v>
      </c>
      <c r="AF41" s="114">
        <f t="shared" si="6"/>
        <v>0</v>
      </c>
    </row>
    <row r="42" spans="1:34" x14ac:dyDescent="0.3">
      <c r="A42" s="37" t="s">
        <v>179</v>
      </c>
      <c r="B42" s="37" t="s">
        <v>178</v>
      </c>
      <c r="C42" s="37" t="str">
        <f>Legend!B39</f>
        <v>AGRHET</v>
      </c>
      <c r="D42" s="37" t="str">
        <f>Legend!A39</f>
        <v>Heat</v>
      </c>
      <c r="E42" s="113">
        <f t="shared" ref="E42:AF42" si="7">E24</f>
        <v>0</v>
      </c>
      <c r="F42" s="114">
        <f t="shared" si="7"/>
        <v>0</v>
      </c>
      <c r="G42" s="114">
        <f t="shared" si="7"/>
        <v>0</v>
      </c>
      <c r="H42" s="114">
        <f t="shared" si="7"/>
        <v>0</v>
      </c>
      <c r="I42" s="114">
        <f t="shared" si="7"/>
        <v>0</v>
      </c>
      <c r="J42" s="114">
        <f t="shared" si="7"/>
        <v>8.7929999999999993</v>
      </c>
      <c r="K42" s="114">
        <f t="shared" si="7"/>
        <v>0</v>
      </c>
      <c r="L42" s="114">
        <f t="shared" si="7"/>
        <v>0</v>
      </c>
      <c r="M42" s="114">
        <f t="shared" si="7"/>
        <v>0</v>
      </c>
      <c r="N42" s="114">
        <f t="shared" si="7"/>
        <v>0</v>
      </c>
      <c r="O42" s="114">
        <f t="shared" si="7"/>
        <v>0</v>
      </c>
      <c r="P42" s="114">
        <f t="shared" si="7"/>
        <v>0.69899999999999995</v>
      </c>
      <c r="Q42" s="114">
        <f t="shared" si="7"/>
        <v>69.978999999999999</v>
      </c>
      <c r="R42" s="114">
        <f t="shared" si="7"/>
        <v>1.742</v>
      </c>
      <c r="S42" s="114">
        <f t="shared" si="7"/>
        <v>2.86</v>
      </c>
      <c r="T42" s="114">
        <f t="shared" si="7"/>
        <v>1.405</v>
      </c>
      <c r="U42" s="114">
        <f t="shared" si="7"/>
        <v>5.9210000000000003</v>
      </c>
      <c r="V42" s="114">
        <f t="shared" si="7"/>
        <v>0</v>
      </c>
      <c r="W42" s="114">
        <f t="shared" si="7"/>
        <v>0</v>
      </c>
      <c r="X42" s="114">
        <f t="shared" si="7"/>
        <v>0</v>
      </c>
      <c r="Y42" s="114">
        <f t="shared" si="7"/>
        <v>0</v>
      </c>
      <c r="Z42" s="114">
        <f t="shared" si="7"/>
        <v>0</v>
      </c>
      <c r="AA42" s="114">
        <f t="shared" si="7"/>
        <v>0</v>
      </c>
      <c r="AB42" s="114">
        <f t="shared" si="7"/>
        <v>0</v>
      </c>
      <c r="AC42" s="114">
        <f t="shared" si="7"/>
        <v>0</v>
      </c>
      <c r="AD42" s="114">
        <f t="shared" si="7"/>
        <v>106.423</v>
      </c>
      <c r="AE42" s="114">
        <f t="shared" si="7"/>
        <v>0</v>
      </c>
      <c r="AF42" s="114">
        <f t="shared" si="7"/>
        <v>0</v>
      </c>
    </row>
    <row r="43" spans="1:34" x14ac:dyDescent="0.3">
      <c r="A43" s="37" t="s">
        <v>179</v>
      </c>
      <c r="B43" s="37" t="s">
        <v>178</v>
      </c>
      <c r="C43" s="37" t="str">
        <f>Legend!B42</f>
        <v>AGRBLQ</v>
      </c>
      <c r="D43" s="37" t="str">
        <f>Legend!A42</f>
        <v>Liquid biofuels</v>
      </c>
      <c r="E43" s="113">
        <f t="shared" ref="E43:AF43" si="8">E25+E21+E23</f>
        <v>0</v>
      </c>
      <c r="F43" s="114">
        <f t="shared" si="8"/>
        <v>0</v>
      </c>
      <c r="G43" s="114">
        <f t="shared" si="8"/>
        <v>0</v>
      </c>
      <c r="H43" s="114">
        <f t="shared" si="8"/>
        <v>0</v>
      </c>
      <c r="I43" s="114">
        <f t="shared" si="8"/>
        <v>0</v>
      </c>
      <c r="J43" s="114">
        <f t="shared" si="8"/>
        <v>0</v>
      </c>
      <c r="K43" s="114">
        <f t="shared" si="8"/>
        <v>0</v>
      </c>
      <c r="L43" s="114">
        <f t="shared" si="8"/>
        <v>0</v>
      </c>
      <c r="M43" s="114">
        <f t="shared" si="8"/>
        <v>17.669</v>
      </c>
      <c r="N43" s="114">
        <f t="shared" si="8"/>
        <v>0</v>
      </c>
      <c r="O43" s="114">
        <f t="shared" si="8"/>
        <v>0</v>
      </c>
      <c r="P43" s="114">
        <f t="shared" si="8"/>
        <v>0</v>
      </c>
      <c r="Q43" s="114">
        <f t="shared" si="8"/>
        <v>0.35099999999999998</v>
      </c>
      <c r="R43" s="114">
        <f t="shared" si="8"/>
        <v>1.2E-2</v>
      </c>
      <c r="S43" s="114">
        <f t="shared" si="8"/>
        <v>5.5E-2</v>
      </c>
      <c r="T43" s="114">
        <f t="shared" si="8"/>
        <v>6.1580000000000004</v>
      </c>
      <c r="U43" s="114">
        <f t="shared" si="8"/>
        <v>8.6179999999999986</v>
      </c>
      <c r="V43" s="114">
        <f t="shared" si="8"/>
        <v>5.8999999999999997E-2</v>
      </c>
      <c r="W43" s="114">
        <f t="shared" si="8"/>
        <v>0</v>
      </c>
      <c r="X43" s="114">
        <f t="shared" si="8"/>
        <v>0</v>
      </c>
      <c r="Y43" s="114">
        <f t="shared" si="8"/>
        <v>0.29500000000000004</v>
      </c>
      <c r="Z43" s="114">
        <f t="shared" si="8"/>
        <v>0</v>
      </c>
      <c r="AA43" s="114">
        <f t="shared" si="8"/>
        <v>0</v>
      </c>
      <c r="AB43" s="114">
        <f t="shared" si="8"/>
        <v>0</v>
      </c>
      <c r="AC43" s="114">
        <f t="shared" si="8"/>
        <v>0</v>
      </c>
      <c r="AD43" s="114">
        <f t="shared" si="8"/>
        <v>0</v>
      </c>
      <c r="AE43" s="114">
        <f t="shared" si="8"/>
        <v>0</v>
      </c>
      <c r="AF43" s="114">
        <f t="shared" si="8"/>
        <v>7.7960000000000003</v>
      </c>
    </row>
    <row r="44" spans="1:34" x14ac:dyDescent="0.3">
      <c r="A44" s="37" t="s">
        <v>179</v>
      </c>
      <c r="B44" s="37" t="s">
        <v>178</v>
      </c>
      <c r="C44" s="37" t="str">
        <f>Legend!B43</f>
        <v>AGRLPG</v>
      </c>
      <c r="D44" s="37" t="str">
        <f>Legend!A43</f>
        <v>LPG</v>
      </c>
      <c r="E44" s="113">
        <f t="shared" ref="E44:AF44" si="9">E17</f>
        <v>0.01</v>
      </c>
      <c r="F44" s="114">
        <f t="shared" si="9"/>
        <v>5.6210000000000004</v>
      </c>
      <c r="G44" s="114">
        <f t="shared" si="9"/>
        <v>0</v>
      </c>
      <c r="H44" s="114">
        <f t="shared" si="9"/>
        <v>0.22800000000000001</v>
      </c>
      <c r="I44" s="114">
        <f t="shared" si="9"/>
        <v>2.0569999999999999</v>
      </c>
      <c r="J44" s="114">
        <f t="shared" si="9"/>
        <v>1.512</v>
      </c>
      <c r="K44" s="114">
        <f t="shared" si="9"/>
        <v>8.4000000000000005E-2</v>
      </c>
      <c r="L44" s="114">
        <f t="shared" si="9"/>
        <v>0</v>
      </c>
      <c r="M44" s="114">
        <f t="shared" si="9"/>
        <v>0.75700000000000001</v>
      </c>
      <c r="N44" s="114">
        <f t="shared" si="9"/>
        <v>9.6780000000000008</v>
      </c>
      <c r="O44" s="114">
        <f t="shared" si="9"/>
        <v>3.4159999999999999</v>
      </c>
      <c r="P44" s="114">
        <f t="shared" si="9"/>
        <v>3.61</v>
      </c>
      <c r="Q44" s="114">
        <f t="shared" si="9"/>
        <v>1.0509999999999999</v>
      </c>
      <c r="R44" s="114">
        <f t="shared" si="9"/>
        <v>4.04</v>
      </c>
      <c r="S44" s="114">
        <f t="shared" si="9"/>
        <v>5.1760000000000002</v>
      </c>
      <c r="T44" s="114">
        <f t="shared" si="9"/>
        <v>17.843</v>
      </c>
      <c r="U44" s="114">
        <f t="shared" si="9"/>
        <v>10.65</v>
      </c>
      <c r="V44" s="114">
        <f t="shared" si="9"/>
        <v>2.4E-2</v>
      </c>
      <c r="W44" s="114">
        <f t="shared" si="9"/>
        <v>1.2010000000000001</v>
      </c>
      <c r="X44" s="114">
        <f t="shared" si="9"/>
        <v>9.0999999999999998E-2</v>
      </c>
      <c r="Y44" s="114">
        <f t="shared" si="9"/>
        <v>5.1920000000000002</v>
      </c>
      <c r="Z44" s="114">
        <f t="shared" si="9"/>
        <v>0.124</v>
      </c>
      <c r="AA44" s="114">
        <f t="shared" si="9"/>
        <v>2.86</v>
      </c>
      <c r="AB44" s="114">
        <f t="shared" si="9"/>
        <v>3.3740000000000001</v>
      </c>
      <c r="AC44" s="114">
        <f t="shared" si="9"/>
        <v>0</v>
      </c>
      <c r="AD44" s="114">
        <f t="shared" si="9"/>
        <v>2.371</v>
      </c>
      <c r="AE44" s="114">
        <f t="shared" si="9"/>
        <v>0.22700000000000001</v>
      </c>
      <c r="AF44" s="114">
        <f t="shared" si="9"/>
        <v>34.756</v>
      </c>
    </row>
    <row r="45" spans="1:34" x14ac:dyDescent="0.3">
      <c r="A45" s="37" t="s">
        <v>179</v>
      </c>
      <c r="B45" s="37" t="s">
        <v>178</v>
      </c>
      <c r="C45" s="37" t="str">
        <f>Legend!B44</f>
        <v>AGRGAS</v>
      </c>
      <c r="D45" s="37" t="str">
        <f>Legend!A44</f>
        <v>Natural gas</v>
      </c>
      <c r="E45" s="113">
        <f t="shared" ref="E45:AF45" si="10">E18</f>
        <v>0</v>
      </c>
      <c r="F45" s="114">
        <f t="shared" si="10"/>
        <v>2.5569999999999999</v>
      </c>
      <c r="G45" s="114">
        <f t="shared" si="10"/>
        <v>0</v>
      </c>
      <c r="H45" s="114">
        <f t="shared" si="10"/>
        <v>0</v>
      </c>
      <c r="I45" s="114">
        <f t="shared" si="10"/>
        <v>2.427</v>
      </c>
      <c r="J45" s="114">
        <f t="shared" si="10"/>
        <v>9.6449999999999996</v>
      </c>
      <c r="K45" s="114">
        <f t="shared" si="10"/>
        <v>0</v>
      </c>
      <c r="L45" s="114">
        <f t="shared" si="10"/>
        <v>1.0089999999999999</v>
      </c>
      <c r="M45" s="114">
        <f t="shared" si="10"/>
        <v>0</v>
      </c>
      <c r="N45" s="114">
        <f t="shared" si="10"/>
        <v>39.795000000000002</v>
      </c>
      <c r="O45" s="114">
        <f t="shared" si="10"/>
        <v>1.0289999999999999</v>
      </c>
      <c r="P45" s="114">
        <f t="shared" si="10"/>
        <v>4.2140000000000004</v>
      </c>
      <c r="Q45" s="114">
        <f t="shared" si="10"/>
        <v>9.0190000000000001</v>
      </c>
      <c r="R45" s="114">
        <f t="shared" si="10"/>
        <v>3.931</v>
      </c>
      <c r="S45" s="114">
        <f t="shared" si="10"/>
        <v>17.588000000000001</v>
      </c>
      <c r="T45" s="114">
        <f t="shared" si="10"/>
        <v>22.388000000000002</v>
      </c>
      <c r="U45" s="114">
        <f t="shared" si="10"/>
        <v>115.16500000000001</v>
      </c>
      <c r="V45" s="114">
        <f t="shared" si="10"/>
        <v>0</v>
      </c>
      <c r="W45" s="114">
        <f t="shared" si="10"/>
        <v>7.218</v>
      </c>
      <c r="X45" s="114">
        <f t="shared" si="10"/>
        <v>6.2E-2</v>
      </c>
      <c r="Y45" s="114">
        <f t="shared" si="10"/>
        <v>0.35399999999999998</v>
      </c>
      <c r="Z45" s="114">
        <f t="shared" si="10"/>
        <v>6.8940000000000001</v>
      </c>
      <c r="AA45" s="114">
        <f t="shared" si="10"/>
        <v>80.353999999999999</v>
      </c>
      <c r="AB45" s="114">
        <f t="shared" si="10"/>
        <v>0</v>
      </c>
      <c r="AC45" s="114">
        <f t="shared" si="10"/>
        <v>0</v>
      </c>
      <c r="AD45" s="114">
        <f t="shared" si="10"/>
        <v>51.655000000000001</v>
      </c>
      <c r="AE45" s="114">
        <f t="shared" si="10"/>
        <v>0.17100000000000001</v>
      </c>
      <c r="AF45" s="114">
        <f t="shared" si="10"/>
        <v>62.164999999999999</v>
      </c>
    </row>
    <row r="46" spans="1:34" x14ac:dyDescent="0.3">
      <c r="A46" s="37" t="s">
        <v>179</v>
      </c>
      <c r="B46" s="37" t="s">
        <v>178</v>
      </c>
      <c r="C46" s="37" t="str">
        <f>Legend!B45</f>
        <v>AGROIL</v>
      </c>
      <c r="D46" s="37" t="str">
        <f>Legend!A45</f>
        <v>Oil</v>
      </c>
      <c r="E46" s="113">
        <f>SUM(E10,E12,E14,E16,E28,E15)</f>
        <v>18.366</v>
      </c>
      <c r="F46" s="113">
        <f t="shared" ref="F46:AF46" si="11">SUM(F10,F12,F14,F16,F28,F15)</f>
        <v>84.848000000000013</v>
      </c>
      <c r="G46" s="113">
        <f t="shared" si="11"/>
        <v>11.95</v>
      </c>
      <c r="H46" s="113">
        <f t="shared" si="11"/>
        <v>77.435999999999993</v>
      </c>
      <c r="I46" s="113">
        <f t="shared" si="11"/>
        <v>97.774999999999991</v>
      </c>
      <c r="J46" s="113">
        <f t="shared" si="11"/>
        <v>28.669999999999995</v>
      </c>
      <c r="K46" s="113">
        <f t="shared" si="11"/>
        <v>234.595</v>
      </c>
      <c r="L46" s="113">
        <f t="shared" si="11"/>
        <v>55.047999999999995</v>
      </c>
      <c r="M46" s="113">
        <f t="shared" si="11"/>
        <v>275.69600000000003</v>
      </c>
      <c r="N46" s="113">
        <f t="shared" si="11"/>
        <v>206.44</v>
      </c>
      <c r="O46" s="113">
        <f t="shared" si="11"/>
        <v>15.121</v>
      </c>
      <c r="P46" s="113">
        <f t="shared" si="11"/>
        <v>749.23300000000006</v>
      </c>
      <c r="Q46" s="113">
        <f t="shared" si="11"/>
        <v>95.910000000000011</v>
      </c>
      <c r="R46" s="113">
        <f t="shared" si="11"/>
        <v>54.069000000000003</v>
      </c>
      <c r="S46" s="113">
        <f t="shared" si="11"/>
        <v>172.267</v>
      </c>
      <c r="T46" s="113">
        <f t="shared" si="11"/>
        <v>313.85700000000003</v>
      </c>
      <c r="U46" s="113">
        <f t="shared" si="11"/>
        <v>190.08799999999999</v>
      </c>
      <c r="V46" s="113">
        <f t="shared" si="11"/>
        <v>122.669</v>
      </c>
      <c r="W46" s="113">
        <f t="shared" si="11"/>
        <v>30.143999999999998</v>
      </c>
      <c r="X46" s="113">
        <f t="shared" si="11"/>
        <v>178.78300000000002</v>
      </c>
      <c r="Y46" s="113">
        <f t="shared" si="11"/>
        <v>210.18900000000002</v>
      </c>
      <c r="Z46" s="113">
        <f t="shared" si="11"/>
        <v>137.52599999999998</v>
      </c>
      <c r="AA46" s="113">
        <f t="shared" si="11"/>
        <v>110.30699999999999</v>
      </c>
      <c r="AB46" s="113">
        <f t="shared" si="11"/>
        <v>126.761</v>
      </c>
      <c r="AC46" s="113">
        <f t="shared" si="11"/>
        <v>0.186</v>
      </c>
      <c r="AD46" s="113">
        <f t="shared" si="11"/>
        <v>140.637</v>
      </c>
      <c r="AE46" s="113">
        <f t="shared" si="11"/>
        <v>51.125</v>
      </c>
      <c r="AF46" s="113">
        <f t="shared" si="11"/>
        <v>464.49799999999999</v>
      </c>
    </row>
    <row r="47" spans="1:34" x14ac:dyDescent="0.3">
      <c r="A47" s="37" t="s">
        <v>179</v>
      </c>
      <c r="B47" s="37" t="s">
        <v>178</v>
      </c>
      <c r="C47" s="37" t="str">
        <f>Legend!B46</f>
        <v>AGRSOL</v>
      </c>
      <c r="D47" s="37" t="str">
        <f>Legend!A46</f>
        <v>Solar</v>
      </c>
      <c r="E47" s="113">
        <f t="shared" ref="E47:AF47" si="12">E19</f>
        <v>0</v>
      </c>
      <c r="F47" s="114">
        <f t="shared" si="12"/>
        <v>0</v>
      </c>
      <c r="G47" s="114">
        <f t="shared" si="12"/>
        <v>0</v>
      </c>
      <c r="H47" s="114">
        <f t="shared" si="12"/>
        <v>0</v>
      </c>
      <c r="I47" s="114">
        <f t="shared" si="12"/>
        <v>0</v>
      </c>
      <c r="J47" s="114">
        <f t="shared" si="12"/>
        <v>0</v>
      </c>
      <c r="K47" s="114">
        <f t="shared" si="12"/>
        <v>0</v>
      </c>
      <c r="L47" s="114">
        <f t="shared" si="12"/>
        <v>1.9E-2</v>
      </c>
      <c r="M47" s="114">
        <f t="shared" si="12"/>
        <v>0</v>
      </c>
      <c r="N47" s="114">
        <f t="shared" si="12"/>
        <v>0</v>
      </c>
      <c r="O47" s="114">
        <f t="shared" si="12"/>
        <v>0</v>
      </c>
      <c r="P47" s="114">
        <f t="shared" si="12"/>
        <v>0</v>
      </c>
      <c r="Q47" s="114">
        <f t="shared" si="12"/>
        <v>0</v>
      </c>
      <c r="R47" s="114">
        <f t="shared" si="12"/>
        <v>1.4999999999999999E-2</v>
      </c>
      <c r="S47" s="114">
        <f t="shared" si="12"/>
        <v>0</v>
      </c>
      <c r="T47" s="114">
        <f t="shared" si="12"/>
        <v>0.24099999999999999</v>
      </c>
      <c r="U47" s="114">
        <f t="shared" si="12"/>
        <v>0.105</v>
      </c>
      <c r="V47" s="114">
        <f t="shared" si="12"/>
        <v>0</v>
      </c>
      <c r="W47" s="114">
        <f t="shared" si="12"/>
        <v>0</v>
      </c>
      <c r="X47" s="114">
        <f t="shared" si="12"/>
        <v>0</v>
      </c>
      <c r="Y47" s="114">
        <f t="shared" si="12"/>
        <v>7.0000000000000001E-3</v>
      </c>
      <c r="Z47" s="114">
        <f t="shared" si="12"/>
        <v>0</v>
      </c>
      <c r="AA47" s="114">
        <f t="shared" si="12"/>
        <v>0</v>
      </c>
      <c r="AB47" s="114">
        <f t="shared" si="12"/>
        <v>0</v>
      </c>
      <c r="AC47" s="114">
        <f t="shared" si="12"/>
        <v>0</v>
      </c>
      <c r="AD47" s="114">
        <f t="shared" si="12"/>
        <v>0</v>
      </c>
      <c r="AE47" s="114">
        <f t="shared" si="12"/>
        <v>0</v>
      </c>
      <c r="AF47" s="114">
        <f t="shared" si="12"/>
        <v>0</v>
      </c>
    </row>
    <row r="48" spans="1:34" x14ac:dyDescent="0.3">
      <c r="A48" s="37" t="s">
        <v>179</v>
      </c>
      <c r="B48" s="37" t="s">
        <v>178</v>
      </c>
      <c r="C48" s="37" t="str">
        <f>Legend!B47</f>
        <v>AGRBIO</v>
      </c>
      <c r="D48" s="37" t="str">
        <f>Legend!A47</f>
        <v>Solid biofuels</v>
      </c>
      <c r="E48" s="113">
        <f>E26+E27</f>
        <v>54.622999999999998</v>
      </c>
      <c r="F48" s="113">
        <f t="shared" ref="F48:AF48" si="13">F26+F27</f>
        <v>0</v>
      </c>
      <c r="G48" s="113">
        <f t="shared" si="13"/>
        <v>8.5310000000000006</v>
      </c>
      <c r="H48" s="113">
        <f t="shared" si="13"/>
        <v>16.023</v>
      </c>
      <c r="I48" s="113">
        <f t="shared" si="13"/>
        <v>0</v>
      </c>
      <c r="J48" s="113">
        <f t="shared" si="13"/>
        <v>1.2999999999999999E-2</v>
      </c>
      <c r="K48" s="113">
        <f t="shared" si="13"/>
        <v>5.0000000000000001E-3</v>
      </c>
      <c r="L48" s="113">
        <f t="shared" si="13"/>
        <v>0</v>
      </c>
      <c r="M48" s="113">
        <f t="shared" si="13"/>
        <v>128.488</v>
      </c>
      <c r="N48" s="113">
        <f t="shared" si="13"/>
        <v>0</v>
      </c>
      <c r="O48" s="113">
        <f t="shared" si="13"/>
        <v>0.309</v>
      </c>
      <c r="P48" s="113">
        <f t="shared" si="13"/>
        <v>144.22200000000001</v>
      </c>
      <c r="Q48" s="113">
        <f t="shared" si="13"/>
        <v>3.4039999999999999</v>
      </c>
      <c r="R48" s="113">
        <f t="shared" si="13"/>
        <v>5.1530000000000005</v>
      </c>
      <c r="S48" s="113">
        <f t="shared" si="13"/>
        <v>25.635000000000002</v>
      </c>
      <c r="T48" s="113">
        <f t="shared" si="13"/>
        <v>12.798999999999999</v>
      </c>
      <c r="U48" s="113">
        <f t="shared" si="13"/>
        <v>36.997999999999998</v>
      </c>
      <c r="V48" s="113">
        <f t="shared" si="13"/>
        <v>9.2330000000000005</v>
      </c>
      <c r="W48" s="113">
        <f t="shared" si="13"/>
        <v>0</v>
      </c>
      <c r="X48" s="113">
        <f t="shared" si="13"/>
        <v>0.02</v>
      </c>
      <c r="Y48" s="113">
        <f t="shared" si="13"/>
        <v>15.460999999999999</v>
      </c>
      <c r="Z48" s="113">
        <f t="shared" si="13"/>
        <v>1E-3</v>
      </c>
      <c r="AA48" s="113">
        <f t="shared" si="13"/>
        <v>0</v>
      </c>
      <c r="AB48" s="113">
        <f t="shared" si="13"/>
        <v>0</v>
      </c>
      <c r="AC48" s="113">
        <f t="shared" si="13"/>
        <v>0</v>
      </c>
      <c r="AD48" s="113">
        <f t="shared" si="13"/>
        <v>3.2269999999999999</v>
      </c>
      <c r="AE48" s="113">
        <f t="shared" si="13"/>
        <v>0.63600000000000001</v>
      </c>
      <c r="AF48" s="113">
        <f t="shared" si="13"/>
        <v>59.152999999999999</v>
      </c>
    </row>
    <row r="49" spans="1:32" x14ac:dyDescent="0.3">
      <c r="A49" s="37" t="s">
        <v>179</v>
      </c>
      <c r="B49" s="37" t="s">
        <v>178</v>
      </c>
      <c r="C49" s="37" t="str">
        <f>Legend!B48</f>
        <v>AGRWAS</v>
      </c>
      <c r="D49" s="37" t="str">
        <f>Legend!A48</f>
        <v>Waste</v>
      </c>
      <c r="E49" s="113">
        <f>E20</f>
        <v>0</v>
      </c>
      <c r="F49" s="114">
        <f t="shared" ref="F49:AF49" si="14">F20</f>
        <v>0</v>
      </c>
      <c r="G49" s="114">
        <f t="shared" si="14"/>
        <v>0</v>
      </c>
      <c r="H49" s="114">
        <f t="shared" si="14"/>
        <v>0</v>
      </c>
      <c r="I49" s="114">
        <f t="shared" si="14"/>
        <v>0</v>
      </c>
      <c r="J49" s="114">
        <f t="shared" si="14"/>
        <v>0</v>
      </c>
      <c r="K49" s="114">
        <f t="shared" si="14"/>
        <v>0</v>
      </c>
      <c r="L49" s="114">
        <f t="shared" si="14"/>
        <v>0</v>
      </c>
      <c r="M49" s="114">
        <f t="shared" si="14"/>
        <v>0</v>
      </c>
      <c r="N49" s="114">
        <f t="shared" si="14"/>
        <v>0</v>
      </c>
      <c r="O49" s="114">
        <f t="shared" si="14"/>
        <v>0</v>
      </c>
      <c r="P49" s="114">
        <f t="shared" si="14"/>
        <v>0</v>
      </c>
      <c r="Q49" s="114">
        <f t="shared" si="14"/>
        <v>0</v>
      </c>
      <c r="R49" s="114">
        <f t="shared" si="14"/>
        <v>0</v>
      </c>
      <c r="S49" s="114">
        <f t="shared" si="14"/>
        <v>0</v>
      </c>
      <c r="T49" s="114">
        <f t="shared" si="14"/>
        <v>0</v>
      </c>
      <c r="U49" s="114">
        <f t="shared" si="14"/>
        <v>0</v>
      </c>
      <c r="V49" s="114">
        <f t="shared" si="14"/>
        <v>0</v>
      </c>
      <c r="W49" s="114">
        <f t="shared" si="14"/>
        <v>0</v>
      </c>
      <c r="X49" s="114">
        <f t="shared" si="14"/>
        <v>0</v>
      </c>
      <c r="Y49" s="114">
        <f t="shared" si="14"/>
        <v>0</v>
      </c>
      <c r="Z49" s="114">
        <f t="shared" si="14"/>
        <v>0</v>
      </c>
      <c r="AA49" s="114">
        <f t="shared" si="14"/>
        <v>0</v>
      </c>
      <c r="AB49" s="114">
        <f t="shared" si="14"/>
        <v>0</v>
      </c>
      <c r="AC49" s="114">
        <f t="shared" si="14"/>
        <v>0</v>
      </c>
      <c r="AD49" s="114">
        <f t="shared" si="14"/>
        <v>0</v>
      </c>
      <c r="AE49" s="114">
        <f t="shared" si="14"/>
        <v>0</v>
      </c>
      <c r="AF49" s="114">
        <f t="shared" si="14"/>
        <v>0</v>
      </c>
    </row>
    <row r="50" spans="1:32" x14ac:dyDescent="0.3">
      <c r="A50" s="47" t="s">
        <v>90</v>
      </c>
      <c r="B50" s="47"/>
      <c r="C50" s="47"/>
      <c r="D50" s="47"/>
      <c r="E50" s="115">
        <f t="shared" ref="E50:AF50" si="15">SUM(E38:E49)</f>
        <v>78.099999999999994</v>
      </c>
      <c r="F50" s="115">
        <f t="shared" si="15"/>
        <v>145.85200000000003</v>
      </c>
      <c r="G50" s="115">
        <f t="shared" si="15"/>
        <v>22.091000000000001</v>
      </c>
      <c r="H50" s="115">
        <f t="shared" si="15"/>
        <v>142.88499999999999</v>
      </c>
      <c r="I50" s="115">
        <f t="shared" si="15"/>
        <v>121.73099999999999</v>
      </c>
      <c r="J50" s="115">
        <f t="shared" si="15"/>
        <v>139.25500000000002</v>
      </c>
      <c r="K50" s="115">
        <f t="shared" si="15"/>
        <v>248.505</v>
      </c>
      <c r="L50" s="115">
        <f t="shared" si="15"/>
        <v>99.658999999999992</v>
      </c>
      <c r="M50" s="115">
        <f t="shared" si="15"/>
        <v>534.72500000000002</v>
      </c>
      <c r="N50" s="115">
        <f t="shared" si="15"/>
        <v>294.68599999999998</v>
      </c>
      <c r="O50" s="115">
        <f t="shared" si="15"/>
        <v>28.513000000000002</v>
      </c>
      <c r="P50" s="115">
        <f t="shared" si="15"/>
        <v>1852.4460000000001</v>
      </c>
      <c r="Q50" s="115">
        <f t="shared" si="15"/>
        <v>202.23099999999999</v>
      </c>
      <c r="R50" s="115">
        <f t="shared" si="15"/>
        <v>97.614000000000004</v>
      </c>
      <c r="S50" s="115">
        <f t="shared" si="15"/>
        <v>282.99299999999999</v>
      </c>
      <c r="T50" s="115">
        <f t="shared" si="15"/>
        <v>464.46899999999999</v>
      </c>
      <c r="U50" s="115">
        <f t="shared" si="15"/>
        <v>487.01100000000002</v>
      </c>
      <c r="V50" s="115">
        <f t="shared" si="15"/>
        <v>168.61599999999999</v>
      </c>
      <c r="W50" s="115">
        <f t="shared" si="15"/>
        <v>859.98199999999997</v>
      </c>
      <c r="X50" s="115">
        <f t="shared" si="15"/>
        <v>191.23200000000003</v>
      </c>
      <c r="Y50" s="115">
        <f t="shared" si="15"/>
        <v>255.26300000000003</v>
      </c>
      <c r="Z50" s="115">
        <f t="shared" si="15"/>
        <v>228.68799999999999</v>
      </c>
      <c r="AA50" s="115">
        <f t="shared" si="15"/>
        <v>362.28899999999999</v>
      </c>
      <c r="AB50" s="115">
        <f t="shared" si="15"/>
        <v>177.40699999999998</v>
      </c>
      <c r="AC50" s="115">
        <f t="shared" si="15"/>
        <v>0.186</v>
      </c>
      <c r="AD50" s="115">
        <f t="shared" si="15"/>
        <v>377.51499999999999</v>
      </c>
      <c r="AE50" s="115">
        <f t="shared" si="15"/>
        <v>114.92699999999999</v>
      </c>
      <c r="AF50" s="115">
        <f t="shared" si="15"/>
        <v>899.14700000000005</v>
      </c>
    </row>
    <row r="51" spans="1:32" x14ac:dyDescent="0.3">
      <c r="A51" s="47"/>
      <c r="B51" s="48"/>
      <c r="C51" s="48"/>
      <c r="D51" s="48"/>
      <c r="E51" s="116"/>
      <c r="F51" s="116"/>
      <c r="G51" s="116"/>
      <c r="H51" s="116"/>
      <c r="I51" s="116"/>
      <c r="J51" s="116"/>
      <c r="K51" s="116"/>
      <c r="L51" s="116"/>
      <c r="M51" s="116"/>
      <c r="N51" s="116"/>
      <c r="O51" s="116"/>
      <c r="P51" s="116"/>
      <c r="Q51" s="116"/>
      <c r="R51" s="116"/>
      <c r="S51" s="116"/>
      <c r="T51" s="116"/>
      <c r="U51" s="116"/>
      <c r="V51" s="116"/>
      <c r="W51" s="116"/>
      <c r="X51" s="116"/>
      <c r="Y51" s="116"/>
      <c r="Z51" s="116"/>
      <c r="AA51" s="116"/>
      <c r="AB51" s="116"/>
      <c r="AC51" s="116"/>
      <c r="AD51" s="116"/>
      <c r="AE51" s="116"/>
      <c r="AF51" s="116"/>
    </row>
    <row r="52" spans="1:32" s="117" customFormat="1" ht="15" thickBot="1" x14ac:dyDescent="0.35">
      <c r="E52" s="134">
        <f>E33-E50</f>
        <v>0</v>
      </c>
      <c r="F52" s="134">
        <f t="shared" ref="F52:AF52" si="16">F33-F50</f>
        <v>0</v>
      </c>
      <c r="G52" s="134">
        <f t="shared" si="16"/>
        <v>0</v>
      </c>
      <c r="H52" s="134">
        <f t="shared" si="16"/>
        <v>0</v>
      </c>
      <c r="I52" s="134">
        <f t="shared" si="16"/>
        <v>0</v>
      </c>
      <c r="J52" s="134">
        <f t="shared" si="16"/>
        <v>0</v>
      </c>
      <c r="K52" s="134">
        <f t="shared" si="16"/>
        <v>0</v>
      </c>
      <c r="L52" s="134">
        <f t="shared" si="16"/>
        <v>0</v>
      </c>
      <c r="M52" s="134">
        <f t="shared" si="16"/>
        <v>0</v>
      </c>
      <c r="N52" s="134">
        <f t="shared" si="16"/>
        <v>0</v>
      </c>
      <c r="O52" s="134">
        <f t="shared" si="16"/>
        <v>0</v>
      </c>
      <c r="P52" s="134">
        <f t="shared" si="16"/>
        <v>0</v>
      </c>
      <c r="Q52" s="134">
        <f t="shared" si="16"/>
        <v>0</v>
      </c>
      <c r="R52" s="134">
        <f t="shared" si="16"/>
        <v>0</v>
      </c>
      <c r="S52" s="134">
        <f t="shared" si="16"/>
        <v>0</v>
      </c>
      <c r="T52" s="134">
        <f t="shared" si="16"/>
        <v>0</v>
      </c>
      <c r="U52" s="134">
        <f t="shared" si="16"/>
        <v>0</v>
      </c>
      <c r="V52" s="134">
        <f t="shared" si="16"/>
        <v>0</v>
      </c>
      <c r="W52" s="134">
        <f t="shared" si="16"/>
        <v>0</v>
      </c>
      <c r="X52" s="134">
        <f t="shared" si="16"/>
        <v>0</v>
      </c>
      <c r="Y52" s="134">
        <f t="shared" si="16"/>
        <v>0</v>
      </c>
      <c r="Z52" s="134">
        <f t="shared" si="16"/>
        <v>0</v>
      </c>
      <c r="AA52" s="134">
        <f t="shared" si="16"/>
        <v>0</v>
      </c>
      <c r="AB52" s="134">
        <f t="shared" si="16"/>
        <v>0</v>
      </c>
      <c r="AC52" s="134">
        <f t="shared" si="16"/>
        <v>0</v>
      </c>
      <c r="AD52" s="134">
        <f t="shared" si="16"/>
        <v>0</v>
      </c>
      <c r="AE52" s="134">
        <f>AE33-AE50</f>
        <v>0</v>
      </c>
      <c r="AF52" s="134">
        <f t="shared" si="16"/>
        <v>0</v>
      </c>
    </row>
    <row r="53" spans="1:32" ht="15" thickTop="1" x14ac:dyDescent="0.3"/>
    <row r="67" spans="1:17" ht="15.6" x14ac:dyDescent="0.3">
      <c r="P67"/>
      <c r="Q67"/>
    </row>
    <row r="68" spans="1:17" ht="15.6" x14ac:dyDescent="0.3">
      <c r="A68"/>
      <c r="B68"/>
      <c r="C6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59999389629810485"/>
  </sheetPr>
  <dimension ref="B1:R36"/>
  <sheetViews>
    <sheetView showGridLines="0" topLeftCell="J1" workbookViewId="0">
      <pane ySplit="1" topLeftCell="A2" activePane="bottomLeft" state="frozen"/>
      <selection pane="bottomLeft" activeCell="L17" sqref="L17"/>
    </sheetView>
  </sheetViews>
  <sheetFormatPr defaultColWidth="9" defaultRowHeight="14.4" x14ac:dyDescent="0.3"/>
  <cols>
    <col min="1" max="1" width="1.8984375" style="3" bestFit="1" customWidth="1"/>
    <col min="2" max="2" width="20.19921875" style="3" customWidth="1"/>
    <col min="3" max="3" width="10.59765625" style="3" customWidth="1"/>
    <col min="4" max="4" width="24.69921875" style="3" customWidth="1"/>
    <col min="5" max="5" width="4.3984375" style="3" bestFit="1" customWidth="1"/>
    <col min="6" max="6" width="7.59765625" style="3" bestFit="1" customWidth="1"/>
    <col min="7" max="7" width="8.09765625" style="3" bestFit="1" customWidth="1"/>
    <col min="8" max="8" width="6.69921875" style="3" bestFit="1" customWidth="1"/>
    <col min="9" max="9" width="7" style="3" bestFit="1" customWidth="1"/>
    <col min="10" max="10" width="9" style="3"/>
    <col min="11" max="11" width="12.59765625" style="3" customWidth="1"/>
    <col min="12" max="12" width="16.3984375" style="3" customWidth="1"/>
    <col min="13" max="13" width="48.59765625" style="3" bestFit="1" customWidth="1"/>
    <col min="14" max="14" width="12.09765625" style="3" customWidth="1"/>
    <col min="15" max="15" width="11.59765625" style="3" customWidth="1"/>
    <col min="16" max="16" width="17.5" style="3" customWidth="1"/>
    <col min="17" max="17" width="15.69921875" style="3" customWidth="1"/>
    <col min="18" max="16384" width="9" style="3"/>
  </cols>
  <sheetData>
    <row r="1" spans="2:18" ht="25.8" x14ac:dyDescent="0.3">
      <c r="B1" s="4" t="s">
        <v>37</v>
      </c>
      <c r="K1" s="4" t="s">
        <v>38</v>
      </c>
    </row>
    <row r="3" spans="2:18" x14ac:dyDescent="0.3">
      <c r="B3" s="57" t="s">
        <v>39</v>
      </c>
      <c r="C3" s="40"/>
      <c r="D3" s="40"/>
      <c r="E3" s="40"/>
      <c r="F3" s="40"/>
      <c r="G3" s="40"/>
      <c r="H3" s="40"/>
      <c r="I3" s="40"/>
      <c r="K3" s="57" t="s">
        <v>40</v>
      </c>
      <c r="L3" s="40"/>
      <c r="M3" s="40"/>
      <c r="N3" s="40"/>
      <c r="O3" s="40"/>
      <c r="P3" s="40"/>
      <c r="Q3" s="40"/>
      <c r="R3" s="40"/>
    </row>
    <row r="4" spans="2:18" ht="15" thickBot="1" x14ac:dyDescent="0.35">
      <c r="B4" s="58" t="s">
        <v>41</v>
      </c>
      <c r="C4" s="58" t="s">
        <v>34</v>
      </c>
      <c r="D4" s="58" t="s">
        <v>35</v>
      </c>
      <c r="E4" s="58" t="s">
        <v>42</v>
      </c>
      <c r="F4" s="58" t="s">
        <v>43</v>
      </c>
      <c r="G4" s="58" t="s">
        <v>44</v>
      </c>
      <c r="H4" s="58" t="s">
        <v>45</v>
      </c>
      <c r="I4" s="58" t="s">
        <v>46</v>
      </c>
      <c r="K4" s="58" t="s">
        <v>47</v>
      </c>
      <c r="L4" s="58" t="s">
        <v>31</v>
      </c>
      <c r="M4" s="58" t="s">
        <v>32</v>
      </c>
      <c r="N4" s="58" t="s">
        <v>48</v>
      </c>
      <c r="O4" s="58" t="s">
        <v>49</v>
      </c>
      <c r="P4" s="58" t="s">
        <v>50</v>
      </c>
      <c r="Q4" s="58" t="s">
        <v>51</v>
      </c>
      <c r="R4" s="58" t="s">
        <v>52</v>
      </c>
    </row>
    <row r="5" spans="2:18" ht="27.6" x14ac:dyDescent="0.3">
      <c r="B5" s="1" t="s">
        <v>61</v>
      </c>
      <c r="C5" s="1" t="s">
        <v>53</v>
      </c>
      <c r="D5" s="1" t="s">
        <v>24</v>
      </c>
      <c r="E5" s="1"/>
      <c r="F5" s="1"/>
      <c r="G5" s="1"/>
      <c r="H5" s="1"/>
      <c r="I5" s="1"/>
      <c r="J5" s="5"/>
      <c r="K5" s="1" t="s">
        <v>62</v>
      </c>
      <c r="L5" s="1" t="s">
        <v>54</v>
      </c>
      <c r="M5" s="1" t="s">
        <v>24</v>
      </c>
      <c r="N5" s="1" t="s">
        <v>55</v>
      </c>
      <c r="O5" s="1" t="s">
        <v>56</v>
      </c>
      <c r="P5" s="1" t="s">
        <v>57</v>
      </c>
      <c r="Q5" s="1" t="s">
        <v>58</v>
      </c>
      <c r="R5" s="1" t="s">
        <v>59</v>
      </c>
    </row>
    <row r="6" spans="2:18" x14ac:dyDescent="0.3">
      <c r="B6" s="2" t="s">
        <v>76</v>
      </c>
      <c r="C6" s="2"/>
      <c r="D6" s="2"/>
      <c r="E6" s="2"/>
      <c r="F6" s="2"/>
      <c r="G6" s="2"/>
      <c r="H6" s="2"/>
      <c r="I6" s="2"/>
      <c r="K6" s="6" t="s">
        <v>128</v>
      </c>
      <c r="L6" s="2"/>
      <c r="M6" s="6"/>
      <c r="N6" s="6"/>
      <c r="O6" s="6"/>
      <c r="P6" s="6"/>
      <c r="Q6" s="6"/>
      <c r="R6" s="6"/>
    </row>
    <row r="7" spans="2:18" s="37" customFormat="1" x14ac:dyDescent="0.3">
      <c r="B7" s="37" t="s">
        <v>64</v>
      </c>
      <c r="C7" s="39" t="str">
        <f>Legend!B35</f>
        <v>AGRBGS</v>
      </c>
      <c r="D7" s="39" t="str">
        <f>Legend!A35&amp;" ("&amp;Legend!$C$4&amp;")"</f>
        <v>Biogas (AGR)</v>
      </c>
      <c r="E7" s="37" t="s">
        <v>12</v>
      </c>
      <c r="K7" s="37" t="s">
        <v>69</v>
      </c>
      <c r="L7" s="41" t="str">
        <f>"FT-"&amp;Legend!B35</f>
        <v>FT-AGRBGS</v>
      </c>
      <c r="M7" s="41" t="str">
        <f>Legend!$C$4&amp;" fuel Tech: "&amp;Legend!A35</f>
        <v>AGR fuel Tech: Biogas</v>
      </c>
      <c r="N7" s="37" t="s">
        <v>12</v>
      </c>
      <c r="O7" s="37" t="s">
        <v>121</v>
      </c>
    </row>
    <row r="8" spans="2:18" s="37" customFormat="1" x14ac:dyDescent="0.3">
      <c r="B8" s="37" t="s">
        <v>64</v>
      </c>
      <c r="C8" s="39" t="str">
        <f>Legend!B36</f>
        <v>AGRCOA</v>
      </c>
      <c r="D8" s="39" t="str">
        <f>Legend!A36&amp;" ("&amp;Legend!$C$4&amp;")"</f>
        <v>Coal (AGR)</v>
      </c>
      <c r="E8" s="37" t="s">
        <v>12</v>
      </c>
      <c r="K8" s="37" t="s">
        <v>69</v>
      </c>
      <c r="L8" s="37" t="str">
        <f>"FT-"&amp;Legend!B36</f>
        <v>FT-AGRCOA</v>
      </c>
      <c r="M8" s="37" t="str">
        <f>Legend!$C$4&amp;" fuel Tech: "&amp;Legend!A36</f>
        <v>AGR fuel Tech: Coal</v>
      </c>
      <c r="N8" s="37" t="s">
        <v>12</v>
      </c>
      <c r="O8" s="37" t="s">
        <v>121</v>
      </c>
    </row>
    <row r="9" spans="2:18" s="37" customFormat="1" x14ac:dyDescent="0.3">
      <c r="B9" s="37" t="s">
        <v>64</v>
      </c>
      <c r="C9" s="39" t="str">
        <f>Legend!B37</f>
        <v>AGRELC</v>
      </c>
      <c r="D9" s="39" t="str">
        <f>Legend!A37&amp;" ("&amp;Legend!$C$4&amp;")"</f>
        <v>Electricity (AGR)</v>
      </c>
      <c r="E9" s="37" t="s">
        <v>12</v>
      </c>
      <c r="G9" s="37" t="s">
        <v>122</v>
      </c>
      <c r="I9" s="37" t="s">
        <v>13</v>
      </c>
      <c r="K9" s="37" t="s">
        <v>69</v>
      </c>
      <c r="L9" s="37" t="str">
        <f>"FT-"&amp;Legend!B37</f>
        <v>FT-AGRELC</v>
      </c>
      <c r="M9" s="37" t="str">
        <f>Legend!$C$4&amp;" fuel Tech: "&amp;Legend!A37</f>
        <v>AGR fuel Tech: Electricity</v>
      </c>
      <c r="N9" s="37" t="s">
        <v>12</v>
      </c>
      <c r="O9" s="37" t="s">
        <v>121</v>
      </c>
      <c r="P9" s="37" t="s">
        <v>122</v>
      </c>
    </row>
    <row r="10" spans="2:18" s="37" customFormat="1" x14ac:dyDescent="0.3">
      <c r="B10" s="37" t="s">
        <v>64</v>
      </c>
      <c r="C10" s="39" t="str">
        <f>Legend!B38</f>
        <v>AGRGEO</v>
      </c>
      <c r="D10" s="39" t="str">
        <f>Legend!A38&amp;" ("&amp;Legend!$C$4&amp;")"</f>
        <v>Geothermal (AGR)</v>
      </c>
      <c r="E10" s="37" t="s">
        <v>12</v>
      </c>
      <c r="K10" s="37" t="s">
        <v>69</v>
      </c>
      <c r="L10" s="37" t="str">
        <f>"FT-"&amp;Legend!B38</f>
        <v>FT-AGRGEO</v>
      </c>
      <c r="M10" s="37" t="str">
        <f>Legend!$C$4&amp;" fuel Tech: "&amp;Legend!A38</f>
        <v>AGR fuel Tech: Geothermal</v>
      </c>
      <c r="N10" s="37" t="s">
        <v>12</v>
      </c>
      <c r="O10" s="37" t="s">
        <v>121</v>
      </c>
    </row>
    <row r="11" spans="2:18" s="37" customFormat="1" x14ac:dyDescent="0.3">
      <c r="B11" s="37" t="s">
        <v>64</v>
      </c>
      <c r="C11" s="39" t="str">
        <f>Legend!B39</f>
        <v>AGRHET</v>
      </c>
      <c r="D11" s="39" t="str">
        <f>Legend!A39&amp;" ("&amp;Legend!$C$4&amp;")"</f>
        <v>Heat (AGR)</v>
      </c>
      <c r="E11" s="37" t="s">
        <v>12</v>
      </c>
      <c r="G11" s="37" t="s">
        <v>122</v>
      </c>
      <c r="I11" s="37" t="s">
        <v>65</v>
      </c>
      <c r="K11" s="37" t="s">
        <v>69</v>
      </c>
      <c r="L11" s="37" t="str">
        <f>"FT-"&amp;Legend!B39</f>
        <v>FT-AGRHET</v>
      </c>
      <c r="M11" s="37" t="str">
        <f>Legend!$C$4&amp;" fuel Tech: "&amp;Legend!A39</f>
        <v>AGR fuel Tech: Heat</v>
      </c>
      <c r="N11" s="37" t="s">
        <v>12</v>
      </c>
      <c r="O11" s="37" t="s">
        <v>121</v>
      </c>
      <c r="P11" s="37" t="s">
        <v>122</v>
      </c>
    </row>
    <row r="12" spans="2:18" s="37" customFormat="1" x14ac:dyDescent="0.3">
      <c r="B12" s="37" t="s">
        <v>64</v>
      </c>
      <c r="C12" s="39" t="str">
        <f>Legend!B40</f>
        <v>AGRH2B</v>
      </c>
      <c r="D12" s="39" t="str">
        <f>Legend!A40&amp;" ("&amp;Legend!$C$4&amp;")"</f>
        <v>Natural gas blend H2 (AGR)</v>
      </c>
      <c r="E12" s="37" t="s">
        <v>12</v>
      </c>
      <c r="K12" s="37" t="s">
        <v>126</v>
      </c>
    </row>
    <row r="13" spans="2:18" s="37" customFormat="1" x14ac:dyDescent="0.3">
      <c r="B13" s="37" t="s">
        <v>64</v>
      </c>
      <c r="C13" s="39" t="str">
        <f>Legend!B41</f>
        <v>AGRH2G</v>
      </c>
      <c r="D13" s="39" t="str">
        <f>Legend!A41&amp;" ("&amp;Legend!$C$4&amp;")"</f>
        <v>Hydrogen (AGR)</v>
      </c>
      <c r="E13" s="37" t="s">
        <v>12</v>
      </c>
      <c r="K13" s="37" t="s">
        <v>126</v>
      </c>
    </row>
    <row r="14" spans="2:18" s="37" customFormat="1" x14ac:dyDescent="0.3">
      <c r="B14" s="37" t="s">
        <v>64</v>
      </c>
      <c r="C14" s="39" t="str">
        <f>Legend!B42</f>
        <v>AGRBLQ</v>
      </c>
      <c r="D14" s="39" t="str">
        <f>Legend!A42&amp;" ("&amp;Legend!$C$4&amp;")"</f>
        <v>Liquid biofuels (AGR)</v>
      </c>
      <c r="E14" s="37" t="s">
        <v>12</v>
      </c>
      <c r="K14" s="37" t="s">
        <v>69</v>
      </c>
      <c r="L14" s="37" t="str">
        <f>"FT-"&amp;Legend!B42</f>
        <v>FT-AGRBLQ</v>
      </c>
      <c r="M14" s="37" t="str">
        <f>Legend!$C$4&amp;" fuel Tech: "&amp;Legend!A42</f>
        <v>AGR fuel Tech: Liquid biofuels</v>
      </c>
      <c r="N14" s="37" t="s">
        <v>12</v>
      </c>
      <c r="O14" s="37" t="s">
        <v>121</v>
      </c>
    </row>
    <row r="15" spans="2:18" s="37" customFormat="1" x14ac:dyDescent="0.3">
      <c r="B15" s="37" t="s">
        <v>64</v>
      </c>
      <c r="C15" s="39" t="str">
        <f>Legend!B43</f>
        <v>AGRLPG</v>
      </c>
      <c r="D15" s="39" t="str">
        <f>Legend!A43&amp;" ("&amp;Legend!$C$4&amp;")"</f>
        <v>LPG (AGR)</v>
      </c>
      <c r="E15" s="37" t="s">
        <v>12</v>
      </c>
      <c r="K15" s="37" t="s">
        <v>69</v>
      </c>
      <c r="L15" s="37" t="str">
        <f>"FT-"&amp;Legend!B43</f>
        <v>FT-AGRLPG</v>
      </c>
      <c r="M15" s="37" t="str">
        <f>Legend!$C$4&amp;" fuel Tech: "&amp;Legend!A43</f>
        <v>AGR fuel Tech: LPG</v>
      </c>
      <c r="N15" s="37" t="s">
        <v>12</v>
      </c>
      <c r="O15" s="37" t="s">
        <v>121</v>
      </c>
    </row>
    <row r="16" spans="2:18" s="37" customFormat="1" x14ac:dyDescent="0.3">
      <c r="B16" s="37" t="s">
        <v>64</v>
      </c>
      <c r="C16" s="39" t="str">
        <f>Legend!B44</f>
        <v>AGRGAS</v>
      </c>
      <c r="D16" s="39" t="str">
        <f>Legend!A44&amp;" ("&amp;Legend!$C$4&amp;")"</f>
        <v>Natural gas (AGR)</v>
      </c>
      <c r="E16" s="37" t="s">
        <v>12</v>
      </c>
      <c r="K16" s="37" t="s">
        <v>69</v>
      </c>
      <c r="L16" s="37" t="str">
        <f>"FT-"&amp;Legend!B44</f>
        <v>FT-AGRGAS</v>
      </c>
      <c r="M16" s="37" t="str">
        <f>Legend!$C$4&amp;" fuel Tech: "&amp;Legend!A44</f>
        <v>AGR fuel Tech: Natural gas</v>
      </c>
      <c r="N16" s="37" t="s">
        <v>12</v>
      </c>
      <c r="O16" s="37" t="s">
        <v>121</v>
      </c>
    </row>
    <row r="17" spans="2:18" s="37" customFormat="1" x14ac:dyDescent="0.3">
      <c r="B17" s="37" t="s">
        <v>64</v>
      </c>
      <c r="C17" s="39" t="str">
        <f>Legend!B45</f>
        <v>AGROIL</v>
      </c>
      <c r="D17" s="39" t="str">
        <f>Legend!A45&amp;" ("&amp;Legend!$C$4&amp;")"</f>
        <v>Oil (AGR)</v>
      </c>
      <c r="E17" s="37" t="s">
        <v>12</v>
      </c>
      <c r="K17" s="37" t="s">
        <v>69</v>
      </c>
      <c r="L17" s="37" t="str">
        <f>"FT-"&amp;Legend!B45</f>
        <v>FT-AGROIL</v>
      </c>
      <c r="M17" s="37" t="str">
        <f>Legend!$C$4&amp;" fuel Tech: "&amp;Legend!A45</f>
        <v>AGR fuel Tech: Oil</v>
      </c>
      <c r="N17" s="37" t="s">
        <v>12</v>
      </c>
      <c r="O17" s="37" t="s">
        <v>121</v>
      </c>
    </row>
    <row r="18" spans="2:18" s="37" customFormat="1" x14ac:dyDescent="0.3">
      <c r="B18" s="37" t="s">
        <v>64</v>
      </c>
      <c r="C18" s="39" t="str">
        <f>Legend!B46</f>
        <v>AGRSOL</v>
      </c>
      <c r="D18" s="39" t="str">
        <f>Legend!A46&amp;" ("&amp;Legend!$C$4&amp;")"</f>
        <v>Solar (AGR)</v>
      </c>
      <c r="E18" s="37" t="s">
        <v>12</v>
      </c>
      <c r="K18" s="37" t="s">
        <v>69</v>
      </c>
      <c r="L18" s="37" t="str">
        <f>"FT-"&amp;Legend!B46</f>
        <v>FT-AGRSOL</v>
      </c>
      <c r="M18" s="37" t="str">
        <f>Legend!$C$4&amp;" fuel Tech: "&amp;Legend!A46</f>
        <v>AGR fuel Tech: Solar</v>
      </c>
      <c r="N18" s="37" t="s">
        <v>12</v>
      </c>
      <c r="O18" s="37" t="s">
        <v>121</v>
      </c>
    </row>
    <row r="19" spans="2:18" s="37" customFormat="1" x14ac:dyDescent="0.3">
      <c r="B19" s="37" t="s">
        <v>64</v>
      </c>
      <c r="C19" s="39" t="str">
        <f>Legend!B47</f>
        <v>AGRBIO</v>
      </c>
      <c r="D19" s="39" t="str">
        <f>Legend!A47&amp;" ("&amp;Legend!$C$4&amp;")"</f>
        <v>Solid biofuels (AGR)</v>
      </c>
      <c r="E19" s="37" t="s">
        <v>12</v>
      </c>
      <c r="K19" s="37" t="s">
        <v>69</v>
      </c>
      <c r="L19" s="37" t="str">
        <f>"FT-"&amp;Legend!B47</f>
        <v>FT-AGRBIO</v>
      </c>
      <c r="M19" s="37" t="str">
        <f>Legend!$C$4&amp;" fuel Tech: "&amp;Legend!A47</f>
        <v>AGR fuel Tech: Solid biofuels</v>
      </c>
      <c r="N19" s="37" t="s">
        <v>12</v>
      </c>
      <c r="O19" s="37" t="s">
        <v>121</v>
      </c>
    </row>
    <row r="20" spans="2:18" s="37" customFormat="1" x14ac:dyDescent="0.3">
      <c r="B20" s="37" t="s">
        <v>64</v>
      </c>
      <c r="C20" s="39" t="str">
        <f>Legend!B48</f>
        <v>AGRWAS</v>
      </c>
      <c r="D20" s="39" t="str">
        <f>Legend!A48&amp;" ("&amp;Legend!$C$4&amp;")"</f>
        <v>Waste (AGR)</v>
      </c>
      <c r="E20" s="37" t="s">
        <v>12</v>
      </c>
      <c r="K20" s="38" t="s">
        <v>69</v>
      </c>
      <c r="L20" s="38" t="str">
        <f>"FT-"&amp;Legend!B48</f>
        <v>FT-AGRWAS</v>
      </c>
      <c r="M20" s="38" t="str">
        <f>Legend!$C$4&amp;" fuel Tech: "&amp;Legend!A48</f>
        <v>AGR fuel Tech: Waste</v>
      </c>
      <c r="N20" s="38" t="s">
        <v>12</v>
      </c>
      <c r="O20" s="38" t="s">
        <v>121</v>
      </c>
      <c r="P20" s="38"/>
      <c r="R20" s="38"/>
    </row>
    <row r="21" spans="2:18" s="37" customFormat="1" x14ac:dyDescent="0.3">
      <c r="B21" s="61" t="s">
        <v>74</v>
      </c>
      <c r="C21" s="61"/>
      <c r="D21" s="62"/>
      <c r="E21" s="62"/>
      <c r="F21" s="62"/>
      <c r="G21" s="62"/>
      <c r="H21" s="62"/>
      <c r="I21" s="62"/>
      <c r="K21" s="6" t="s">
        <v>144</v>
      </c>
      <c r="L21" s="2"/>
      <c r="M21" s="6"/>
      <c r="N21" s="6"/>
      <c r="O21" s="6"/>
      <c r="P21" s="6"/>
      <c r="Q21" s="71"/>
      <c r="R21" s="6"/>
    </row>
    <row r="22" spans="2:18" s="37" customFormat="1" x14ac:dyDescent="0.3">
      <c r="B22" s="48" t="s">
        <v>60</v>
      </c>
      <c r="C22" s="85" t="str">
        <f>Legend!$C$4</f>
        <v>AGR</v>
      </c>
      <c r="D22" s="85" t="str">
        <f>Legend!B4&amp;" Demand"</f>
        <v>Agriculture Demand</v>
      </c>
      <c r="E22" s="48" t="s">
        <v>12</v>
      </c>
      <c r="F22" s="48"/>
      <c r="G22" s="48"/>
      <c r="H22" s="48"/>
      <c r="I22" s="48"/>
      <c r="K22" s="48" t="s">
        <v>68</v>
      </c>
      <c r="L22" s="48" t="str">
        <f>LEFT(Legend!$C$4)&amp;"-TECH"</f>
        <v>A-TECH</v>
      </c>
      <c r="M22" s="48" t="str">
        <f>Legend!B4&amp;" Demand Technology"</f>
        <v>Agriculture Demand Technology</v>
      </c>
      <c r="N22" s="48" t="s">
        <v>12</v>
      </c>
      <c r="O22" s="48" t="s">
        <v>121</v>
      </c>
      <c r="P22" s="48"/>
      <c r="Q22" s="48"/>
      <c r="R22" s="48"/>
    </row>
    <row r="23" spans="2:18" s="37" customFormat="1" x14ac:dyDescent="0.3">
      <c r="B23" s="42" t="s">
        <v>75</v>
      </c>
      <c r="C23" s="42"/>
      <c r="D23" s="43"/>
      <c r="E23" s="43"/>
      <c r="F23" s="43"/>
      <c r="G23" s="43"/>
      <c r="H23" s="43"/>
      <c r="I23" s="43"/>
      <c r="K23" s="3"/>
      <c r="L23" s="3"/>
      <c r="M23" s="3"/>
      <c r="N23" s="3"/>
      <c r="O23" s="3"/>
      <c r="P23" s="3"/>
      <c r="Q23" s="3"/>
      <c r="R23" s="3"/>
    </row>
    <row r="24" spans="2:18" s="37" customFormat="1" x14ac:dyDescent="0.3">
      <c r="B24" s="37" t="s">
        <v>66</v>
      </c>
      <c r="C24" s="39" t="str">
        <f>Legend!B50</f>
        <v>AGRCO2e</v>
      </c>
      <c r="D24" s="39" t="str">
        <f>Legend!A50&amp;" emissions ("&amp;Legend!$C$4&amp;")"</f>
        <v>CO2eq emissions (AGR)</v>
      </c>
      <c r="E24" s="37" t="s">
        <v>67</v>
      </c>
    </row>
    <row r="25" spans="2:18" s="37" customFormat="1" x14ac:dyDescent="0.3">
      <c r="B25" s="37" t="s">
        <v>66</v>
      </c>
      <c r="C25" s="39" t="str">
        <f>Legend!B51</f>
        <v>AGRCO2</v>
      </c>
      <c r="D25" s="39" t="str">
        <f>Legend!A51&amp;" emissions ("&amp;Legend!$C$4&amp;")"</f>
        <v>CO2 emissions (AGR)</v>
      </c>
      <c r="E25" s="37" t="s">
        <v>67</v>
      </c>
    </row>
    <row r="26" spans="2:18" s="37" customFormat="1" x14ac:dyDescent="0.3">
      <c r="B26" s="37" t="s">
        <v>66</v>
      </c>
      <c r="C26" s="39" t="str">
        <f>Legend!B52</f>
        <v>AGRCH4</v>
      </c>
      <c r="D26" s="39" t="str">
        <f>Legend!A52&amp;" emissions ("&amp;Legend!$C$4&amp;")"</f>
        <v>CH4 emissions (AGR)</v>
      </c>
      <c r="E26" s="37" t="s">
        <v>67</v>
      </c>
    </row>
    <row r="27" spans="2:18" s="37" customFormat="1" x14ac:dyDescent="0.3">
      <c r="B27" s="38" t="s">
        <v>66</v>
      </c>
      <c r="C27" s="63" t="str">
        <f>Legend!B53</f>
        <v>AGRN2O</v>
      </c>
      <c r="D27" s="63" t="str">
        <f>Legend!A53&amp;" emissions ("&amp;Legend!$C$4&amp;")"</f>
        <v>N2O emissions (AGR)</v>
      </c>
      <c r="E27" s="38" t="s">
        <v>67</v>
      </c>
      <c r="F27" s="38"/>
      <c r="G27" s="38"/>
      <c r="H27" s="38"/>
      <c r="I27" s="38"/>
    </row>
    <row r="28" spans="2:18" s="37" customFormat="1" x14ac:dyDescent="0.3"/>
    <row r="29" spans="2:18" s="37" customFormat="1" x14ac:dyDescent="0.3"/>
    <row r="30" spans="2:18" s="37" customFormat="1" x14ac:dyDescent="0.3"/>
    <row r="31" spans="2:18" s="37" customFormat="1" x14ac:dyDescent="0.3"/>
    <row r="32" spans="2:18" s="37" customFormat="1" x14ac:dyDescent="0.3"/>
    <row r="33" spans="2:9" s="37" customFormat="1" x14ac:dyDescent="0.3"/>
    <row r="34" spans="2:9" s="37" customFormat="1" x14ac:dyDescent="0.3"/>
    <row r="35" spans="2:9" s="37" customFormat="1" x14ac:dyDescent="0.3"/>
    <row r="36" spans="2:9" x14ac:dyDescent="0.3">
      <c r="B36" s="37"/>
      <c r="C36" s="37"/>
      <c r="D36" s="37"/>
      <c r="E36" s="37"/>
      <c r="F36" s="37"/>
      <c r="G36" s="37"/>
      <c r="H36" s="37"/>
      <c r="I36" s="37"/>
    </row>
  </sheetData>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59999389629810485"/>
  </sheetPr>
  <dimension ref="B1:AK46"/>
  <sheetViews>
    <sheetView showGridLines="0" topLeftCell="L1" workbookViewId="0">
      <pane ySplit="1" topLeftCell="A20" activePane="bottomLeft" state="frozen"/>
      <selection pane="bottomLeft" activeCell="AI22" sqref="AI22"/>
    </sheetView>
  </sheetViews>
  <sheetFormatPr defaultColWidth="9" defaultRowHeight="14.4" x14ac:dyDescent="0.3"/>
  <cols>
    <col min="1" max="1" width="1.69921875" style="55" customWidth="1"/>
    <col min="2" max="2" width="17.09765625" style="55" bestFit="1" customWidth="1"/>
    <col min="3" max="3" width="24.19921875" style="55" bestFit="1" customWidth="1"/>
    <col min="4" max="6" width="9.69921875" style="55" customWidth="1"/>
    <col min="7" max="7" width="8.3984375" style="55" customWidth="1"/>
    <col min="8" max="29" width="8.8984375" style="55" customWidth="1"/>
    <col min="30" max="31" width="9" style="55"/>
    <col min="32" max="32" width="10.19921875" style="55" bestFit="1" customWidth="1"/>
    <col min="33" max="16384" width="9" style="55"/>
  </cols>
  <sheetData>
    <row r="1" spans="2:36" ht="25.8" x14ac:dyDescent="0.3">
      <c r="B1" s="44" t="s">
        <v>123</v>
      </c>
      <c r="C1" s="4"/>
      <c r="D1" s="56"/>
      <c r="E1" s="8"/>
    </row>
    <row r="3" spans="2:36" x14ac:dyDescent="0.3">
      <c r="B3" s="57" t="s">
        <v>30</v>
      </c>
    </row>
    <row r="4" spans="2:36" ht="15" thickBot="1" x14ac:dyDescent="0.35">
      <c r="B4" s="58" t="s">
        <v>31</v>
      </c>
      <c r="C4" s="58" t="s">
        <v>127</v>
      </c>
      <c r="D4" s="58" t="s">
        <v>33</v>
      </c>
      <c r="E4" s="58" t="s">
        <v>145</v>
      </c>
    </row>
    <row r="5" spans="2:36" ht="27.6" x14ac:dyDescent="0.3">
      <c r="B5" s="1" t="s">
        <v>77</v>
      </c>
      <c r="C5" s="1" t="s">
        <v>24</v>
      </c>
      <c r="D5" s="1" t="s">
        <v>78</v>
      </c>
      <c r="E5" s="1" t="s">
        <v>79</v>
      </c>
    </row>
    <row r="6" spans="2:36" s="37" customFormat="1" x14ac:dyDescent="0.3">
      <c r="B6" s="37" t="str">
        <f>'Commodities &amp; Processes'!L7</f>
        <v>FT-AGRBGS</v>
      </c>
      <c r="C6" s="37" t="str">
        <f>'Commodities &amp; Processes'!M7</f>
        <v>AGR fuel Tech: Biogas</v>
      </c>
      <c r="D6" s="53">
        <v>1</v>
      </c>
      <c r="E6" s="53">
        <v>1</v>
      </c>
    </row>
    <row r="7" spans="2:36" s="37" customFormat="1" x14ac:dyDescent="0.3">
      <c r="B7" s="37" t="str">
        <f>'Commodities &amp; Processes'!L8</f>
        <v>FT-AGRCOA</v>
      </c>
      <c r="C7" s="37" t="str">
        <f>'Commodities &amp; Processes'!M8</f>
        <v>AGR fuel Tech: Coal</v>
      </c>
      <c r="D7" s="53">
        <v>1</v>
      </c>
      <c r="E7" s="53">
        <v>1</v>
      </c>
    </row>
    <row r="8" spans="2:36" s="37" customFormat="1" x14ac:dyDescent="0.3">
      <c r="B8" s="37" t="str">
        <f>'Commodities &amp; Processes'!L9</f>
        <v>FT-AGRELC</v>
      </c>
      <c r="C8" s="37" t="str">
        <f>'Commodities &amp; Processes'!M9</f>
        <v>AGR fuel Tech: Electricity</v>
      </c>
      <c r="D8" s="53">
        <v>1</v>
      </c>
      <c r="E8" s="53">
        <v>1</v>
      </c>
    </row>
    <row r="9" spans="2:36" s="37" customFormat="1" x14ac:dyDescent="0.3">
      <c r="B9" s="37" t="str">
        <f>'Commodities &amp; Processes'!L10</f>
        <v>FT-AGRGEO</v>
      </c>
      <c r="C9" s="37" t="str">
        <f>'Commodities &amp; Processes'!M10</f>
        <v>AGR fuel Tech: Geothermal</v>
      </c>
      <c r="D9" s="53">
        <v>1</v>
      </c>
      <c r="E9" s="53">
        <v>1</v>
      </c>
    </row>
    <row r="10" spans="2:36" s="37" customFormat="1" x14ac:dyDescent="0.3">
      <c r="B10" s="37" t="str">
        <f>'Commodities &amp; Processes'!L11</f>
        <v>FT-AGRHET</v>
      </c>
      <c r="C10" s="37" t="str">
        <f>'Commodities &amp; Processes'!M11</f>
        <v>AGR fuel Tech: Heat</v>
      </c>
      <c r="D10" s="53">
        <v>1</v>
      </c>
      <c r="E10" s="53">
        <v>1</v>
      </c>
    </row>
    <row r="11" spans="2:36" s="37" customFormat="1" x14ac:dyDescent="0.3">
      <c r="B11" s="37" t="str">
        <f>'Commodities &amp; Processes'!L14</f>
        <v>FT-AGRBLQ</v>
      </c>
      <c r="C11" s="37" t="str">
        <f>'Commodities &amp; Processes'!M14</f>
        <v>AGR fuel Tech: Liquid biofuels</v>
      </c>
      <c r="D11" s="53">
        <v>1</v>
      </c>
      <c r="E11" s="53">
        <v>1</v>
      </c>
    </row>
    <row r="12" spans="2:36" s="37" customFormat="1" x14ac:dyDescent="0.3">
      <c r="B12" s="37" t="str">
        <f>'Commodities &amp; Processes'!L15</f>
        <v>FT-AGRLPG</v>
      </c>
      <c r="C12" s="37" t="str">
        <f>'Commodities &amp; Processes'!M15</f>
        <v>AGR fuel Tech: LPG</v>
      </c>
      <c r="D12" s="53">
        <v>1</v>
      </c>
      <c r="E12" s="53">
        <v>1</v>
      </c>
    </row>
    <row r="13" spans="2:36" s="37" customFormat="1" x14ac:dyDescent="0.3">
      <c r="B13" s="37" t="str">
        <f>'Commodities &amp; Processes'!L16</f>
        <v>FT-AGRGAS</v>
      </c>
      <c r="C13" s="37" t="str">
        <f>'Commodities &amp; Processes'!M16</f>
        <v>AGR fuel Tech: Natural gas</v>
      </c>
      <c r="D13" s="53">
        <v>1</v>
      </c>
      <c r="E13" s="53">
        <v>1</v>
      </c>
    </row>
    <row r="14" spans="2:36" s="37" customFormat="1" x14ac:dyDescent="0.3">
      <c r="B14" s="37" t="str">
        <f>'Commodities &amp; Processes'!L17</f>
        <v>FT-AGROIL</v>
      </c>
      <c r="C14" s="37" t="str">
        <f>'Commodities &amp; Processes'!M17</f>
        <v>AGR fuel Tech: Oil</v>
      </c>
      <c r="D14" s="53">
        <v>1</v>
      </c>
      <c r="E14" s="53">
        <v>1</v>
      </c>
    </row>
    <row r="15" spans="2:36" s="37" customFormat="1" x14ac:dyDescent="0.3">
      <c r="B15" s="37" t="str">
        <f>'Commodities &amp; Processes'!L18</f>
        <v>FT-AGRSOL</v>
      </c>
      <c r="C15" s="37" t="str">
        <f>'Commodities &amp; Processes'!M18</f>
        <v>AGR fuel Tech: Solar</v>
      </c>
      <c r="D15" s="53">
        <v>1</v>
      </c>
      <c r="E15" s="53">
        <v>1</v>
      </c>
    </row>
    <row r="16" spans="2:36" s="37" customFormat="1" x14ac:dyDescent="0.3">
      <c r="B16" s="37" t="str">
        <f>'Commodities &amp; Processes'!L19</f>
        <v>FT-AGRBIO</v>
      </c>
      <c r="C16" s="37" t="str">
        <f>'Commodities &amp; Processes'!M19</f>
        <v>AGR fuel Tech: Solid biofuels</v>
      </c>
      <c r="D16" s="53">
        <v>1</v>
      </c>
      <c r="E16" s="53">
        <v>1</v>
      </c>
      <c r="AE16" s="55"/>
      <c r="AF16" s="55"/>
      <c r="AG16" s="55"/>
      <c r="AH16" s="55"/>
      <c r="AI16" s="55"/>
      <c r="AJ16" s="55"/>
    </row>
    <row r="17" spans="2:37" x14ac:dyDescent="0.3">
      <c r="B17" s="38" t="str">
        <f>'Commodities &amp; Processes'!L20</f>
        <v>FT-AGRWAS</v>
      </c>
      <c r="C17" s="38" t="str">
        <f>'Commodities &amp; Processes'!M20</f>
        <v>AGR fuel Tech: Waste</v>
      </c>
      <c r="D17" s="59">
        <v>1</v>
      </c>
      <c r="E17" s="59">
        <v>1</v>
      </c>
    </row>
    <row r="19" spans="2:37" x14ac:dyDescent="0.3">
      <c r="B19" s="57" t="s">
        <v>30</v>
      </c>
      <c r="C19" s="57"/>
    </row>
    <row r="20" spans="2:37" ht="29.4" thickBot="1" x14ac:dyDescent="0.35">
      <c r="B20" s="58" t="s">
        <v>31</v>
      </c>
      <c r="C20" s="58" t="s">
        <v>127</v>
      </c>
      <c r="D20" s="60" t="s">
        <v>124</v>
      </c>
      <c r="E20" s="60" t="s">
        <v>125</v>
      </c>
      <c r="F20" s="58" t="s">
        <v>202</v>
      </c>
      <c r="G20" s="58" t="s">
        <v>36</v>
      </c>
      <c r="H20" s="58" t="s">
        <v>43</v>
      </c>
      <c r="I20" s="58" t="s">
        <v>146</v>
      </c>
      <c r="J20" s="58" t="s">
        <v>147</v>
      </c>
      <c r="K20" s="58" t="s">
        <v>149</v>
      </c>
      <c r="L20" s="58" t="s">
        <v>148</v>
      </c>
      <c r="M20" s="58" t="s">
        <v>150</v>
      </c>
      <c r="N20" s="58" t="s">
        <v>151</v>
      </c>
      <c r="O20" s="58" t="s">
        <v>152</v>
      </c>
      <c r="P20" s="58" t="s">
        <v>153</v>
      </c>
      <c r="Q20" s="58" t="s">
        <v>1</v>
      </c>
      <c r="R20" s="58" t="s">
        <v>2</v>
      </c>
      <c r="S20" s="58" t="s">
        <v>243</v>
      </c>
      <c r="T20" s="58" t="s">
        <v>3</v>
      </c>
      <c r="U20" s="58" t="s">
        <v>154</v>
      </c>
      <c r="V20" s="58" t="s">
        <v>155</v>
      </c>
      <c r="W20" s="58" t="s">
        <v>156</v>
      </c>
      <c r="X20" s="58" t="s">
        <v>244</v>
      </c>
      <c r="Y20" s="58" t="s">
        <v>157</v>
      </c>
      <c r="Z20" s="58" t="s">
        <v>4</v>
      </c>
      <c r="AA20" s="58" t="s">
        <v>5</v>
      </c>
      <c r="AB20" s="58" t="s">
        <v>6</v>
      </c>
      <c r="AC20" s="58" t="s">
        <v>7</v>
      </c>
      <c r="AD20" s="58" t="s">
        <v>245</v>
      </c>
      <c r="AE20" s="58" t="s">
        <v>8</v>
      </c>
      <c r="AF20" s="58" t="s">
        <v>9</v>
      </c>
      <c r="AG20" s="58" t="s">
        <v>246</v>
      </c>
      <c r="AH20" s="58" t="s">
        <v>10</v>
      </c>
      <c r="AI20" s="58" t="s">
        <v>247</v>
      </c>
      <c r="AJ20" s="58" t="s">
        <v>11</v>
      </c>
    </row>
    <row r="21" spans="2:37" customFormat="1" ht="55.2" x14ac:dyDescent="0.3">
      <c r="B21" s="1" t="s">
        <v>126</v>
      </c>
      <c r="C21" s="1" t="s">
        <v>24</v>
      </c>
      <c r="D21" s="2" t="s">
        <v>130</v>
      </c>
      <c r="E21" s="2" t="s">
        <v>131</v>
      </c>
      <c r="F21" s="1" t="s">
        <v>80</v>
      </c>
      <c r="G21" s="1" t="s">
        <v>204</v>
      </c>
      <c r="H21" s="1" t="s">
        <v>203</v>
      </c>
      <c r="I21" s="1" t="s">
        <v>161</v>
      </c>
      <c r="J21" s="1" t="s">
        <v>162</v>
      </c>
      <c r="K21" s="1" t="s">
        <v>164</v>
      </c>
      <c r="L21" s="1" t="s">
        <v>163</v>
      </c>
      <c r="M21" s="1" t="s">
        <v>165</v>
      </c>
      <c r="N21" s="1" t="s">
        <v>166</v>
      </c>
      <c r="O21" s="1" t="s">
        <v>167</v>
      </c>
      <c r="P21" s="1" t="s">
        <v>168</v>
      </c>
      <c r="Q21" s="1" t="s">
        <v>83</v>
      </c>
      <c r="R21" s="1" t="s">
        <v>84</v>
      </c>
      <c r="S21" s="1" t="s">
        <v>252</v>
      </c>
      <c r="T21" s="1" t="s">
        <v>253</v>
      </c>
      <c r="U21" s="1" t="s">
        <v>169</v>
      </c>
      <c r="V21" s="1" t="s">
        <v>170</v>
      </c>
      <c r="W21" s="1" t="s">
        <v>171</v>
      </c>
      <c r="X21" s="1" t="s">
        <v>254</v>
      </c>
      <c r="Y21" s="1" t="s">
        <v>172</v>
      </c>
      <c r="Z21" s="1" t="s">
        <v>255</v>
      </c>
      <c r="AA21" s="1" t="s">
        <v>85</v>
      </c>
      <c r="AB21" s="1" t="s">
        <v>86</v>
      </c>
      <c r="AC21" s="1" t="s">
        <v>87</v>
      </c>
      <c r="AD21" s="1" t="s">
        <v>256</v>
      </c>
      <c r="AE21" s="1" t="s">
        <v>257</v>
      </c>
      <c r="AF21" s="1" t="s">
        <v>88</v>
      </c>
      <c r="AG21" s="1" t="s">
        <v>258</v>
      </c>
      <c r="AH21" s="1" t="s">
        <v>259</v>
      </c>
      <c r="AI21" s="1" t="s">
        <v>298</v>
      </c>
      <c r="AJ21" s="1" t="s">
        <v>173</v>
      </c>
    </row>
    <row r="22" spans="2:37" s="37" customFormat="1" x14ac:dyDescent="0.3">
      <c r="B22" s="37" t="str">
        <f t="shared" ref="B22:C23" si="0">B6</f>
        <v>FT-AGRBGS</v>
      </c>
      <c r="C22" s="37" t="str">
        <f t="shared" si="0"/>
        <v>AGR fuel Tech: Biogas</v>
      </c>
      <c r="D22" s="82" t="s">
        <v>285</v>
      </c>
      <c r="E22" s="37" t="str">
        <f>Legend!B35</f>
        <v>AGRBGS</v>
      </c>
      <c r="F22" s="87">
        <v>1</v>
      </c>
      <c r="I22" s="89"/>
      <c r="J22" s="89"/>
      <c r="K22" s="89"/>
      <c r="L22" s="89"/>
      <c r="M22" s="89"/>
      <c r="N22" s="89"/>
      <c r="O22" s="89"/>
      <c r="P22" s="89"/>
      <c r="Q22" s="89"/>
      <c r="R22" s="89"/>
      <c r="S22" s="89"/>
      <c r="T22" s="89"/>
      <c r="U22" s="89"/>
      <c r="V22" s="89"/>
      <c r="W22" s="89"/>
      <c r="X22" s="89"/>
      <c r="Y22" s="89"/>
      <c r="Z22" s="89"/>
      <c r="AA22" s="89"/>
      <c r="AB22" s="89"/>
      <c r="AC22" s="89"/>
      <c r="AD22" s="89"/>
      <c r="AE22" s="89"/>
      <c r="AF22" s="89"/>
      <c r="AG22" s="89"/>
      <c r="AH22" s="89"/>
      <c r="AI22" s="89"/>
      <c r="AJ22" s="89"/>
      <c r="AK22" s="53"/>
    </row>
    <row r="23" spans="2:37" s="37" customFormat="1" x14ac:dyDescent="0.3">
      <c r="B23" s="37" t="str">
        <f t="shared" si="0"/>
        <v>FT-AGRCOA</v>
      </c>
      <c r="C23" s="37" t="str">
        <f t="shared" si="0"/>
        <v>AGR fuel Tech: Coal</v>
      </c>
      <c r="D23" s="82" t="s">
        <v>205</v>
      </c>
      <c r="E23" s="37" t="str">
        <f>Legend!B36</f>
        <v>AGRCOA</v>
      </c>
      <c r="F23" s="87">
        <v>1</v>
      </c>
      <c r="G23" s="37" t="s">
        <v>63</v>
      </c>
      <c r="H23" s="37" t="s">
        <v>71</v>
      </c>
      <c r="I23" s="89">
        <f>1-SUM(I24:I25)</f>
        <v>1</v>
      </c>
      <c r="J23" s="89">
        <f t="shared" ref="J23:AJ23" si="1">1-SUM(J24:J25)</f>
        <v>1</v>
      </c>
      <c r="K23" s="89">
        <f t="shared" si="1"/>
        <v>1</v>
      </c>
      <c r="L23" s="89">
        <f t="shared" si="1"/>
        <v>1</v>
      </c>
      <c r="M23" s="89">
        <f t="shared" si="1"/>
        <v>0.99607458292443574</v>
      </c>
      <c r="N23" s="89">
        <f t="shared" si="1"/>
        <v>0.9995049504950495</v>
      </c>
      <c r="O23" s="89">
        <f t="shared" si="1"/>
        <v>1</v>
      </c>
      <c r="P23" s="89">
        <f t="shared" si="1"/>
        <v>1</v>
      </c>
      <c r="Q23" s="89">
        <f t="shared" si="1"/>
        <v>1</v>
      </c>
      <c r="R23" s="89">
        <f t="shared" si="1"/>
        <v>1</v>
      </c>
      <c r="S23" s="89">
        <f t="shared" si="1"/>
        <v>1</v>
      </c>
      <c r="T23" s="89">
        <f t="shared" si="1"/>
        <v>0.95603660562888226</v>
      </c>
      <c r="U23" s="89">
        <f t="shared" si="1"/>
        <v>0.99369747899159666</v>
      </c>
      <c r="V23" s="89">
        <f t="shared" si="1"/>
        <v>1</v>
      </c>
      <c r="W23" s="89">
        <f t="shared" si="1"/>
        <v>0.96678827525474897</v>
      </c>
      <c r="X23" s="89">
        <f t="shared" si="1"/>
        <v>0.40909090909090906</v>
      </c>
      <c r="Y23" s="89">
        <f t="shared" si="1"/>
        <v>0.99387338325391428</v>
      </c>
      <c r="Z23" s="89">
        <f t="shared" si="1"/>
        <v>1</v>
      </c>
      <c r="AA23" s="89">
        <f t="shared" si="1"/>
        <v>1</v>
      </c>
      <c r="AB23" s="89">
        <f t="shared" si="1"/>
        <v>0</v>
      </c>
      <c r="AC23" s="89">
        <f t="shared" si="1"/>
        <v>1</v>
      </c>
      <c r="AD23" s="89">
        <f t="shared" si="1"/>
        <v>1</v>
      </c>
      <c r="AE23" s="89">
        <f t="shared" si="1"/>
        <v>1</v>
      </c>
      <c r="AF23" s="89">
        <f t="shared" si="1"/>
        <v>1</v>
      </c>
      <c r="AG23" s="89">
        <f t="shared" si="1"/>
        <v>1</v>
      </c>
      <c r="AH23" s="89">
        <f t="shared" si="1"/>
        <v>0.81608174144824519</v>
      </c>
      <c r="AI23" s="89">
        <f t="shared" si="1"/>
        <v>1</v>
      </c>
      <c r="AJ23" s="89">
        <f t="shared" si="1"/>
        <v>1</v>
      </c>
      <c r="AK23" s="53"/>
    </row>
    <row r="24" spans="2:37" s="37" customFormat="1" x14ac:dyDescent="0.3">
      <c r="D24" s="82" t="s">
        <v>280</v>
      </c>
      <c r="F24" s="87"/>
      <c r="G24" s="37" t="s">
        <v>63</v>
      </c>
      <c r="H24" s="37" t="s">
        <v>71</v>
      </c>
      <c r="I24" s="89">
        <f>IFERROR(SUMIFS(EB_AGR!E$7:E$29,EB_AGR!$C$7:$C$29,'Fuel Techs'!$D24)/SUMIFS(EB_AGR!E$38:E$49,EB_AGR!$C$38:$C$49,'Fuel Techs'!$E$23),0)</f>
        <v>0</v>
      </c>
      <c r="J24" s="89">
        <f>IFERROR(SUMIFS(EB_AGR!F$7:F$29,EB_AGR!$C$7:$C$29,'Fuel Techs'!$D24)/SUMIFS(EB_AGR!F$38:F$49,EB_AGR!$C$38:$C$49,'Fuel Techs'!$E$23),0)</f>
        <v>0</v>
      </c>
      <c r="K24" s="89">
        <f>IFERROR(SUMIFS(EB_AGR!G$7:G$29,EB_AGR!$C$7:$C$29,'Fuel Techs'!$D24)/SUMIFS(EB_AGR!G$38:G$49,EB_AGR!$C$38:$C$49,'Fuel Techs'!$E$23),0)</f>
        <v>0</v>
      </c>
      <c r="L24" s="89">
        <f>IFERROR(SUMIFS(EB_AGR!H$7:H$29,EB_AGR!$C$7:$C$29,'Fuel Techs'!$D24)/SUMIFS(EB_AGR!H$38:H$49,EB_AGR!$C$38:$C$49,'Fuel Techs'!$E$23),0)</f>
        <v>0</v>
      </c>
      <c r="M24" s="89">
        <f>IFERROR(SUMIFS(EB_AGR!I$7:I$29,EB_AGR!$C$7:$C$29,'Fuel Techs'!$D24)/SUMIFS(EB_AGR!I$38:I$49,EB_AGR!$C$38:$C$49,'Fuel Techs'!$E$23),0)</f>
        <v>3.9254170755642793E-3</v>
      </c>
      <c r="N24" s="89">
        <f>IFERROR(SUMIFS(EB_AGR!J$7:J$29,EB_AGR!$C$7:$C$29,'Fuel Techs'!$D24)/SUMIFS(EB_AGR!J$38:J$49,EB_AGR!$C$38:$C$49,'Fuel Techs'!$E$23),0)</f>
        <v>4.9504950495049506E-4</v>
      </c>
      <c r="O24" s="89">
        <f>IFERROR(SUMIFS(EB_AGR!K$7:K$29,EB_AGR!$C$7:$C$29,'Fuel Techs'!$D24)/SUMIFS(EB_AGR!K$38:K$49,EB_AGR!$C$38:$C$49,'Fuel Techs'!$E$23),0)</f>
        <v>0</v>
      </c>
      <c r="P24" s="89">
        <f>IFERROR(SUMIFS(EB_AGR!L$7:L$29,EB_AGR!$C$7:$C$29,'Fuel Techs'!$D24)/SUMIFS(EB_AGR!L$38:L$49,EB_AGR!$C$38:$C$49,'Fuel Techs'!$E$23),0)</f>
        <v>0</v>
      </c>
      <c r="Q24" s="89">
        <f>IFERROR(SUMIFS(EB_AGR!M$7:M$29,EB_AGR!$C$7:$C$29,'Fuel Techs'!$D24)/SUMIFS(EB_AGR!M$38:M$49,EB_AGR!$C$38:$C$49,'Fuel Techs'!$E$23),0)</f>
        <v>0</v>
      </c>
      <c r="R24" s="89">
        <f>IFERROR(SUMIFS(EB_AGR!N$7:N$29,EB_AGR!$C$7:$C$29,'Fuel Techs'!$D24)/SUMIFS(EB_AGR!N$38:N$49,EB_AGR!$C$38:$C$49,'Fuel Techs'!$E$23),0)</f>
        <v>0</v>
      </c>
      <c r="S24" s="89">
        <f>IFERROR(SUMIFS(EB_AGR!O$7:O$29,EB_AGR!$C$7:$C$29,'Fuel Techs'!$D24)/SUMIFS(EB_AGR!O$38:O$49,EB_AGR!$C$38:$C$49,'Fuel Techs'!$E$23),0)</f>
        <v>0</v>
      </c>
      <c r="T24" s="89">
        <f>IFERROR(SUMIFS(EB_AGR!P$7:P$29,EB_AGR!$C$7:$C$29,'Fuel Techs'!$D24)/SUMIFS(EB_AGR!P$38:P$49,EB_AGR!$C$38:$C$49,'Fuel Techs'!$E$23),0)</f>
        <v>0</v>
      </c>
      <c r="U24" s="89">
        <f>IFERROR(SUMIFS(EB_AGR!Q$7:Q$29,EB_AGR!$C$7:$C$29,'Fuel Techs'!$D24)/SUMIFS(EB_AGR!Q$38:Q$49,EB_AGR!$C$38:$C$49,'Fuel Techs'!$E$23),0)</f>
        <v>6.3025210084033615E-3</v>
      </c>
      <c r="V24" s="89">
        <f>IFERROR(SUMIFS(EB_AGR!R$7:R$29,EB_AGR!$C$7:$C$29,'Fuel Techs'!$D24)/SUMIFS(EB_AGR!R$38:R$49,EB_AGR!$C$38:$C$49,'Fuel Techs'!$E$23),0)</f>
        <v>0</v>
      </c>
      <c r="W24" s="89">
        <f>IFERROR(SUMIFS(EB_AGR!S$7:S$29,EB_AGR!$C$7:$C$29,'Fuel Techs'!$D24)/SUMIFS(EB_AGR!S$38:S$49,EB_AGR!$C$38:$C$49,'Fuel Techs'!$E$23),0)</f>
        <v>3.0349729525726506E-2</v>
      </c>
      <c r="X24" s="89">
        <f>IFERROR(SUMIFS(EB_AGR!T$7:T$29,EB_AGR!$C$7:$C$29,'Fuel Techs'!$D24)/SUMIFS(EB_AGR!T$38:T$49,EB_AGR!$C$38:$C$49,'Fuel Techs'!$E$23),0)</f>
        <v>0.59090909090909094</v>
      </c>
      <c r="Y24" s="89">
        <f>IFERROR(SUMIFS(EB_AGR!U$7:U$29,EB_AGR!$C$7:$C$29,'Fuel Techs'!$D24)/SUMIFS(EB_AGR!U$38:U$49,EB_AGR!$C$38:$C$49,'Fuel Techs'!$E$23),0)</f>
        <v>0</v>
      </c>
      <c r="Z24" s="89">
        <f>IFERROR(SUMIFS(EB_AGR!V$7:V$29,EB_AGR!$C$7:$C$29,'Fuel Techs'!$D24)/SUMIFS(EB_AGR!V$38:V$49,EB_AGR!$C$38:$C$49,'Fuel Techs'!$E$23),0)</f>
        <v>0</v>
      </c>
      <c r="AA24" s="89">
        <f>IFERROR(SUMIFS(EB_AGR!W$7:W$29,EB_AGR!$C$7:$C$29,'Fuel Techs'!$D24)/SUMIFS(EB_AGR!W$38:W$49,EB_AGR!$C$38:$C$49,'Fuel Techs'!$E$23),0)</f>
        <v>0</v>
      </c>
      <c r="AB24" s="89">
        <f>IFERROR(SUMIFS(EB_AGR!X$7:X$29,EB_AGR!$C$7:$C$29,'Fuel Techs'!$D24)/SUMIFS(EB_AGR!X$38:X$49,EB_AGR!$C$38:$C$49,'Fuel Techs'!$E$23),0)</f>
        <v>0</v>
      </c>
      <c r="AC24" s="89">
        <f>IFERROR(SUMIFS(EB_AGR!Y$7:Y$29,EB_AGR!$C$7:$C$29,'Fuel Techs'!$D24)/SUMIFS(EB_AGR!Y$38:Y$49,EB_AGR!$C$38:$C$49,'Fuel Techs'!$E$23),0)</f>
        <v>0</v>
      </c>
      <c r="AD24" s="89">
        <f>IFERROR(SUMIFS(EB_AGR!Z$7:Z$29,EB_AGR!$C$7:$C$29,'Fuel Techs'!$D24)/SUMIFS(EB_AGR!Z$38:Z$49,EB_AGR!$C$38:$C$49,'Fuel Techs'!$E$23),0)</f>
        <v>0</v>
      </c>
      <c r="AE24" s="89">
        <f>IFERROR(SUMIFS(EB_AGR!AA$7:AA$29,EB_AGR!$C$7:$C$29,'Fuel Techs'!$D24)/SUMIFS(EB_AGR!AA$38:AA$49,EB_AGR!$C$38:$C$49,'Fuel Techs'!$E$23),0)</f>
        <v>0</v>
      </c>
      <c r="AF24" s="89">
        <f>IFERROR(SUMIFS(EB_AGR!AB$7:AB$29,EB_AGR!$C$7:$C$29,'Fuel Techs'!$D24)/SUMIFS(EB_AGR!AB$38:AB$49,EB_AGR!$C$38:$C$49,'Fuel Techs'!$E$23),0)</f>
        <v>0</v>
      </c>
      <c r="AG24" s="89">
        <f>IFERROR(SUMIFS(EB_AGR!AC$7:AC$29,EB_AGR!$C$7:$C$29,'Fuel Techs'!$D24)/SUMIFS(EB_AGR!AC$38:AC$49,EB_AGR!$C$38:$C$49,'Fuel Techs'!$E$23),0)</f>
        <v>0</v>
      </c>
      <c r="AH24" s="89">
        <f>IFERROR(SUMIFS(EB_AGR!AD$7:AD$29,EB_AGR!$C$7:$C$29,'Fuel Techs'!$D24)/SUMIFS(EB_AGR!AD$38:AD$49,EB_AGR!$C$38:$C$49,'Fuel Techs'!$E$23),0)</f>
        <v>0.18391825855175478</v>
      </c>
      <c r="AI24" s="89">
        <f>IFERROR(SUMIFS(EB_AGR!AE$7:AE$29,EB_AGR!$C$7:$C$29,'Fuel Techs'!$D24)/SUMIFS(EB_AGR!AE$38:AE$49,EB_AGR!$C$38:$C$49,'Fuel Techs'!$E$23),0)</f>
        <v>0</v>
      </c>
      <c r="AJ24" s="89">
        <f>IFERROR(SUMIFS(EB_AGR!AF$7:AF$29,EB_AGR!$C$7:$C$29,'Fuel Techs'!$D24)/SUMIFS(EB_AGR!AF$38:AF$49,EB_AGR!$C$38:$C$49,'Fuel Techs'!$E$23),0)</f>
        <v>0</v>
      </c>
      <c r="AK24" s="53"/>
    </row>
    <row r="25" spans="2:37" s="37" customFormat="1" x14ac:dyDescent="0.3">
      <c r="D25" s="82" t="s">
        <v>281</v>
      </c>
      <c r="F25" s="87"/>
      <c r="G25" s="37" t="s">
        <v>63</v>
      </c>
      <c r="H25" s="37" t="s">
        <v>71</v>
      </c>
      <c r="I25" s="89">
        <f>IFERROR(SUMIFS(EB_AGR!E$7:E$29,EB_AGR!$C$7:$C$29,'Fuel Techs'!$D25)/SUMIFS(EB_AGR!E$38:E$49,EB_AGR!$C$38:$C$49,'Fuel Techs'!$E$23),0)</f>
        <v>0</v>
      </c>
      <c r="J25" s="89">
        <f>IFERROR(SUMIFS(EB_AGR!F$7:F$29,EB_AGR!$C$7:$C$29,'Fuel Techs'!$D25)/SUMIFS(EB_AGR!F$38:F$49,EB_AGR!$C$38:$C$49,'Fuel Techs'!$E$23),0)</f>
        <v>0</v>
      </c>
      <c r="K25" s="89">
        <f>IFERROR(SUMIFS(EB_AGR!G$7:G$29,EB_AGR!$C$7:$C$29,'Fuel Techs'!$D25)/SUMIFS(EB_AGR!G$38:G$49,EB_AGR!$C$38:$C$49,'Fuel Techs'!$E$23),0)</f>
        <v>0</v>
      </c>
      <c r="L25" s="89">
        <f>IFERROR(SUMIFS(EB_AGR!H$7:H$29,EB_AGR!$C$7:$C$29,'Fuel Techs'!$D25)/SUMIFS(EB_AGR!H$38:H$49,EB_AGR!$C$38:$C$49,'Fuel Techs'!$E$23),0)</f>
        <v>0</v>
      </c>
      <c r="M25" s="89">
        <f>IFERROR(SUMIFS(EB_AGR!I$7:I$29,EB_AGR!$C$7:$C$29,'Fuel Techs'!$D25)/SUMIFS(EB_AGR!I$38:I$49,EB_AGR!$C$38:$C$49,'Fuel Techs'!$E$23),0)</f>
        <v>0</v>
      </c>
      <c r="N25" s="89">
        <f>IFERROR(SUMIFS(EB_AGR!J$7:J$29,EB_AGR!$C$7:$C$29,'Fuel Techs'!$D25)/SUMIFS(EB_AGR!J$38:J$49,EB_AGR!$C$38:$C$49,'Fuel Techs'!$E$23),0)</f>
        <v>0</v>
      </c>
      <c r="O25" s="89">
        <f>IFERROR(SUMIFS(EB_AGR!K$7:K$29,EB_AGR!$C$7:$C$29,'Fuel Techs'!$D25)/SUMIFS(EB_AGR!K$38:K$49,EB_AGR!$C$38:$C$49,'Fuel Techs'!$E$23),0)</f>
        <v>0</v>
      </c>
      <c r="P25" s="89">
        <f>IFERROR(SUMIFS(EB_AGR!L$7:L$29,EB_AGR!$C$7:$C$29,'Fuel Techs'!$D25)/SUMIFS(EB_AGR!L$38:L$49,EB_AGR!$C$38:$C$49,'Fuel Techs'!$E$23),0)</f>
        <v>0</v>
      </c>
      <c r="Q25" s="89">
        <f>IFERROR(SUMIFS(EB_AGR!M$7:M$29,EB_AGR!$C$7:$C$29,'Fuel Techs'!$D25)/SUMIFS(EB_AGR!M$38:M$49,EB_AGR!$C$38:$C$49,'Fuel Techs'!$E$23),0)</f>
        <v>0</v>
      </c>
      <c r="R25" s="89">
        <f>IFERROR(SUMIFS(EB_AGR!N$7:N$29,EB_AGR!$C$7:$C$29,'Fuel Techs'!$D25)/SUMIFS(EB_AGR!N$38:N$49,EB_AGR!$C$38:$C$49,'Fuel Techs'!$E$23),0)</f>
        <v>0</v>
      </c>
      <c r="S25" s="89">
        <f>IFERROR(SUMIFS(EB_AGR!O$7:O$29,EB_AGR!$C$7:$C$29,'Fuel Techs'!$D25)/SUMIFS(EB_AGR!O$38:O$49,EB_AGR!$C$38:$C$49,'Fuel Techs'!$E$23),0)</f>
        <v>0</v>
      </c>
      <c r="T25" s="89">
        <f>IFERROR(SUMIFS(EB_AGR!P$7:P$29,EB_AGR!$C$7:$C$29,'Fuel Techs'!$D25)/SUMIFS(EB_AGR!P$38:P$49,EB_AGR!$C$38:$C$49,'Fuel Techs'!$E$23),0)</f>
        <v>4.3963394371117688E-2</v>
      </c>
      <c r="U25" s="89">
        <f>IFERROR(SUMIFS(EB_AGR!Q$7:Q$29,EB_AGR!$C$7:$C$29,'Fuel Techs'!$D25)/SUMIFS(EB_AGR!Q$38:Q$49,EB_AGR!$C$38:$C$49,'Fuel Techs'!$E$23),0)</f>
        <v>0</v>
      </c>
      <c r="V25" s="89">
        <f>IFERROR(SUMIFS(EB_AGR!R$7:R$29,EB_AGR!$C$7:$C$29,'Fuel Techs'!$D25)/SUMIFS(EB_AGR!R$38:R$49,EB_AGR!$C$38:$C$49,'Fuel Techs'!$E$23),0)</f>
        <v>0</v>
      </c>
      <c r="W25" s="89">
        <f>IFERROR(SUMIFS(EB_AGR!S$7:S$29,EB_AGR!$C$7:$C$29,'Fuel Techs'!$D25)/SUMIFS(EB_AGR!S$38:S$49,EB_AGR!$C$38:$C$49,'Fuel Techs'!$E$23),0)</f>
        <v>2.8619952195244685E-3</v>
      </c>
      <c r="X25" s="89">
        <f>IFERROR(SUMIFS(EB_AGR!T$7:T$29,EB_AGR!$C$7:$C$29,'Fuel Techs'!$D25)/SUMIFS(EB_AGR!T$38:T$49,EB_AGR!$C$38:$C$49,'Fuel Techs'!$E$23),0)</f>
        <v>0</v>
      </c>
      <c r="Y25" s="89">
        <f>IFERROR(SUMIFS(EB_AGR!U$7:U$29,EB_AGR!$C$7:$C$29,'Fuel Techs'!$D25)/SUMIFS(EB_AGR!U$38:U$49,EB_AGR!$C$38:$C$49,'Fuel Techs'!$E$23),0)</f>
        <v>6.1266167460857727E-3</v>
      </c>
      <c r="Z25" s="89">
        <f>IFERROR(SUMIFS(EB_AGR!V$7:V$29,EB_AGR!$C$7:$C$29,'Fuel Techs'!$D25)/SUMIFS(EB_AGR!V$38:V$49,EB_AGR!$C$38:$C$49,'Fuel Techs'!$E$23),0)</f>
        <v>0</v>
      </c>
      <c r="AA25" s="89">
        <f>IFERROR(SUMIFS(EB_AGR!W$7:W$29,EB_AGR!$C$7:$C$29,'Fuel Techs'!$D25)/SUMIFS(EB_AGR!W$38:W$49,EB_AGR!$C$38:$C$49,'Fuel Techs'!$E$23),0)</f>
        <v>0</v>
      </c>
      <c r="AB25" s="89">
        <f>IFERROR(SUMIFS(EB_AGR!X$7:X$29,EB_AGR!$C$7:$C$29,'Fuel Techs'!$D25)/SUMIFS(EB_AGR!X$38:X$49,EB_AGR!$C$38:$C$49,'Fuel Techs'!$E$23),0)</f>
        <v>1</v>
      </c>
      <c r="AC25" s="89">
        <f>IFERROR(SUMIFS(EB_AGR!Y$7:Y$29,EB_AGR!$C$7:$C$29,'Fuel Techs'!$D25)/SUMIFS(EB_AGR!Y$38:Y$49,EB_AGR!$C$38:$C$49,'Fuel Techs'!$E$23),0)</f>
        <v>0</v>
      </c>
      <c r="AD25" s="89">
        <f>IFERROR(SUMIFS(EB_AGR!Z$7:Z$29,EB_AGR!$C$7:$C$29,'Fuel Techs'!$D25)/SUMIFS(EB_AGR!Z$38:Z$49,EB_AGR!$C$38:$C$49,'Fuel Techs'!$E$23),0)</f>
        <v>0</v>
      </c>
      <c r="AE25" s="89">
        <f>IFERROR(SUMIFS(EB_AGR!AA$7:AA$29,EB_AGR!$C$7:$C$29,'Fuel Techs'!$D25)/SUMIFS(EB_AGR!AA$38:AA$49,EB_AGR!$C$38:$C$49,'Fuel Techs'!$E$23),0)</f>
        <v>0</v>
      </c>
      <c r="AF25" s="89">
        <f>IFERROR(SUMIFS(EB_AGR!AB$7:AB$29,EB_AGR!$C$7:$C$29,'Fuel Techs'!$D25)/SUMIFS(EB_AGR!AB$38:AB$49,EB_AGR!$C$38:$C$49,'Fuel Techs'!$E$23),0)</f>
        <v>0</v>
      </c>
      <c r="AG25" s="89">
        <f>IFERROR(SUMIFS(EB_AGR!AC$7:AC$29,EB_AGR!$C$7:$C$29,'Fuel Techs'!$D25)/SUMIFS(EB_AGR!AC$38:AC$49,EB_AGR!$C$38:$C$49,'Fuel Techs'!$E$23),0)</f>
        <v>0</v>
      </c>
      <c r="AH25" s="89">
        <f>IFERROR(SUMIFS(EB_AGR!AD$7:AD$29,EB_AGR!$C$7:$C$29,'Fuel Techs'!$D25)/SUMIFS(EB_AGR!AD$38:AD$49,EB_AGR!$C$38:$C$49,'Fuel Techs'!$E$23),0)</f>
        <v>0</v>
      </c>
      <c r="AI25" s="89">
        <f>IFERROR(SUMIFS(EB_AGR!AE$7:AE$29,EB_AGR!$C$7:$C$29,'Fuel Techs'!$D25)/SUMIFS(EB_AGR!AE$38:AE$49,EB_AGR!$C$38:$C$49,'Fuel Techs'!$E$23),0)</f>
        <v>0</v>
      </c>
      <c r="AJ25" s="89">
        <f>IFERROR(SUMIFS(EB_AGR!AF$7:AF$29,EB_AGR!$C$7:$C$29,'Fuel Techs'!$D25)/SUMIFS(EB_AGR!AF$38:AF$49,EB_AGR!$C$38:$C$49,'Fuel Techs'!$E$23),0)</f>
        <v>0</v>
      </c>
      <c r="AK25" s="53"/>
    </row>
    <row r="26" spans="2:37" s="37" customFormat="1" x14ac:dyDescent="0.3">
      <c r="B26" s="37" t="str">
        <f t="shared" ref="B26:C29" si="2">B8</f>
        <v>FT-AGRELC</v>
      </c>
      <c r="C26" s="37" t="str">
        <f t="shared" si="2"/>
        <v>AGR fuel Tech: Electricity</v>
      </c>
      <c r="D26" s="86" t="s">
        <v>207</v>
      </c>
      <c r="E26" s="37" t="str">
        <f>Legend!B37</f>
        <v>AGRELC</v>
      </c>
      <c r="F26" s="87">
        <v>1</v>
      </c>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53"/>
    </row>
    <row r="27" spans="2:37" s="37" customFormat="1" x14ac:dyDescent="0.3">
      <c r="B27" s="37" t="str">
        <f t="shared" si="2"/>
        <v>FT-AGRGEO</v>
      </c>
      <c r="C27" s="37" t="str">
        <f t="shared" si="2"/>
        <v>AGR fuel Tech: Geothermal</v>
      </c>
      <c r="D27" s="82" t="s">
        <v>175</v>
      </c>
      <c r="E27" s="37" t="str">
        <f>Legend!B38</f>
        <v>AGRGEO</v>
      </c>
      <c r="F27" s="87">
        <v>1</v>
      </c>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53"/>
    </row>
    <row r="28" spans="2:37" s="37" customFormat="1" x14ac:dyDescent="0.3">
      <c r="B28" s="37" t="str">
        <f t="shared" si="2"/>
        <v>FT-AGRHET</v>
      </c>
      <c r="C28" s="37" t="str">
        <f t="shared" si="2"/>
        <v>AGR fuel Tech: Heat</v>
      </c>
      <c r="D28" s="82" t="s">
        <v>209</v>
      </c>
      <c r="E28" s="37" t="str">
        <f>Legend!B39</f>
        <v>AGRHET</v>
      </c>
      <c r="F28" s="87">
        <v>1</v>
      </c>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53"/>
    </row>
    <row r="29" spans="2:37" s="37" customFormat="1" x14ac:dyDescent="0.3">
      <c r="B29" s="37" t="str">
        <f t="shared" si="2"/>
        <v>FT-AGRBLQ</v>
      </c>
      <c r="C29" s="37" t="str">
        <f t="shared" si="2"/>
        <v>AGR fuel Tech: Liquid biofuels</v>
      </c>
      <c r="D29" s="82" t="s">
        <v>286</v>
      </c>
      <c r="E29" s="37" t="str">
        <f>Legend!B42</f>
        <v>AGRBLQ</v>
      </c>
      <c r="F29" s="87">
        <v>1</v>
      </c>
      <c r="G29" s="37" t="s">
        <v>63</v>
      </c>
      <c r="H29" s="37" t="s">
        <v>71</v>
      </c>
      <c r="I29" s="89">
        <f>IFERROR(SUMIFS(EB_AGR!E:E,EB_AGR!$C:$C,'Fuel Techs'!$D29)/SUMIFS(EB_AGR!E:E,EB_AGR!$C:$C,'Fuel Techs'!$E$29),0%)</f>
        <v>0</v>
      </c>
      <c r="J29" s="89">
        <f>IFERROR(SUMIFS(EB_AGR!F:F,EB_AGR!$C:$C,'Fuel Techs'!$D29)/SUMIFS(EB_AGR!F:F,EB_AGR!$C:$C,'Fuel Techs'!$E$29),0%)</f>
        <v>0</v>
      </c>
      <c r="K29" s="89">
        <f>IFERROR(SUMIFS(EB_AGR!G:G,EB_AGR!$C:$C,'Fuel Techs'!$D29)/SUMIFS(EB_AGR!G:G,EB_AGR!$C:$C,'Fuel Techs'!$E$29),0%)</f>
        <v>0</v>
      </c>
      <c r="L29" s="89">
        <f>IFERROR(SUMIFS(EB_AGR!H:H,EB_AGR!$C:$C,'Fuel Techs'!$D29)/SUMIFS(EB_AGR!H:H,EB_AGR!$C:$C,'Fuel Techs'!$E$29),0%)</f>
        <v>0</v>
      </c>
      <c r="M29" s="89">
        <f>IFERROR(SUMIFS(EB_AGR!I:I,EB_AGR!$C:$C,'Fuel Techs'!$D29)/SUMIFS(EB_AGR!I:I,EB_AGR!$C:$C,'Fuel Techs'!$E$29),0%)</f>
        <v>0</v>
      </c>
      <c r="N29" s="89">
        <f>IFERROR(SUMIFS(EB_AGR!J:J,EB_AGR!$C:$C,'Fuel Techs'!$D29)/SUMIFS(EB_AGR!J:J,EB_AGR!$C:$C,'Fuel Techs'!$E$29),0%)</f>
        <v>0</v>
      </c>
      <c r="O29" s="89">
        <f>IFERROR(SUMIFS(EB_AGR!K:K,EB_AGR!$C:$C,'Fuel Techs'!$D29)/SUMIFS(EB_AGR!K:K,EB_AGR!$C:$C,'Fuel Techs'!$E$29),0%)</f>
        <v>0</v>
      </c>
      <c r="P29" s="89">
        <f>IFERROR(SUMIFS(EB_AGR!L:L,EB_AGR!$C:$C,'Fuel Techs'!$D29)/SUMIFS(EB_AGR!L:L,EB_AGR!$C:$C,'Fuel Techs'!$E$29),0%)</f>
        <v>0</v>
      </c>
      <c r="Q29" s="89">
        <f>IFERROR(SUMIFS(EB_AGR!M:M,EB_AGR!$C:$C,'Fuel Techs'!$D29)/SUMIFS(EB_AGR!M:M,EB_AGR!$C:$C,'Fuel Techs'!$E$29),0%)</f>
        <v>0</v>
      </c>
      <c r="R29" s="89">
        <f>IFERROR(SUMIFS(EB_AGR!N:N,EB_AGR!$C:$C,'Fuel Techs'!$D29)/SUMIFS(EB_AGR!N:N,EB_AGR!$C:$C,'Fuel Techs'!$E$29),0%)</f>
        <v>0</v>
      </c>
      <c r="S29" s="89">
        <f>IFERROR(SUMIFS(EB_AGR!O:O,EB_AGR!$C:$C,'Fuel Techs'!$D29)/SUMIFS(EB_AGR!O:O,EB_AGR!$C:$C,'Fuel Techs'!$E$29),0%)</f>
        <v>0</v>
      </c>
      <c r="T29" s="89">
        <f>IFERROR(SUMIFS(EB_AGR!P:P,EB_AGR!$C:$C,'Fuel Techs'!$D29)/SUMIFS(EB_AGR!P:P,EB_AGR!$C:$C,'Fuel Techs'!$E$29),0%)</f>
        <v>0</v>
      </c>
      <c r="U29" s="89">
        <f>IFERROR(SUMIFS(EB_AGR!Q:Q,EB_AGR!$C:$C,'Fuel Techs'!$D29)/SUMIFS(EB_AGR!Q:Q,EB_AGR!$C:$C,'Fuel Techs'!$E$29),0%)</f>
        <v>0</v>
      </c>
      <c r="V29" s="89">
        <f>IFERROR(SUMIFS(EB_AGR!R:R,EB_AGR!$C:$C,'Fuel Techs'!$D29)/SUMIFS(EB_AGR!R:R,EB_AGR!$C:$C,'Fuel Techs'!$E$29),0%)</f>
        <v>0</v>
      </c>
      <c r="W29" s="89">
        <f>IFERROR(SUMIFS(EB_AGR!S:S,EB_AGR!$C:$C,'Fuel Techs'!$D29)/SUMIFS(EB_AGR!S:S,EB_AGR!$C:$C,'Fuel Techs'!$E$29),0%)</f>
        <v>0</v>
      </c>
      <c r="X29" s="89">
        <f>IFERROR(SUMIFS(EB_AGR!T:T,EB_AGR!$C:$C,'Fuel Techs'!$D29)/SUMIFS(EB_AGR!T:T,EB_AGR!$C:$C,'Fuel Techs'!$E$29),0%)</f>
        <v>0</v>
      </c>
      <c r="Y29" s="89">
        <f>IFERROR(SUMIFS(EB_AGR!U:U,EB_AGR!$C:$C,'Fuel Techs'!$D29)/SUMIFS(EB_AGR!U:U,EB_AGR!$C:$C,'Fuel Techs'!$E$29),0%)</f>
        <v>0</v>
      </c>
      <c r="Z29" s="89">
        <f>IFERROR(SUMIFS(EB_AGR!V:V,EB_AGR!$C:$C,'Fuel Techs'!$D29)/SUMIFS(EB_AGR!V:V,EB_AGR!$C:$C,'Fuel Techs'!$E$29),0%)</f>
        <v>0</v>
      </c>
      <c r="AA29" s="89">
        <f>IFERROR(SUMIFS(EB_AGR!W:W,EB_AGR!$C:$C,'Fuel Techs'!$D29)/SUMIFS(EB_AGR!W:W,EB_AGR!$C:$C,'Fuel Techs'!$E$29),0%)</f>
        <v>0</v>
      </c>
      <c r="AB29" s="89">
        <f>IFERROR(SUMIFS(EB_AGR!X:X,EB_AGR!$C:$C,'Fuel Techs'!$D29)/SUMIFS(EB_AGR!X:X,EB_AGR!$C:$C,'Fuel Techs'!$E$29),0%)</f>
        <v>0</v>
      </c>
      <c r="AC29" s="89">
        <f>IFERROR(SUMIFS(EB_AGR!Y:Y,EB_AGR!$C:$C,'Fuel Techs'!$D29)/SUMIFS(EB_AGR!Y:Y,EB_AGR!$C:$C,'Fuel Techs'!$E$29),0%)</f>
        <v>0</v>
      </c>
      <c r="AD29" s="89">
        <f>IFERROR(SUMIFS(EB_AGR!Z:Z,EB_AGR!$C:$C,'Fuel Techs'!$D29)/SUMIFS(EB_AGR!Z:Z,EB_AGR!$C:$C,'Fuel Techs'!$E$29),0%)</f>
        <v>0</v>
      </c>
      <c r="AE29" s="89">
        <f>IFERROR(SUMIFS(EB_AGR!AA:AA,EB_AGR!$C:$C,'Fuel Techs'!$D29)/SUMIFS(EB_AGR!AA:AA,EB_AGR!$C:$C,'Fuel Techs'!$E$29),0%)</f>
        <v>0</v>
      </c>
      <c r="AF29" s="89">
        <f>IFERROR(SUMIFS(EB_AGR!AB:AB,EB_AGR!$C:$C,'Fuel Techs'!$D29)/SUMIFS(EB_AGR!AB:AB,EB_AGR!$C:$C,'Fuel Techs'!$E$29),0%)</f>
        <v>0</v>
      </c>
      <c r="AG29" s="89">
        <f>IFERROR(SUMIFS(EB_AGR!AC:AC,EB_AGR!$C:$C,'Fuel Techs'!$D29)/SUMIFS(EB_AGR!AC:AC,EB_AGR!$C:$C,'Fuel Techs'!$E$29),0%)</f>
        <v>0</v>
      </c>
      <c r="AH29" s="89">
        <f>IFERROR(SUMIFS(EB_AGR!AD:AD,EB_AGR!$C:$C,'Fuel Techs'!$D29)/SUMIFS(EB_AGR!AD:AD,EB_AGR!$C:$C,'Fuel Techs'!$E$29),0%)</f>
        <v>0</v>
      </c>
      <c r="AI29" s="89">
        <f>IFERROR(SUMIFS(EB_AGR!AE:AE,EB_AGR!$C:$C,'Fuel Techs'!$D29)/SUMIFS(EB_AGR!AE:AE,EB_AGR!$C:$C,'Fuel Techs'!$E$29),0%)</f>
        <v>0</v>
      </c>
      <c r="AJ29" s="89">
        <f>IFERROR(SUMIFS(EB_AGR!AF:AF,EB_AGR!$C:$C,'Fuel Techs'!$D29)/SUMIFS(EB_AGR!AF:AF,EB_AGR!$C:$C,'Fuel Techs'!$E$29),0%)</f>
        <v>0</v>
      </c>
      <c r="AK29" s="53"/>
    </row>
    <row r="30" spans="2:37" s="37" customFormat="1" x14ac:dyDescent="0.3">
      <c r="D30" s="82" t="s">
        <v>197</v>
      </c>
      <c r="F30" s="87"/>
      <c r="G30" s="37" t="s">
        <v>63</v>
      </c>
      <c r="H30" s="37" t="s">
        <v>71</v>
      </c>
      <c r="I30" s="89">
        <f>1-(I29+I31)</f>
        <v>1</v>
      </c>
      <c r="J30" s="89">
        <f t="shared" ref="J30:AJ30" si="3">1-(J29+J31)</f>
        <v>1</v>
      </c>
      <c r="K30" s="89">
        <f t="shared" si="3"/>
        <v>1</v>
      </c>
      <c r="L30" s="89">
        <f t="shared" si="3"/>
        <v>1</v>
      </c>
      <c r="M30" s="89">
        <f t="shared" si="3"/>
        <v>1</v>
      </c>
      <c r="N30" s="89">
        <f t="shared" si="3"/>
        <v>1</v>
      </c>
      <c r="O30" s="89">
        <f t="shared" si="3"/>
        <v>1</v>
      </c>
      <c r="P30" s="89">
        <f t="shared" si="3"/>
        <v>1</v>
      </c>
      <c r="Q30" s="89">
        <f t="shared" si="3"/>
        <v>0.98075725847529571</v>
      </c>
      <c r="R30" s="89">
        <f t="shared" si="3"/>
        <v>1</v>
      </c>
      <c r="S30" s="89">
        <f t="shared" si="3"/>
        <v>1</v>
      </c>
      <c r="T30" s="89">
        <f t="shared" si="3"/>
        <v>1</v>
      </c>
      <c r="U30" s="89">
        <f t="shared" si="3"/>
        <v>1</v>
      </c>
      <c r="V30" s="89">
        <f t="shared" si="3"/>
        <v>0.91666666666666663</v>
      </c>
      <c r="W30" s="89">
        <f t="shared" si="3"/>
        <v>1</v>
      </c>
      <c r="X30" s="89">
        <f t="shared" si="3"/>
        <v>1</v>
      </c>
      <c r="Y30" s="89">
        <f t="shared" si="3"/>
        <v>0.98050591784636809</v>
      </c>
      <c r="Z30" s="89">
        <f t="shared" si="3"/>
        <v>1</v>
      </c>
      <c r="AA30" s="89">
        <f t="shared" si="3"/>
        <v>1</v>
      </c>
      <c r="AB30" s="89">
        <f t="shared" si="3"/>
        <v>1</v>
      </c>
      <c r="AC30" s="89">
        <f t="shared" si="3"/>
        <v>0.9525423728813559</v>
      </c>
      <c r="AD30" s="89">
        <f t="shared" si="3"/>
        <v>1</v>
      </c>
      <c r="AE30" s="89">
        <f t="shared" si="3"/>
        <v>1</v>
      </c>
      <c r="AF30" s="89">
        <f t="shared" si="3"/>
        <v>1</v>
      </c>
      <c r="AG30" s="89">
        <f t="shared" si="3"/>
        <v>1</v>
      </c>
      <c r="AH30" s="89">
        <f t="shared" si="3"/>
        <v>1</v>
      </c>
      <c r="AI30" s="89">
        <f t="shared" si="3"/>
        <v>1</v>
      </c>
      <c r="AJ30" s="89">
        <f t="shared" si="3"/>
        <v>1</v>
      </c>
      <c r="AK30" s="53"/>
    </row>
    <row r="31" spans="2:37" s="37" customFormat="1" x14ac:dyDescent="0.3">
      <c r="D31" s="82" t="s">
        <v>284</v>
      </c>
      <c r="F31" s="87"/>
      <c r="G31" s="37" t="s">
        <v>63</v>
      </c>
      <c r="H31" s="37" t="s">
        <v>71</v>
      </c>
      <c r="I31" s="89">
        <f>IFERROR(SUMIFS(EB_AGR!E:E,EB_AGR!$C:$C,'Fuel Techs'!$D31)/SUMIFS(EB_AGR!E:E,EB_AGR!$C:$C,'Fuel Techs'!$E$29),0%)</f>
        <v>0</v>
      </c>
      <c r="J31" s="89">
        <f>IFERROR(SUMIFS(EB_AGR!F:F,EB_AGR!$C:$C,'Fuel Techs'!$D31)/SUMIFS(EB_AGR!F:F,EB_AGR!$C:$C,'Fuel Techs'!$E$29),0%)</f>
        <v>0</v>
      </c>
      <c r="K31" s="89">
        <f>IFERROR(SUMIFS(EB_AGR!G:G,EB_AGR!$C:$C,'Fuel Techs'!$D31)/SUMIFS(EB_AGR!G:G,EB_AGR!$C:$C,'Fuel Techs'!$E$29),0%)</f>
        <v>0</v>
      </c>
      <c r="L31" s="89">
        <f>IFERROR(SUMIFS(EB_AGR!H:H,EB_AGR!$C:$C,'Fuel Techs'!$D31)/SUMIFS(EB_AGR!H:H,EB_AGR!$C:$C,'Fuel Techs'!$E$29),0%)</f>
        <v>0</v>
      </c>
      <c r="M31" s="89">
        <f>IFERROR(SUMIFS(EB_AGR!I:I,EB_AGR!$C:$C,'Fuel Techs'!$D31)/SUMIFS(EB_AGR!I:I,EB_AGR!$C:$C,'Fuel Techs'!$E$29),0%)</f>
        <v>0</v>
      </c>
      <c r="N31" s="89">
        <f>IFERROR(SUMIFS(EB_AGR!J:J,EB_AGR!$C:$C,'Fuel Techs'!$D31)/SUMIFS(EB_AGR!J:J,EB_AGR!$C:$C,'Fuel Techs'!$E$29),0%)</f>
        <v>0</v>
      </c>
      <c r="O31" s="89">
        <f>IFERROR(SUMIFS(EB_AGR!K:K,EB_AGR!$C:$C,'Fuel Techs'!$D31)/SUMIFS(EB_AGR!K:K,EB_AGR!$C:$C,'Fuel Techs'!$E$29),0%)</f>
        <v>0</v>
      </c>
      <c r="P31" s="89">
        <f>IFERROR(SUMIFS(EB_AGR!L:L,EB_AGR!$C:$C,'Fuel Techs'!$D31)/SUMIFS(EB_AGR!L:L,EB_AGR!$C:$C,'Fuel Techs'!$E$29),0%)</f>
        <v>0</v>
      </c>
      <c r="Q31" s="89">
        <f>IFERROR(SUMIFS(EB_AGR!M:M,EB_AGR!$C:$C,'Fuel Techs'!$D31)/SUMIFS(EB_AGR!M:M,EB_AGR!$C:$C,'Fuel Techs'!$E$29),0%)</f>
        <v>1.9242741524704284E-2</v>
      </c>
      <c r="R31" s="89">
        <f>IFERROR(SUMIFS(EB_AGR!N:N,EB_AGR!$C:$C,'Fuel Techs'!$D31)/SUMIFS(EB_AGR!N:N,EB_AGR!$C:$C,'Fuel Techs'!$E$29),0%)</f>
        <v>0</v>
      </c>
      <c r="S31" s="89">
        <f>IFERROR(SUMIFS(EB_AGR!O:O,EB_AGR!$C:$C,'Fuel Techs'!$D31)/SUMIFS(EB_AGR!O:O,EB_AGR!$C:$C,'Fuel Techs'!$E$29),0%)</f>
        <v>0</v>
      </c>
      <c r="T31" s="89">
        <f>IFERROR(SUMIFS(EB_AGR!P:P,EB_AGR!$C:$C,'Fuel Techs'!$D31)/SUMIFS(EB_AGR!P:P,EB_AGR!$C:$C,'Fuel Techs'!$E$29),0%)</f>
        <v>0</v>
      </c>
      <c r="U31" s="89">
        <f>IFERROR(SUMIFS(EB_AGR!Q:Q,EB_AGR!$C:$C,'Fuel Techs'!$D31)/SUMIFS(EB_AGR!Q:Q,EB_AGR!$C:$C,'Fuel Techs'!$E$29),0%)</f>
        <v>0</v>
      </c>
      <c r="V31" s="89">
        <f>IFERROR(SUMIFS(EB_AGR!R:R,EB_AGR!$C:$C,'Fuel Techs'!$D31)/SUMIFS(EB_AGR!R:R,EB_AGR!$C:$C,'Fuel Techs'!$E$29),0%)</f>
        <v>8.3333333333333329E-2</v>
      </c>
      <c r="W31" s="89">
        <f>IFERROR(SUMIFS(EB_AGR!S:S,EB_AGR!$C:$C,'Fuel Techs'!$D31)/SUMIFS(EB_AGR!S:S,EB_AGR!$C:$C,'Fuel Techs'!$E$29),0%)</f>
        <v>0</v>
      </c>
      <c r="X31" s="89">
        <f>IFERROR(SUMIFS(EB_AGR!T:T,EB_AGR!$C:$C,'Fuel Techs'!$D31)/SUMIFS(EB_AGR!T:T,EB_AGR!$C:$C,'Fuel Techs'!$E$29),0%)</f>
        <v>0</v>
      </c>
      <c r="Y31" s="89">
        <f>IFERROR(SUMIFS(EB_AGR!U:U,EB_AGR!$C:$C,'Fuel Techs'!$D31)/SUMIFS(EB_AGR!U:U,EB_AGR!$C:$C,'Fuel Techs'!$E$29),0%)</f>
        <v>1.9494082153631936E-2</v>
      </c>
      <c r="Z31" s="89">
        <f>IFERROR(SUMIFS(EB_AGR!V:V,EB_AGR!$C:$C,'Fuel Techs'!$D31)/SUMIFS(EB_AGR!V:V,EB_AGR!$C:$C,'Fuel Techs'!$E$29),0%)</f>
        <v>0</v>
      </c>
      <c r="AA31" s="89">
        <f>IFERROR(SUMIFS(EB_AGR!W:W,EB_AGR!$C:$C,'Fuel Techs'!$D31)/SUMIFS(EB_AGR!W:W,EB_AGR!$C:$C,'Fuel Techs'!$E$29),0%)</f>
        <v>0</v>
      </c>
      <c r="AB31" s="89">
        <f>IFERROR(SUMIFS(EB_AGR!X:X,EB_AGR!$C:$C,'Fuel Techs'!$D31)/SUMIFS(EB_AGR!X:X,EB_AGR!$C:$C,'Fuel Techs'!$E$29),0%)</f>
        <v>0</v>
      </c>
      <c r="AC31" s="89">
        <f>IFERROR(SUMIFS(EB_AGR!Y:Y,EB_AGR!$C:$C,'Fuel Techs'!$D31)/SUMIFS(EB_AGR!Y:Y,EB_AGR!$C:$C,'Fuel Techs'!$E$29),0%)</f>
        <v>4.7457627118644062E-2</v>
      </c>
      <c r="AD31" s="89">
        <f>IFERROR(SUMIFS(EB_AGR!Z:Z,EB_AGR!$C:$C,'Fuel Techs'!$D31)/SUMIFS(EB_AGR!Z:Z,EB_AGR!$C:$C,'Fuel Techs'!$E$29),0%)</f>
        <v>0</v>
      </c>
      <c r="AE31" s="89">
        <f>IFERROR(SUMIFS(EB_AGR!AA:AA,EB_AGR!$C:$C,'Fuel Techs'!$D31)/SUMIFS(EB_AGR!AA:AA,EB_AGR!$C:$C,'Fuel Techs'!$E$29),0%)</f>
        <v>0</v>
      </c>
      <c r="AF31" s="89">
        <f>IFERROR(SUMIFS(EB_AGR!AB:AB,EB_AGR!$C:$C,'Fuel Techs'!$D31)/SUMIFS(EB_AGR!AB:AB,EB_AGR!$C:$C,'Fuel Techs'!$E$29),0%)</f>
        <v>0</v>
      </c>
      <c r="AG31" s="89">
        <f>IFERROR(SUMIFS(EB_AGR!AC:AC,EB_AGR!$C:$C,'Fuel Techs'!$D31)/SUMIFS(EB_AGR!AC:AC,EB_AGR!$C:$C,'Fuel Techs'!$E$29),0%)</f>
        <v>0</v>
      </c>
      <c r="AH31" s="89">
        <f>IFERROR(SUMIFS(EB_AGR!AD:AD,EB_AGR!$C:$C,'Fuel Techs'!$D31)/SUMIFS(EB_AGR!AD:AD,EB_AGR!$C:$C,'Fuel Techs'!$E$29),0%)</f>
        <v>0</v>
      </c>
      <c r="AI31" s="89">
        <f>IFERROR(SUMIFS(EB_AGR!AE:AE,EB_AGR!$C:$C,'Fuel Techs'!$D31)/SUMIFS(EB_AGR!AE:AE,EB_AGR!$C:$C,'Fuel Techs'!$E$29),0%)</f>
        <v>0</v>
      </c>
      <c r="AJ31" s="89">
        <f>IFERROR(SUMIFS(EB_AGR!AF:AF,EB_AGR!$C:$C,'Fuel Techs'!$D31)/SUMIFS(EB_AGR!AF:AF,EB_AGR!$C:$C,'Fuel Techs'!$E$29),0%)</f>
        <v>0</v>
      </c>
      <c r="AK31" s="53"/>
    </row>
    <row r="32" spans="2:37" s="37" customFormat="1" x14ac:dyDescent="0.3">
      <c r="B32" s="37" t="str">
        <f t="shared" ref="B32:C34" si="4">B12</f>
        <v>FT-AGRLPG</v>
      </c>
      <c r="C32" s="37" t="str">
        <f t="shared" si="4"/>
        <v>AGR fuel Tech: LPG</v>
      </c>
      <c r="D32" s="82" t="s">
        <v>212</v>
      </c>
      <c r="E32" s="37" t="str">
        <f>Legend!B43</f>
        <v>AGRLPG</v>
      </c>
      <c r="F32" s="87">
        <v>1</v>
      </c>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89"/>
      <c r="AI32" s="89"/>
      <c r="AJ32" s="89"/>
      <c r="AK32" s="53"/>
    </row>
    <row r="33" spans="2:37" s="37" customFormat="1" x14ac:dyDescent="0.3">
      <c r="B33" s="37" t="str">
        <f t="shared" si="4"/>
        <v>FT-AGRGAS</v>
      </c>
      <c r="C33" s="37" t="str">
        <f t="shared" si="4"/>
        <v>AGR fuel Tech: Natural gas</v>
      </c>
      <c r="D33" s="82" t="s">
        <v>176</v>
      </c>
      <c r="E33" s="37" t="str">
        <f>Legend!B44</f>
        <v>AGRGAS</v>
      </c>
      <c r="F33" s="87">
        <v>1</v>
      </c>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53"/>
    </row>
    <row r="34" spans="2:37" s="37" customFormat="1" x14ac:dyDescent="0.3">
      <c r="B34" s="37" t="str">
        <f t="shared" si="4"/>
        <v>FT-AGROIL</v>
      </c>
      <c r="C34" s="37" t="str">
        <f t="shared" si="4"/>
        <v>AGR fuel Tech: Oil</v>
      </c>
      <c r="D34" s="86" t="s">
        <v>206</v>
      </c>
      <c r="E34" s="37" t="str">
        <f>Legend!B45</f>
        <v>AGROIL</v>
      </c>
      <c r="F34" s="87">
        <v>1</v>
      </c>
      <c r="G34" s="37" t="s">
        <v>63</v>
      </c>
      <c r="H34" s="37" t="s">
        <v>71</v>
      </c>
      <c r="I34" s="89">
        <f t="shared" ref="I34:AJ34" si="5">1-SUM(I35:I39)</f>
        <v>0.85538495045192198</v>
      </c>
      <c r="J34" s="89">
        <f t="shared" si="5"/>
        <v>0.97517914388082216</v>
      </c>
      <c r="K34" s="89">
        <f t="shared" si="5"/>
        <v>0.98384937238493719</v>
      </c>
      <c r="L34" s="89">
        <f t="shared" si="5"/>
        <v>0.83128002479466911</v>
      </c>
      <c r="M34" s="89">
        <f t="shared" si="5"/>
        <v>0.92780363078496553</v>
      </c>
      <c r="N34" s="89">
        <f t="shared" si="5"/>
        <v>0.97942099755842349</v>
      </c>
      <c r="O34" s="89">
        <f t="shared" si="5"/>
        <v>0.96944947675781667</v>
      </c>
      <c r="P34" s="89">
        <f t="shared" si="5"/>
        <v>0.8243896236012207</v>
      </c>
      <c r="Q34" s="89">
        <f t="shared" si="5"/>
        <v>0.75408420869363357</v>
      </c>
      <c r="R34" s="89">
        <f t="shared" si="5"/>
        <v>0.73150067816314668</v>
      </c>
      <c r="S34" s="89">
        <f t="shared" si="5"/>
        <v>0.75834931552146023</v>
      </c>
      <c r="T34" s="89">
        <f t="shared" si="5"/>
        <v>0.84896954618923615</v>
      </c>
      <c r="U34" s="89">
        <f t="shared" si="5"/>
        <v>0.94580335731414866</v>
      </c>
      <c r="V34" s="89">
        <f t="shared" si="5"/>
        <v>0.72368640071020363</v>
      </c>
      <c r="W34" s="89">
        <f t="shared" si="5"/>
        <v>0.87238414786349094</v>
      </c>
      <c r="X34" s="89">
        <f t="shared" si="5"/>
        <v>0.9886731855590285</v>
      </c>
      <c r="Y34" s="89">
        <f t="shared" si="5"/>
        <v>0.96690480198644835</v>
      </c>
      <c r="Z34" s="89">
        <f t="shared" si="5"/>
        <v>0.66939487564095246</v>
      </c>
      <c r="AA34" s="89">
        <f t="shared" si="5"/>
        <v>0.89885217622080682</v>
      </c>
      <c r="AB34" s="89">
        <f t="shared" si="5"/>
        <v>0.89664006085589798</v>
      </c>
      <c r="AC34" s="89">
        <f t="shared" si="5"/>
        <v>0.94649577285205222</v>
      </c>
      <c r="AD34" s="89">
        <f t="shared" si="5"/>
        <v>0.99892383985573641</v>
      </c>
      <c r="AE34" s="89">
        <f t="shared" si="5"/>
        <v>0.99369940257644573</v>
      </c>
      <c r="AF34" s="89">
        <f t="shared" si="5"/>
        <v>0.84293276323159327</v>
      </c>
      <c r="AG34" s="89">
        <f t="shared" si="5"/>
        <v>1</v>
      </c>
      <c r="AH34" s="89">
        <f t="shared" si="5"/>
        <v>0.86182867950823749</v>
      </c>
      <c r="AI34" s="89">
        <f t="shared" si="5"/>
        <v>0.87732029339853301</v>
      </c>
      <c r="AJ34" s="89">
        <f t="shared" si="5"/>
        <v>0.72363282511442462</v>
      </c>
      <c r="AK34" s="53"/>
    </row>
    <row r="35" spans="2:37" s="37" customFormat="1" x14ac:dyDescent="0.3">
      <c r="D35" s="82" t="s">
        <v>208</v>
      </c>
      <c r="F35" s="87"/>
      <c r="G35" s="37" t="s">
        <v>63</v>
      </c>
      <c r="H35" s="37" t="s">
        <v>71</v>
      </c>
      <c r="I35" s="89">
        <f>IFERROR(SUMIFS(EB_AGR!E:E,EB_AGR!$C:$C,'Fuel Techs'!$D35)/SUMIFS(EB_AGR!E:E,EB_AGR!$C:$C,'Fuel Techs'!$E$34),0%)</f>
        <v>0.13829903081781553</v>
      </c>
      <c r="J35" s="89">
        <f>IFERROR(SUMIFS(EB_AGR!F:F,EB_AGR!$C:$C,'Fuel Techs'!$D35)/SUMIFS(EB_AGR!F:F,EB_AGR!$C:$C,'Fuel Techs'!$E$34),0%)</f>
        <v>8.1086177635300762E-3</v>
      </c>
      <c r="K35" s="89">
        <f>IFERROR(SUMIFS(EB_AGR!G:G,EB_AGR!$C:$C,'Fuel Techs'!$D35)/SUMIFS(EB_AGR!G:G,EB_AGR!$C:$C,'Fuel Techs'!$E$34),0%)</f>
        <v>9.6234309623430964E-3</v>
      </c>
      <c r="L35" s="89">
        <f>IFERROR(SUMIFS(EB_AGR!H:H,EB_AGR!$C:$C,'Fuel Techs'!$D35)/SUMIFS(EB_AGR!H:H,EB_AGR!$C:$C,'Fuel Techs'!$E$34),0%)</f>
        <v>7.060023761557932E-2</v>
      </c>
      <c r="M35" s="89">
        <f>IFERROR(SUMIFS(EB_AGR!I:I,EB_AGR!$C:$C,'Fuel Techs'!$D35)/SUMIFS(EB_AGR!I:I,EB_AGR!$C:$C,'Fuel Techs'!$E$34),0%)</f>
        <v>7.2196369215034528E-2</v>
      </c>
      <c r="N35" s="89">
        <f>IFERROR(SUMIFS(EB_AGR!J:J,EB_AGR!$C:$C,'Fuel Techs'!$D35)/SUMIFS(EB_AGR!J:J,EB_AGR!$C:$C,'Fuel Techs'!$E$34),0%)</f>
        <v>8.2664806417858394E-3</v>
      </c>
      <c r="O35" s="89">
        <f>IFERROR(SUMIFS(EB_AGR!K:K,EB_AGR!$C:$C,'Fuel Techs'!$D35)/SUMIFS(EB_AGR!K:K,EB_AGR!$C:$C,'Fuel Techs'!$E$34),0%)</f>
        <v>2.9732091476800442E-2</v>
      </c>
      <c r="P35" s="89">
        <f>IFERROR(SUMIFS(EB_AGR!L:L,EB_AGR!$C:$C,'Fuel Techs'!$D35)/SUMIFS(EB_AGR!L:L,EB_AGR!$C:$C,'Fuel Techs'!$E$34),0%)</f>
        <v>2.2889114954221771E-3</v>
      </c>
      <c r="Q35" s="89">
        <f>IFERROR(SUMIFS(EB_AGR!M:M,EB_AGR!$C:$C,'Fuel Techs'!$D35)/SUMIFS(EB_AGR!M:M,EB_AGR!$C:$C,'Fuel Techs'!$E$34),0%)</f>
        <v>0</v>
      </c>
      <c r="R35" s="89">
        <f>IFERROR(SUMIFS(EB_AGR!N:N,EB_AGR!$C:$C,'Fuel Techs'!$D35)/SUMIFS(EB_AGR!N:N,EB_AGR!$C:$C,'Fuel Techs'!$E$34),0%)</f>
        <v>0.23000387521798102</v>
      </c>
      <c r="S35" s="89">
        <f>IFERROR(SUMIFS(EB_AGR!O:O,EB_AGR!$C:$C,'Fuel Techs'!$D35)/SUMIFS(EB_AGR!O:O,EB_AGR!$C:$C,'Fuel Techs'!$E$34),0%)</f>
        <v>0</v>
      </c>
      <c r="T35" s="89">
        <f>IFERROR(SUMIFS(EB_AGR!P:P,EB_AGR!$C:$C,'Fuel Techs'!$D35)/SUMIFS(EB_AGR!P:P,EB_AGR!$C:$C,'Fuel Techs'!$E$34),0%)</f>
        <v>0.14743210723499897</v>
      </c>
      <c r="U35" s="89">
        <f>IFERROR(SUMIFS(EB_AGR!Q:Q,EB_AGR!$C:$C,'Fuel Techs'!$D35)/SUMIFS(EB_AGR!Q:Q,EB_AGR!$C:$C,'Fuel Techs'!$E$34),0%)</f>
        <v>6.735481180273172E-3</v>
      </c>
      <c r="V35" s="89">
        <f>IFERROR(SUMIFS(EB_AGR!R:R,EB_AGR!$C:$C,'Fuel Techs'!$D35)/SUMIFS(EB_AGR!R:R,EB_AGR!$C:$C,'Fuel Techs'!$E$34),0%)</f>
        <v>1.2946420314782962E-4</v>
      </c>
      <c r="W35" s="89">
        <f>IFERROR(SUMIFS(EB_AGR!S:S,EB_AGR!$C:$C,'Fuel Techs'!$D35)/SUMIFS(EB_AGR!S:S,EB_AGR!$C:$C,'Fuel Techs'!$E$34),0%)</f>
        <v>5.0851294792386235E-3</v>
      </c>
      <c r="X35" s="89">
        <f>IFERROR(SUMIFS(EB_AGR!T:T,EB_AGR!$C:$C,'Fuel Techs'!$D35)/SUMIFS(EB_AGR!T:T,EB_AGR!$C:$C,'Fuel Techs'!$E$34),0%)</f>
        <v>7.0127478437632422E-3</v>
      </c>
      <c r="Y35" s="89">
        <f>IFERROR(SUMIFS(EB_AGR!U:U,EB_AGR!$C:$C,'Fuel Techs'!$D35)/SUMIFS(EB_AGR!U:U,EB_AGR!$C:$C,'Fuel Techs'!$E$34),0%)</f>
        <v>2.0017044737174364E-2</v>
      </c>
      <c r="Z35" s="89">
        <f>IFERROR(SUMIFS(EB_AGR!V:V,EB_AGR!$C:$C,'Fuel Techs'!$D35)/SUMIFS(EB_AGR!V:V,EB_AGR!$C:$C,'Fuel Techs'!$E$34),0%)</f>
        <v>0.32965949017274127</v>
      </c>
      <c r="AA35" s="89">
        <f>IFERROR(SUMIFS(EB_AGR!W:W,EB_AGR!$C:$C,'Fuel Techs'!$D35)/SUMIFS(EB_AGR!W:W,EB_AGR!$C:$C,'Fuel Techs'!$E$34),0%)</f>
        <v>0</v>
      </c>
      <c r="AB35" s="89">
        <f>IFERROR(SUMIFS(EB_AGR!X:X,EB_AGR!$C:$C,'Fuel Techs'!$D35)/SUMIFS(EB_AGR!X:X,EB_AGR!$C:$C,'Fuel Techs'!$E$34),0%)</f>
        <v>0</v>
      </c>
      <c r="AC35" s="89">
        <f>IFERROR(SUMIFS(EB_AGR!Y:Y,EB_AGR!$C:$C,'Fuel Techs'!$D35)/SUMIFS(EB_AGR!Y:Y,EB_AGR!$C:$C,'Fuel Techs'!$E$34),0%)</f>
        <v>3.0905518366803209E-2</v>
      </c>
      <c r="AD35" s="89">
        <f>IFERROR(SUMIFS(EB_AGR!Z:Z,EB_AGR!$C:$C,'Fuel Techs'!$D35)/SUMIFS(EB_AGR!Z:Z,EB_AGR!$C:$C,'Fuel Techs'!$E$34),0%)</f>
        <v>1.0761601442636302E-3</v>
      </c>
      <c r="AE35" s="89">
        <f>IFERROR(SUMIFS(EB_AGR!AA:AA,EB_AGR!$C:$C,'Fuel Techs'!$D35)/SUMIFS(EB_AGR!AA:AA,EB_AGR!$C:$C,'Fuel Techs'!$E$34),0%)</f>
        <v>0</v>
      </c>
      <c r="AF35" s="89">
        <f>IFERROR(SUMIFS(EB_AGR!AB:AB,EB_AGR!$C:$C,'Fuel Techs'!$D35)/SUMIFS(EB_AGR!AB:AB,EB_AGR!$C:$C,'Fuel Techs'!$E$34),0%)</f>
        <v>0</v>
      </c>
      <c r="AG35" s="89">
        <f>IFERROR(SUMIFS(EB_AGR!AC:AC,EB_AGR!$C:$C,'Fuel Techs'!$D35)/SUMIFS(EB_AGR!AC:AC,EB_AGR!$C:$C,'Fuel Techs'!$E$34),0%)</f>
        <v>0</v>
      </c>
      <c r="AH35" s="89">
        <f>IFERROR(SUMIFS(EB_AGR!AD:AD,EB_AGR!$C:$C,'Fuel Techs'!$D35)/SUMIFS(EB_AGR!AD:AD,EB_AGR!$C:$C,'Fuel Techs'!$E$34),0%)</f>
        <v>0</v>
      </c>
      <c r="AI35" s="89">
        <f>IFERROR(SUMIFS(EB_AGR!AE:AE,EB_AGR!$C:$C,'Fuel Techs'!$D35)/SUMIFS(EB_AGR!AE:AE,EB_AGR!$C:$C,'Fuel Techs'!$E$34),0%)</f>
        <v>0</v>
      </c>
      <c r="AJ35" s="89">
        <f>IFERROR(SUMIFS(EB_AGR!AF:AF,EB_AGR!$C:$C,'Fuel Techs'!$D35)/SUMIFS(EB_AGR!AF:AF,EB_AGR!$C:$C,'Fuel Techs'!$E$34),0%)</f>
        <v>0.27629613044620216</v>
      </c>
      <c r="AK35" s="53"/>
    </row>
    <row r="36" spans="2:37" s="37" customFormat="1" x14ac:dyDescent="0.3">
      <c r="D36" s="82" t="s">
        <v>210</v>
      </c>
      <c r="F36" s="87"/>
      <c r="G36" s="37" t="s">
        <v>63</v>
      </c>
      <c r="H36" s="37" t="s">
        <v>71</v>
      </c>
      <c r="I36" s="89">
        <f>IFERROR(SUMIFS(EB_AGR!E:E,EB_AGR!$C:$C,'Fuel Techs'!$D36)/SUMIFS(EB_AGR!E:E,EB_AGR!$C:$C,'Fuel Techs'!$E$34),0%)</f>
        <v>2.5590765545028859E-3</v>
      </c>
      <c r="J36" s="89">
        <f>IFERROR(SUMIFS(EB_AGR!F:F,EB_AGR!$C:$C,'Fuel Techs'!$D36)/SUMIFS(EB_AGR!F:F,EB_AGR!$C:$C,'Fuel Techs'!$E$34),0%)</f>
        <v>1.0607203469734111E-4</v>
      </c>
      <c r="K36" s="89">
        <f>IFERROR(SUMIFS(EB_AGR!G:G,EB_AGR!$C:$C,'Fuel Techs'!$D36)/SUMIFS(EB_AGR!G:G,EB_AGR!$C:$C,'Fuel Techs'!$E$34),0%)</f>
        <v>6.5271966527196655E-3</v>
      </c>
      <c r="L36" s="89">
        <f>IFERROR(SUMIFS(EB_AGR!H:H,EB_AGR!$C:$C,'Fuel Techs'!$D36)/SUMIFS(EB_AGR!H:H,EB_AGR!$C:$C,'Fuel Techs'!$E$34),0%)</f>
        <v>8.073764140709748E-2</v>
      </c>
      <c r="M36" s="89">
        <f>IFERROR(SUMIFS(EB_AGR!I:I,EB_AGR!$C:$C,'Fuel Techs'!$D36)/SUMIFS(EB_AGR!I:I,EB_AGR!$C:$C,'Fuel Techs'!$E$34),0%)</f>
        <v>0</v>
      </c>
      <c r="N36" s="89">
        <f>IFERROR(SUMIFS(EB_AGR!J:J,EB_AGR!$C:$C,'Fuel Techs'!$D36)/SUMIFS(EB_AGR!J:J,EB_AGR!$C:$C,'Fuel Techs'!$E$34),0%)</f>
        <v>1.2905476107429371E-3</v>
      </c>
      <c r="O36" s="89">
        <f>IFERROR(SUMIFS(EB_AGR!K:K,EB_AGR!$C:$C,'Fuel Techs'!$D36)/SUMIFS(EB_AGR!K:K,EB_AGR!$C:$C,'Fuel Techs'!$E$34),0%)</f>
        <v>8.5253308894051452E-6</v>
      </c>
      <c r="P36" s="89">
        <f>IFERROR(SUMIFS(EB_AGR!L:L,EB_AGR!$C:$C,'Fuel Techs'!$D36)/SUMIFS(EB_AGR!L:L,EB_AGR!$C:$C,'Fuel Techs'!$E$34),0%)</f>
        <v>0</v>
      </c>
      <c r="Q36" s="89">
        <f>IFERROR(SUMIFS(EB_AGR!M:M,EB_AGR!$C:$C,'Fuel Techs'!$D36)/SUMIFS(EB_AGR!M:M,EB_AGR!$C:$C,'Fuel Techs'!$E$34),0%)</f>
        <v>0</v>
      </c>
      <c r="R36" s="89">
        <f>IFERROR(SUMIFS(EB_AGR!N:N,EB_AGR!$C:$C,'Fuel Techs'!$D36)/SUMIFS(EB_AGR!N:N,EB_AGR!$C:$C,'Fuel Techs'!$E$34),0%)</f>
        <v>2.6932764968029452E-3</v>
      </c>
      <c r="S36" s="89">
        <f>IFERROR(SUMIFS(EB_AGR!O:O,EB_AGR!$C:$C,'Fuel Techs'!$D36)/SUMIFS(EB_AGR!O:O,EB_AGR!$C:$C,'Fuel Techs'!$E$34),0%)</f>
        <v>0</v>
      </c>
      <c r="T36" s="89">
        <f>IFERROR(SUMIFS(EB_AGR!P:P,EB_AGR!$C:$C,'Fuel Techs'!$D36)/SUMIFS(EB_AGR!P:P,EB_AGR!$C:$C,'Fuel Techs'!$E$34),0%)</f>
        <v>2.969703683633796E-3</v>
      </c>
      <c r="U36" s="89">
        <f>IFERROR(SUMIFS(EB_AGR!Q:Q,EB_AGR!$C:$C,'Fuel Techs'!$D36)/SUMIFS(EB_AGR!Q:Q,EB_AGR!$C:$C,'Fuel Techs'!$E$34),0%)</f>
        <v>4.5876342404337393E-4</v>
      </c>
      <c r="V36" s="89">
        <f>IFERROR(SUMIFS(EB_AGR!R:R,EB_AGR!$C:$C,'Fuel Techs'!$D36)/SUMIFS(EB_AGR!R:R,EB_AGR!$C:$C,'Fuel Techs'!$E$34),0%)</f>
        <v>0.24457637463241413</v>
      </c>
      <c r="W36" s="89">
        <f>IFERROR(SUMIFS(EB_AGR!S:S,EB_AGR!$C:$C,'Fuel Techs'!$D36)/SUMIFS(EB_AGR!S:S,EB_AGR!$C:$C,'Fuel Techs'!$E$34),0%)</f>
        <v>2.6702734708330673E-4</v>
      </c>
      <c r="X36" s="89">
        <f>IFERROR(SUMIFS(EB_AGR!T:T,EB_AGR!$C:$C,'Fuel Techs'!$D36)/SUMIFS(EB_AGR!T:T,EB_AGR!$C:$C,'Fuel Techs'!$E$34),0%)</f>
        <v>7.6467945593056708E-5</v>
      </c>
      <c r="Y36" s="89">
        <f>IFERROR(SUMIFS(EB_AGR!U:U,EB_AGR!$C:$C,'Fuel Techs'!$D36)/SUMIFS(EB_AGR!U:U,EB_AGR!$C:$C,'Fuel Techs'!$E$34),0%)</f>
        <v>1.3309625015782164E-3</v>
      </c>
      <c r="Z36" s="89">
        <f>IFERROR(SUMIFS(EB_AGR!V:V,EB_AGR!$C:$C,'Fuel Techs'!$D36)/SUMIFS(EB_AGR!V:V,EB_AGR!$C:$C,'Fuel Techs'!$E$34),0%)</f>
        <v>1.385843204069488E-4</v>
      </c>
      <c r="AA36" s="89">
        <f>IFERROR(SUMIFS(EB_AGR!W:W,EB_AGR!$C:$C,'Fuel Techs'!$D36)/SUMIFS(EB_AGR!W:W,EB_AGR!$C:$C,'Fuel Techs'!$E$34),0%)</f>
        <v>0</v>
      </c>
      <c r="AB36" s="89">
        <f>IFERROR(SUMIFS(EB_AGR!X:X,EB_AGR!$C:$C,'Fuel Techs'!$D36)/SUMIFS(EB_AGR!X:X,EB_AGR!$C:$C,'Fuel Techs'!$E$34),0%)</f>
        <v>0.10335993914410205</v>
      </c>
      <c r="AC36" s="89">
        <f>IFERROR(SUMIFS(EB_AGR!Y:Y,EB_AGR!$C:$C,'Fuel Techs'!$D36)/SUMIFS(EB_AGR!Y:Y,EB_AGR!$C:$C,'Fuel Techs'!$E$34),0%)</f>
        <v>2.9973024278149663E-4</v>
      </c>
      <c r="AD36" s="89">
        <f>IFERROR(SUMIFS(EB_AGR!Z:Z,EB_AGR!$C:$C,'Fuel Techs'!$D36)/SUMIFS(EB_AGR!Z:Z,EB_AGR!$C:$C,'Fuel Techs'!$E$34),0%)</f>
        <v>0</v>
      </c>
      <c r="AE36" s="89">
        <f>IFERROR(SUMIFS(EB_AGR!AA:AA,EB_AGR!$C:$C,'Fuel Techs'!$D36)/SUMIFS(EB_AGR!AA:AA,EB_AGR!$C:$C,'Fuel Techs'!$E$34),0%)</f>
        <v>3.2817500249304218E-3</v>
      </c>
      <c r="AF36" s="89">
        <f>IFERROR(SUMIFS(EB_AGR!AB:AB,EB_AGR!$C:$C,'Fuel Techs'!$D36)/SUMIFS(EB_AGR!AB:AB,EB_AGR!$C:$C,'Fuel Techs'!$E$34),0%)</f>
        <v>0</v>
      </c>
      <c r="AG36" s="89">
        <f>IFERROR(SUMIFS(EB_AGR!AC:AC,EB_AGR!$C:$C,'Fuel Techs'!$D36)/SUMIFS(EB_AGR!AC:AC,EB_AGR!$C:$C,'Fuel Techs'!$E$34),0%)</f>
        <v>0</v>
      </c>
      <c r="AH36" s="89">
        <f>IFERROR(SUMIFS(EB_AGR!AD:AD,EB_AGR!$C:$C,'Fuel Techs'!$D36)/SUMIFS(EB_AGR!AD:AD,EB_AGR!$C:$C,'Fuel Techs'!$E$34),0%)</f>
        <v>0</v>
      </c>
      <c r="AI36" s="89">
        <f>IFERROR(SUMIFS(EB_AGR!AE:AE,EB_AGR!$C:$C,'Fuel Techs'!$D36)/SUMIFS(EB_AGR!AE:AE,EB_AGR!$C:$C,'Fuel Techs'!$E$34),0%)</f>
        <v>9.9990220048899764E-2</v>
      </c>
      <c r="AJ36" s="89">
        <f>IFERROR(SUMIFS(EB_AGR!AF:AF,EB_AGR!$C:$C,'Fuel Techs'!$D36)/SUMIFS(EB_AGR!AF:AF,EB_AGR!$C:$C,'Fuel Techs'!$E$34),0%)</f>
        <v>0</v>
      </c>
      <c r="AK36" s="53"/>
    </row>
    <row r="37" spans="2:37" s="37" customFormat="1" x14ac:dyDescent="0.3">
      <c r="D37" s="82" t="s">
        <v>261</v>
      </c>
      <c r="F37" s="87"/>
      <c r="G37" s="37" t="s">
        <v>63</v>
      </c>
      <c r="H37" s="37" t="s">
        <v>71</v>
      </c>
      <c r="I37" s="89">
        <f>IFERROR(SUMIFS(EB_AGR!E:E,EB_AGR!$C:$C,'Fuel Techs'!$D37)/SUMIFS(EB_AGR!E:E,EB_AGR!$C:$C,'Fuel Techs'!$E$34),0%)</f>
        <v>3.7569421757595559E-3</v>
      </c>
      <c r="J37" s="89">
        <f>IFERROR(SUMIFS(EB_AGR!F:F,EB_AGR!$C:$C,'Fuel Techs'!$D37)/SUMIFS(EB_AGR!F:F,EB_AGR!$C:$C,'Fuel Techs'!$E$34),0%)</f>
        <v>1.6606166320950404E-2</v>
      </c>
      <c r="K37" s="89">
        <f>IFERROR(SUMIFS(EB_AGR!G:G,EB_AGR!$C:$C,'Fuel Techs'!$D37)/SUMIFS(EB_AGR!G:G,EB_AGR!$C:$C,'Fuel Techs'!$E$34),0%)</f>
        <v>0</v>
      </c>
      <c r="L37" s="89">
        <f>IFERROR(SUMIFS(EB_AGR!H:H,EB_AGR!$C:$C,'Fuel Techs'!$D37)/SUMIFS(EB_AGR!H:H,EB_AGR!$C:$C,'Fuel Techs'!$E$34),0%)</f>
        <v>1.7382096182654065E-2</v>
      </c>
      <c r="M37" s="89">
        <f>IFERROR(SUMIFS(EB_AGR!I:I,EB_AGR!$C:$C,'Fuel Techs'!$D37)/SUMIFS(EB_AGR!I:I,EB_AGR!$C:$C,'Fuel Techs'!$E$34),0%)</f>
        <v>0</v>
      </c>
      <c r="N37" s="89">
        <f>IFERROR(SUMIFS(EB_AGR!J:J,EB_AGR!$C:$C,'Fuel Techs'!$D37)/SUMIFS(EB_AGR!J:J,EB_AGR!$C:$C,'Fuel Techs'!$E$34),0%)</f>
        <v>1.1021974189047786E-2</v>
      </c>
      <c r="O37" s="89">
        <f>IFERROR(SUMIFS(EB_AGR!K:K,EB_AGR!$C:$C,'Fuel Techs'!$D37)/SUMIFS(EB_AGR!K:K,EB_AGR!$C:$C,'Fuel Techs'!$E$34),0%)</f>
        <v>8.0990643449348882E-4</v>
      </c>
      <c r="P37" s="89">
        <f>IFERROR(SUMIFS(EB_AGR!L:L,EB_AGR!$C:$C,'Fuel Techs'!$D37)/SUMIFS(EB_AGR!L:L,EB_AGR!$C:$C,'Fuel Techs'!$E$34),0%)</f>
        <v>1.816596424938236E-5</v>
      </c>
      <c r="Q37" s="89">
        <f>IFERROR(SUMIFS(EB_AGR!M:M,EB_AGR!$C:$C,'Fuel Techs'!$D37)/SUMIFS(EB_AGR!M:M,EB_AGR!$C:$C,'Fuel Techs'!$E$34),0%)</f>
        <v>1.3057860832220995E-3</v>
      </c>
      <c r="R37" s="89">
        <f>IFERROR(SUMIFS(EB_AGR!N:N,EB_AGR!$C:$C,'Fuel Techs'!$D37)/SUMIFS(EB_AGR!N:N,EB_AGR!$C:$C,'Fuel Techs'!$E$34),0%)</f>
        <v>3.580217012206937E-2</v>
      </c>
      <c r="S37" s="89">
        <f>IFERROR(SUMIFS(EB_AGR!O:O,EB_AGR!$C:$C,'Fuel Techs'!$D37)/SUMIFS(EB_AGR!O:O,EB_AGR!$C:$C,'Fuel Techs'!$E$34),0%)</f>
        <v>0.24165068447853977</v>
      </c>
      <c r="T37" s="89">
        <f>IFERROR(SUMIFS(EB_AGR!P:P,EB_AGR!$C:$C,'Fuel Techs'!$D37)/SUMIFS(EB_AGR!P:P,EB_AGR!$C:$C,'Fuel Techs'!$E$34),0%)</f>
        <v>6.2864289213101924E-4</v>
      </c>
      <c r="U37" s="89">
        <f>IFERROR(SUMIFS(EB_AGR!Q:Q,EB_AGR!$C:$C,'Fuel Techs'!$D37)/SUMIFS(EB_AGR!Q:Q,EB_AGR!$C:$C,'Fuel Techs'!$E$34),0%)</f>
        <v>3.2947554999478673E-3</v>
      </c>
      <c r="V37" s="89">
        <f>IFERROR(SUMIFS(EB_AGR!R:R,EB_AGR!$C:$C,'Fuel Techs'!$D37)/SUMIFS(EB_AGR!R:R,EB_AGR!$C:$C,'Fuel Techs'!$E$34),0%)</f>
        <v>3.1607760454234406E-2</v>
      </c>
      <c r="W37" s="89">
        <f>IFERROR(SUMIFS(EB_AGR!S:S,EB_AGR!$C:$C,'Fuel Techs'!$D37)/SUMIFS(EB_AGR!S:S,EB_AGR!$C:$C,'Fuel Techs'!$E$34),0%)</f>
        <v>3.5758444739851509E-3</v>
      </c>
      <c r="X37" s="89">
        <f>IFERROR(SUMIFS(EB_AGR!T:T,EB_AGR!$C:$C,'Fuel Techs'!$D37)/SUMIFS(EB_AGR!T:T,EB_AGR!$C:$C,'Fuel Techs'!$E$34),0%)</f>
        <v>4.2375986516152257E-3</v>
      </c>
      <c r="Y37" s="89">
        <f>IFERROR(SUMIFS(EB_AGR!U:U,EB_AGR!$C:$C,'Fuel Techs'!$D37)/SUMIFS(EB_AGR!U:U,EB_AGR!$C:$C,'Fuel Techs'!$E$34),0%)</f>
        <v>1.1747190774799042E-2</v>
      </c>
      <c r="Z37" s="89">
        <f>IFERROR(SUMIFS(EB_AGR!V:V,EB_AGR!$C:$C,'Fuel Techs'!$D37)/SUMIFS(EB_AGR!V:V,EB_AGR!$C:$C,'Fuel Techs'!$E$34),0%)</f>
        <v>8.0704986589928999E-4</v>
      </c>
      <c r="AA37" s="89">
        <f>IFERROR(SUMIFS(EB_AGR!W:W,EB_AGR!$C:$C,'Fuel Techs'!$D37)/SUMIFS(EB_AGR!W:W,EB_AGR!$C:$C,'Fuel Techs'!$E$34),0%)</f>
        <v>0.10114782377919321</v>
      </c>
      <c r="AB37" s="89">
        <f>IFERROR(SUMIFS(EB_AGR!X:X,EB_AGR!$C:$C,'Fuel Techs'!$D37)/SUMIFS(EB_AGR!X:X,EB_AGR!$C:$C,'Fuel Techs'!$E$34),0%)</f>
        <v>0</v>
      </c>
      <c r="AC37" s="89">
        <f>IFERROR(SUMIFS(EB_AGR!Y:Y,EB_AGR!$C:$C,'Fuel Techs'!$D37)/SUMIFS(EB_AGR!Y:Y,EB_AGR!$C:$C,'Fuel Techs'!$E$34),0%)</f>
        <v>2.2298978538363091E-2</v>
      </c>
      <c r="AD37" s="89">
        <f>IFERROR(SUMIFS(EB_AGR!Z:Z,EB_AGR!$C:$C,'Fuel Techs'!$D37)/SUMIFS(EB_AGR!Z:Z,EB_AGR!$C:$C,'Fuel Techs'!$E$34),0%)</f>
        <v>0</v>
      </c>
      <c r="AE37" s="89">
        <f>IFERROR(SUMIFS(EB_AGR!AA:AA,EB_AGR!$C:$C,'Fuel Techs'!$D37)/SUMIFS(EB_AGR!AA:AA,EB_AGR!$C:$C,'Fuel Techs'!$E$34),0%)</f>
        <v>3.0188473986238413E-3</v>
      </c>
      <c r="AF37" s="89">
        <f>IFERROR(SUMIFS(EB_AGR!AB:AB,EB_AGR!$C:$C,'Fuel Techs'!$D37)/SUMIFS(EB_AGR!AB:AB,EB_AGR!$C:$C,'Fuel Techs'!$E$34),0%)</f>
        <v>0.1570672367684067</v>
      </c>
      <c r="AG37" s="89">
        <f>IFERROR(SUMIFS(EB_AGR!AC:AC,EB_AGR!$C:$C,'Fuel Techs'!$D37)/SUMIFS(EB_AGR!AC:AC,EB_AGR!$C:$C,'Fuel Techs'!$E$34),0%)</f>
        <v>0</v>
      </c>
      <c r="AH37" s="89">
        <f>IFERROR(SUMIFS(EB_AGR!AD:AD,EB_AGR!$C:$C,'Fuel Techs'!$D37)/SUMIFS(EB_AGR!AD:AD,EB_AGR!$C:$C,'Fuel Techs'!$E$34),0%)</f>
        <v>0.1346871733612065</v>
      </c>
      <c r="AI37" s="89">
        <f>IFERROR(SUMIFS(EB_AGR!AE:AE,EB_AGR!$C:$C,'Fuel Techs'!$D37)/SUMIFS(EB_AGR!AE:AE,EB_AGR!$C:$C,'Fuel Techs'!$E$34),0%)</f>
        <v>2.2689486552567237E-2</v>
      </c>
      <c r="AJ37" s="89">
        <f>IFERROR(SUMIFS(EB_AGR!AF:AF,EB_AGR!$C:$C,'Fuel Techs'!$D37)/SUMIFS(EB_AGR!AF:AF,EB_AGR!$C:$C,'Fuel Techs'!$E$34),0%)</f>
        <v>7.1044439373258879E-5</v>
      </c>
      <c r="AK37" s="53"/>
    </row>
    <row r="38" spans="2:37" s="37" customFormat="1" x14ac:dyDescent="0.3">
      <c r="D38" s="82" t="s">
        <v>251</v>
      </c>
      <c r="F38" s="87"/>
      <c r="G38" s="37" t="s">
        <v>63</v>
      </c>
      <c r="H38" s="37" t="s">
        <v>71</v>
      </c>
      <c r="I38" s="89">
        <f>IFERROR(SUMIFS(EB_AGR!E:E,EB_AGR!$C:$C,'Fuel Techs'!$D38)/SUMIFS(EB_AGR!E:E,EB_AGR!$C:$C,'Fuel Techs'!$E$34),0%)</f>
        <v>0</v>
      </c>
      <c r="J38" s="89">
        <f>IFERROR(SUMIFS(EB_AGR!F:F,EB_AGR!$C:$C,'Fuel Techs'!$D38)/SUMIFS(EB_AGR!F:F,EB_AGR!$C:$C,'Fuel Techs'!$E$34),0%)</f>
        <v>0</v>
      </c>
      <c r="K38" s="89">
        <f>IFERROR(SUMIFS(EB_AGR!G:G,EB_AGR!$C:$C,'Fuel Techs'!$D38)/SUMIFS(EB_AGR!G:G,EB_AGR!$C:$C,'Fuel Techs'!$E$34),0%)</f>
        <v>0</v>
      </c>
      <c r="L38" s="89">
        <f>IFERROR(SUMIFS(EB_AGR!H:H,EB_AGR!$C:$C,'Fuel Techs'!$D38)/SUMIFS(EB_AGR!H:H,EB_AGR!$C:$C,'Fuel Techs'!$E$34),0%)</f>
        <v>0</v>
      </c>
      <c r="M38" s="89">
        <f>IFERROR(SUMIFS(EB_AGR!I:I,EB_AGR!$C:$C,'Fuel Techs'!$D38)/SUMIFS(EB_AGR!I:I,EB_AGR!$C:$C,'Fuel Techs'!$E$34),0%)</f>
        <v>0</v>
      </c>
      <c r="N38" s="89">
        <f>IFERROR(SUMIFS(EB_AGR!J:J,EB_AGR!$C:$C,'Fuel Techs'!$D38)/SUMIFS(EB_AGR!J:J,EB_AGR!$C:$C,'Fuel Techs'!$E$34),0%)</f>
        <v>0</v>
      </c>
      <c r="O38" s="89">
        <f>IFERROR(SUMIFS(EB_AGR!K:K,EB_AGR!$C:$C,'Fuel Techs'!$D38)/SUMIFS(EB_AGR!K:K,EB_AGR!$C:$C,'Fuel Techs'!$E$34),0%)</f>
        <v>0</v>
      </c>
      <c r="P38" s="89">
        <f>IFERROR(SUMIFS(EB_AGR!L:L,EB_AGR!$C:$C,'Fuel Techs'!$D38)/SUMIFS(EB_AGR!L:L,EB_AGR!$C:$C,'Fuel Techs'!$E$34),0%)</f>
        <v>0</v>
      </c>
      <c r="Q38" s="89">
        <f>IFERROR(SUMIFS(EB_AGR!M:M,EB_AGR!$C:$C,'Fuel Techs'!$D38)/SUMIFS(EB_AGR!M:M,EB_AGR!$C:$C,'Fuel Techs'!$E$34),0%)</f>
        <v>0</v>
      </c>
      <c r="R38" s="89">
        <f>IFERROR(SUMIFS(EB_AGR!N:N,EB_AGR!$C:$C,'Fuel Techs'!$D38)/SUMIFS(EB_AGR!N:N,EB_AGR!$C:$C,'Fuel Techs'!$E$34),0%)</f>
        <v>0</v>
      </c>
      <c r="S38" s="89">
        <f>IFERROR(SUMIFS(EB_AGR!O:O,EB_AGR!$C:$C,'Fuel Techs'!$D38)/SUMIFS(EB_AGR!O:O,EB_AGR!$C:$C,'Fuel Techs'!$E$34),0%)</f>
        <v>0</v>
      </c>
      <c r="T38" s="89">
        <f>IFERROR(SUMIFS(EB_AGR!P:P,EB_AGR!$C:$C,'Fuel Techs'!$D38)/SUMIFS(EB_AGR!P:P,EB_AGR!$C:$C,'Fuel Techs'!$E$34),0%)</f>
        <v>0</v>
      </c>
      <c r="U38" s="89">
        <f>IFERROR(SUMIFS(EB_AGR!Q:Q,EB_AGR!$C:$C,'Fuel Techs'!$D38)/SUMIFS(EB_AGR!Q:Q,EB_AGR!$C:$C,'Fuel Techs'!$E$34),0%)</f>
        <v>0</v>
      </c>
      <c r="V38" s="89">
        <f>IFERROR(SUMIFS(EB_AGR!R:R,EB_AGR!$C:$C,'Fuel Techs'!$D38)/SUMIFS(EB_AGR!R:R,EB_AGR!$C:$C,'Fuel Techs'!$E$34),0%)</f>
        <v>0</v>
      </c>
      <c r="W38" s="89">
        <f>IFERROR(SUMIFS(EB_AGR!S:S,EB_AGR!$C:$C,'Fuel Techs'!$D38)/SUMIFS(EB_AGR!S:S,EB_AGR!$C:$C,'Fuel Techs'!$E$34),0%)</f>
        <v>0</v>
      </c>
      <c r="X38" s="89">
        <f>IFERROR(SUMIFS(EB_AGR!T:T,EB_AGR!$C:$C,'Fuel Techs'!$D38)/SUMIFS(EB_AGR!T:T,EB_AGR!$C:$C,'Fuel Techs'!$E$34),0%)</f>
        <v>0</v>
      </c>
      <c r="Y38" s="89">
        <f>IFERROR(SUMIFS(EB_AGR!U:U,EB_AGR!$C:$C,'Fuel Techs'!$D38)/SUMIFS(EB_AGR!U:U,EB_AGR!$C:$C,'Fuel Techs'!$E$34),0%)</f>
        <v>0</v>
      </c>
      <c r="Z38" s="89">
        <f>IFERROR(SUMIFS(EB_AGR!V:V,EB_AGR!$C:$C,'Fuel Techs'!$D38)/SUMIFS(EB_AGR!V:V,EB_AGR!$C:$C,'Fuel Techs'!$E$34),0%)</f>
        <v>0</v>
      </c>
      <c r="AA38" s="89">
        <f>IFERROR(SUMIFS(EB_AGR!W:W,EB_AGR!$C:$C,'Fuel Techs'!$D38)/SUMIFS(EB_AGR!W:W,EB_AGR!$C:$C,'Fuel Techs'!$E$34),0%)</f>
        <v>0</v>
      </c>
      <c r="AB38" s="89">
        <f>IFERROR(SUMIFS(EB_AGR!X:X,EB_AGR!$C:$C,'Fuel Techs'!$D38)/SUMIFS(EB_AGR!X:X,EB_AGR!$C:$C,'Fuel Techs'!$E$34),0%)</f>
        <v>0</v>
      </c>
      <c r="AC38" s="89">
        <f>IFERROR(SUMIFS(EB_AGR!Y:Y,EB_AGR!$C:$C,'Fuel Techs'!$D38)/SUMIFS(EB_AGR!Y:Y,EB_AGR!$C:$C,'Fuel Techs'!$E$34),0%)</f>
        <v>0</v>
      </c>
      <c r="AD38" s="89">
        <f>IFERROR(SUMIFS(EB_AGR!Z:Z,EB_AGR!$C:$C,'Fuel Techs'!$D38)/SUMIFS(EB_AGR!Z:Z,EB_AGR!$C:$C,'Fuel Techs'!$E$34),0%)</f>
        <v>0</v>
      </c>
      <c r="AE38" s="89">
        <f>IFERROR(SUMIFS(EB_AGR!AA:AA,EB_AGR!$C:$C,'Fuel Techs'!$D38)/SUMIFS(EB_AGR!AA:AA,EB_AGR!$C:$C,'Fuel Techs'!$E$34),0%)</f>
        <v>0</v>
      </c>
      <c r="AF38" s="89">
        <f>IFERROR(SUMIFS(EB_AGR!AB:AB,EB_AGR!$C:$C,'Fuel Techs'!$D38)/SUMIFS(EB_AGR!AB:AB,EB_AGR!$C:$C,'Fuel Techs'!$E$34),0%)</f>
        <v>0</v>
      </c>
      <c r="AG38" s="89">
        <f>IFERROR(SUMIFS(EB_AGR!AC:AC,EB_AGR!$C:$C,'Fuel Techs'!$D38)/SUMIFS(EB_AGR!AC:AC,EB_AGR!$C:$C,'Fuel Techs'!$E$34),0%)</f>
        <v>0</v>
      </c>
      <c r="AH38" s="89">
        <f>IFERROR(SUMIFS(EB_AGR!AD:AD,EB_AGR!$C:$C,'Fuel Techs'!$D38)/SUMIFS(EB_AGR!AD:AD,EB_AGR!$C:$C,'Fuel Techs'!$E$34),0%)</f>
        <v>3.4841471305559701E-3</v>
      </c>
      <c r="AI38" s="89">
        <f>IFERROR(SUMIFS(EB_AGR!AE:AE,EB_AGR!$C:$C,'Fuel Techs'!$D38)/SUMIFS(EB_AGR!AE:AE,EB_AGR!$C:$C,'Fuel Techs'!$E$34),0%)</f>
        <v>0</v>
      </c>
      <c r="AJ38" s="89">
        <f>IFERROR(SUMIFS(EB_AGR!AF:AF,EB_AGR!$C:$C,'Fuel Techs'!$D38)/SUMIFS(EB_AGR!AF:AF,EB_AGR!$C:$C,'Fuel Techs'!$E$34),0%)</f>
        <v>0</v>
      </c>
      <c r="AK38" s="53"/>
    </row>
    <row r="39" spans="2:37" s="37" customFormat="1" x14ac:dyDescent="0.3">
      <c r="D39" s="82" t="s">
        <v>213</v>
      </c>
      <c r="F39" s="87"/>
      <c r="G39" s="37" t="s">
        <v>63</v>
      </c>
      <c r="H39" s="37" t="s">
        <v>71</v>
      </c>
      <c r="I39" s="89">
        <f>IFERROR(SUMIFS(EB_AGR!E:E,EB_AGR!$C:$C,'Fuel Techs'!$D39)/SUMIFS(EB_AGR!E:E,EB_AGR!$C:$C,'Fuel Techs'!$E$34),0%)</f>
        <v>0</v>
      </c>
      <c r="J39" s="89">
        <f>IFERROR(SUMIFS(EB_AGR!F:F,EB_AGR!$C:$C,'Fuel Techs'!$D39)/SUMIFS(EB_AGR!F:F,EB_AGR!$C:$C,'Fuel Techs'!$E$34),0%)</f>
        <v>0</v>
      </c>
      <c r="K39" s="89">
        <f>IFERROR(SUMIFS(EB_AGR!G:G,EB_AGR!$C:$C,'Fuel Techs'!$D39)/SUMIFS(EB_AGR!G:G,EB_AGR!$C:$C,'Fuel Techs'!$E$34),0%)</f>
        <v>0</v>
      </c>
      <c r="L39" s="89">
        <f>IFERROR(SUMIFS(EB_AGR!H:H,EB_AGR!$C:$C,'Fuel Techs'!$D39)/SUMIFS(EB_AGR!H:H,EB_AGR!$C:$C,'Fuel Techs'!$E$34),0%)</f>
        <v>0</v>
      </c>
      <c r="M39" s="89">
        <f>IFERROR(SUMIFS(EB_AGR!I:I,EB_AGR!$C:$C,'Fuel Techs'!$D39)/SUMIFS(EB_AGR!I:I,EB_AGR!$C:$C,'Fuel Techs'!$E$34),0%)</f>
        <v>0</v>
      </c>
      <c r="N39" s="89">
        <f>IFERROR(SUMIFS(EB_AGR!J:J,EB_AGR!$C:$C,'Fuel Techs'!$D39)/SUMIFS(EB_AGR!J:J,EB_AGR!$C:$C,'Fuel Techs'!$E$34),0%)</f>
        <v>0</v>
      </c>
      <c r="O39" s="89">
        <f>IFERROR(SUMIFS(EB_AGR!K:K,EB_AGR!$C:$C,'Fuel Techs'!$D39)/SUMIFS(EB_AGR!K:K,EB_AGR!$C:$C,'Fuel Techs'!$E$34),0%)</f>
        <v>0</v>
      </c>
      <c r="P39" s="89">
        <f>IFERROR(SUMIFS(EB_AGR!L:L,EB_AGR!$C:$C,'Fuel Techs'!$D39)/SUMIFS(EB_AGR!L:L,EB_AGR!$C:$C,'Fuel Techs'!$E$34),0%)</f>
        <v>0.1733032989391077</v>
      </c>
      <c r="Q39" s="89">
        <f>IFERROR(SUMIFS(EB_AGR!M:M,EB_AGR!$C:$C,'Fuel Techs'!$D39)/SUMIFS(EB_AGR!M:M,EB_AGR!$C:$C,'Fuel Techs'!$E$34),0%)</f>
        <v>0.24461000522314433</v>
      </c>
      <c r="R39" s="89">
        <f>IFERROR(SUMIFS(EB_AGR!N:N,EB_AGR!$C:$C,'Fuel Techs'!$D39)/SUMIFS(EB_AGR!N:N,EB_AGR!$C:$C,'Fuel Techs'!$E$34),0%)</f>
        <v>0</v>
      </c>
      <c r="S39" s="89">
        <f>IFERROR(SUMIFS(EB_AGR!O:O,EB_AGR!$C:$C,'Fuel Techs'!$D39)/SUMIFS(EB_AGR!O:O,EB_AGR!$C:$C,'Fuel Techs'!$E$34),0%)</f>
        <v>0</v>
      </c>
      <c r="T39" s="89">
        <f>IFERROR(SUMIFS(EB_AGR!P:P,EB_AGR!$C:$C,'Fuel Techs'!$D39)/SUMIFS(EB_AGR!P:P,EB_AGR!$C:$C,'Fuel Techs'!$E$34),0%)</f>
        <v>0</v>
      </c>
      <c r="U39" s="89">
        <f>IFERROR(SUMIFS(EB_AGR!Q:Q,EB_AGR!$C:$C,'Fuel Techs'!$D39)/SUMIFS(EB_AGR!Q:Q,EB_AGR!$C:$C,'Fuel Techs'!$E$34),0%)</f>
        <v>4.3707642581586902E-2</v>
      </c>
      <c r="V39" s="89">
        <f>IFERROR(SUMIFS(EB_AGR!R:R,EB_AGR!$C:$C,'Fuel Techs'!$D39)/SUMIFS(EB_AGR!R:R,EB_AGR!$C:$C,'Fuel Techs'!$E$34),0%)</f>
        <v>0</v>
      </c>
      <c r="W39" s="89">
        <f>IFERROR(SUMIFS(EB_AGR!S:S,EB_AGR!$C:$C,'Fuel Techs'!$D39)/SUMIFS(EB_AGR!S:S,EB_AGR!$C:$C,'Fuel Techs'!$E$34),0%)</f>
        <v>0.11868785083620195</v>
      </c>
      <c r="X39" s="89">
        <f>IFERROR(SUMIFS(EB_AGR!T:T,EB_AGR!$C:$C,'Fuel Techs'!$D39)/SUMIFS(EB_AGR!T:T,EB_AGR!$C:$C,'Fuel Techs'!$E$34),0%)</f>
        <v>0</v>
      </c>
      <c r="Y39" s="89">
        <f>IFERROR(SUMIFS(EB_AGR!U:U,EB_AGR!$C:$C,'Fuel Techs'!$D39)/SUMIFS(EB_AGR!U:U,EB_AGR!$C:$C,'Fuel Techs'!$E$34),0%)</f>
        <v>0</v>
      </c>
      <c r="Z39" s="89">
        <f>IFERROR(SUMIFS(EB_AGR!V:V,EB_AGR!$C:$C,'Fuel Techs'!$D39)/SUMIFS(EB_AGR!V:V,EB_AGR!$C:$C,'Fuel Techs'!$E$34),0%)</f>
        <v>0</v>
      </c>
      <c r="AA39" s="89">
        <f>IFERROR(SUMIFS(EB_AGR!W:W,EB_AGR!$C:$C,'Fuel Techs'!$D39)/SUMIFS(EB_AGR!W:W,EB_AGR!$C:$C,'Fuel Techs'!$E$34),0%)</f>
        <v>0</v>
      </c>
      <c r="AB39" s="89">
        <f>IFERROR(SUMIFS(EB_AGR!X:X,EB_AGR!$C:$C,'Fuel Techs'!$D39)/SUMIFS(EB_AGR!X:X,EB_AGR!$C:$C,'Fuel Techs'!$E$34),0%)</f>
        <v>0</v>
      </c>
      <c r="AC39" s="89">
        <f>IFERROR(SUMIFS(EB_AGR!Y:Y,EB_AGR!$C:$C,'Fuel Techs'!$D39)/SUMIFS(EB_AGR!Y:Y,EB_AGR!$C:$C,'Fuel Techs'!$E$34),0%)</f>
        <v>0</v>
      </c>
      <c r="AD39" s="89">
        <f>IFERROR(SUMIFS(EB_AGR!Z:Z,EB_AGR!$C:$C,'Fuel Techs'!$D39)/SUMIFS(EB_AGR!Z:Z,EB_AGR!$C:$C,'Fuel Techs'!$E$34),0%)</f>
        <v>0</v>
      </c>
      <c r="AE39" s="89">
        <f>IFERROR(SUMIFS(EB_AGR!AA:AA,EB_AGR!$C:$C,'Fuel Techs'!$D39)/SUMIFS(EB_AGR!AA:AA,EB_AGR!$C:$C,'Fuel Techs'!$E$34),0%)</f>
        <v>0</v>
      </c>
      <c r="AF39" s="89">
        <f>IFERROR(SUMIFS(EB_AGR!AB:AB,EB_AGR!$C:$C,'Fuel Techs'!$D39)/SUMIFS(EB_AGR!AB:AB,EB_AGR!$C:$C,'Fuel Techs'!$E$34),0%)</f>
        <v>0</v>
      </c>
      <c r="AG39" s="89">
        <f>IFERROR(SUMIFS(EB_AGR!AC:AC,EB_AGR!$C:$C,'Fuel Techs'!$D39)/SUMIFS(EB_AGR!AC:AC,EB_AGR!$C:$C,'Fuel Techs'!$E$34),0%)</f>
        <v>0</v>
      </c>
      <c r="AH39" s="89">
        <f>IFERROR(SUMIFS(EB_AGR!AD:AD,EB_AGR!$C:$C,'Fuel Techs'!$D39)/SUMIFS(EB_AGR!AD:AD,EB_AGR!$C:$C,'Fuel Techs'!$E$34),0%)</f>
        <v>0</v>
      </c>
      <c r="AI39" s="89">
        <f>IFERROR(SUMIFS(EB_AGR!AE:AE,EB_AGR!$C:$C,'Fuel Techs'!$D39)/SUMIFS(EB_AGR!AE:AE,EB_AGR!$C:$C,'Fuel Techs'!$E$34),0%)</f>
        <v>0</v>
      </c>
      <c r="AJ39" s="89">
        <f>IFERROR(SUMIFS(EB_AGR!AF:AF,EB_AGR!$C:$C,'Fuel Techs'!$D39)/SUMIFS(EB_AGR!AF:AF,EB_AGR!$C:$C,'Fuel Techs'!$E$34),0%)</f>
        <v>0</v>
      </c>
      <c r="AK39" s="53"/>
    </row>
    <row r="40" spans="2:37" s="37" customFormat="1" x14ac:dyDescent="0.3">
      <c r="B40" s="37" t="str">
        <f t="shared" ref="B40:C41" si="6">B15</f>
        <v>FT-AGRSOL</v>
      </c>
      <c r="C40" s="37" t="str">
        <f t="shared" si="6"/>
        <v>AGR fuel Tech: Solar</v>
      </c>
      <c r="D40" s="82" t="s">
        <v>14</v>
      </c>
      <c r="E40" s="37" t="str">
        <f>Legend!B46</f>
        <v>AGRSOL</v>
      </c>
      <c r="F40" s="87">
        <v>1</v>
      </c>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89"/>
      <c r="AI40" s="89"/>
      <c r="AJ40" s="89"/>
      <c r="AK40" s="53"/>
    </row>
    <row r="41" spans="2:37" s="37" customFormat="1" x14ac:dyDescent="0.3">
      <c r="B41" s="37" t="str">
        <f t="shared" si="6"/>
        <v>FT-AGRBIO</v>
      </c>
      <c r="C41" s="37" t="str">
        <f t="shared" si="6"/>
        <v>AGR fuel Tech: Solid biofuels</v>
      </c>
      <c r="D41" s="82" t="s">
        <v>214</v>
      </c>
      <c r="E41" s="37" t="str">
        <f>Legend!B47</f>
        <v>AGRBIO</v>
      </c>
      <c r="F41" s="87">
        <v>1</v>
      </c>
      <c r="G41" s="37" t="s">
        <v>63</v>
      </c>
      <c r="H41" s="37" t="s">
        <v>71</v>
      </c>
      <c r="I41" s="89">
        <f>1-I42</f>
        <v>1</v>
      </c>
      <c r="J41" s="89">
        <f t="shared" ref="J41:AJ41" si="7">1-J42</f>
        <v>1</v>
      </c>
      <c r="K41" s="89">
        <f t="shared" si="7"/>
        <v>1</v>
      </c>
      <c r="L41" s="89">
        <f t="shared" si="7"/>
        <v>0</v>
      </c>
      <c r="M41" s="89">
        <f t="shared" si="7"/>
        <v>1</v>
      </c>
      <c r="N41" s="89">
        <f t="shared" si="7"/>
        <v>1</v>
      </c>
      <c r="O41" s="89">
        <f t="shared" si="7"/>
        <v>0</v>
      </c>
      <c r="P41" s="89">
        <f t="shared" si="7"/>
        <v>1</v>
      </c>
      <c r="Q41" s="89">
        <f t="shared" si="7"/>
        <v>1</v>
      </c>
      <c r="R41" s="89">
        <f t="shared" si="7"/>
        <v>1</v>
      </c>
      <c r="S41" s="89">
        <f t="shared" si="7"/>
        <v>1</v>
      </c>
      <c r="T41" s="89">
        <f t="shared" si="7"/>
        <v>0</v>
      </c>
      <c r="U41" s="89">
        <f t="shared" si="7"/>
        <v>0.99882491186839018</v>
      </c>
      <c r="V41" s="89">
        <f t="shared" si="7"/>
        <v>0.18843392198719189</v>
      </c>
      <c r="W41" s="89">
        <f t="shared" si="7"/>
        <v>0.98150965476887064</v>
      </c>
      <c r="X41" s="89">
        <f t="shared" si="7"/>
        <v>0.48511602468942883</v>
      </c>
      <c r="Y41" s="89">
        <f t="shared" si="7"/>
        <v>0.8241256284123466</v>
      </c>
      <c r="Z41" s="89">
        <f t="shared" si="7"/>
        <v>1</v>
      </c>
      <c r="AA41" s="89">
        <f t="shared" si="7"/>
        <v>1</v>
      </c>
      <c r="AB41" s="89">
        <f t="shared" si="7"/>
        <v>0</v>
      </c>
      <c r="AC41" s="89">
        <f t="shared" si="7"/>
        <v>0.98227798978073866</v>
      </c>
      <c r="AD41" s="89">
        <f t="shared" si="7"/>
        <v>1</v>
      </c>
      <c r="AE41" s="89">
        <f t="shared" si="7"/>
        <v>1</v>
      </c>
      <c r="AF41" s="89">
        <f t="shared" si="7"/>
        <v>1</v>
      </c>
      <c r="AG41" s="89">
        <f t="shared" si="7"/>
        <v>1</v>
      </c>
      <c r="AH41" s="89">
        <f t="shared" si="7"/>
        <v>1</v>
      </c>
      <c r="AI41" s="89">
        <f t="shared" si="7"/>
        <v>1</v>
      </c>
      <c r="AJ41" s="89">
        <f t="shared" si="7"/>
        <v>0.79730529305360676</v>
      </c>
      <c r="AK41" s="53"/>
    </row>
    <row r="42" spans="2:37" s="37" customFormat="1" x14ac:dyDescent="0.3">
      <c r="D42" s="82" t="s">
        <v>248</v>
      </c>
      <c r="F42" s="87"/>
      <c r="G42" s="37" t="s">
        <v>63</v>
      </c>
      <c r="H42" s="37" t="s">
        <v>71</v>
      </c>
      <c r="I42" s="89">
        <f>IFERROR(SUMIFS(EB_AGR!E$7:E$29,EB_AGR!$C$7:$C$29,'Fuel Techs'!$D42)/SUMIFS(EB_AGR!E$38:E$49,EB_AGR!$C$38:$C$49,'Fuel Techs'!$E$41),0)</f>
        <v>0</v>
      </c>
      <c r="J42" s="89">
        <f>IFERROR(SUMIFS(EB_AGR!F$7:F$29,EB_AGR!$C$7:$C$29,'Fuel Techs'!$D42)/SUMIFS(EB_AGR!F$38:F$49,EB_AGR!$C$38:$C$49,'Fuel Techs'!$E$41),0)</f>
        <v>0</v>
      </c>
      <c r="K42" s="89">
        <f>IFERROR(SUMIFS(EB_AGR!G$7:G$29,EB_AGR!$C$7:$C$29,'Fuel Techs'!$D42)/SUMIFS(EB_AGR!G$38:G$49,EB_AGR!$C$38:$C$49,'Fuel Techs'!$E$41),0)</f>
        <v>0</v>
      </c>
      <c r="L42" s="89">
        <f>IFERROR(SUMIFS(EB_AGR!H$7:H$29,EB_AGR!$C$7:$C$29,'Fuel Techs'!$D42)/SUMIFS(EB_AGR!H$38:H$49,EB_AGR!$C$38:$C$49,'Fuel Techs'!$E$41),0)</f>
        <v>1</v>
      </c>
      <c r="M42" s="89">
        <f>IFERROR(SUMIFS(EB_AGR!I$7:I$29,EB_AGR!$C$7:$C$29,'Fuel Techs'!$D42)/SUMIFS(EB_AGR!I$38:I$49,EB_AGR!$C$38:$C$49,'Fuel Techs'!$E$41),0)</f>
        <v>0</v>
      </c>
      <c r="N42" s="89">
        <f>IFERROR(SUMIFS(EB_AGR!J$7:J$29,EB_AGR!$C$7:$C$29,'Fuel Techs'!$D42)/SUMIFS(EB_AGR!J$38:J$49,EB_AGR!$C$38:$C$49,'Fuel Techs'!$E$41),0)</f>
        <v>0</v>
      </c>
      <c r="O42" s="89">
        <f>IFERROR(SUMIFS(EB_AGR!K$7:K$29,EB_AGR!$C$7:$C$29,'Fuel Techs'!$D42)/SUMIFS(EB_AGR!K$38:K$49,EB_AGR!$C$38:$C$49,'Fuel Techs'!$E$41),0)</f>
        <v>1</v>
      </c>
      <c r="P42" s="89">
        <f>IFERROR(SUMIFS(EB_AGR!L$7:L$29,EB_AGR!$C$7:$C$29,'Fuel Techs'!$D42)/SUMIFS(EB_AGR!L$38:L$49,EB_AGR!$C$38:$C$49,'Fuel Techs'!$E$41),0)</f>
        <v>0</v>
      </c>
      <c r="Q42" s="89">
        <f>IFERROR(SUMIFS(EB_AGR!M$7:M$29,EB_AGR!$C$7:$C$29,'Fuel Techs'!$D42)/SUMIFS(EB_AGR!M$38:M$49,EB_AGR!$C$38:$C$49,'Fuel Techs'!$E$41),0)</f>
        <v>0</v>
      </c>
      <c r="R42" s="89">
        <f>IFERROR(SUMIFS(EB_AGR!N$7:N$29,EB_AGR!$C$7:$C$29,'Fuel Techs'!$D42)/SUMIFS(EB_AGR!N$38:N$49,EB_AGR!$C$38:$C$49,'Fuel Techs'!$E$41),0)</f>
        <v>0</v>
      </c>
      <c r="S42" s="89">
        <f>IFERROR(SUMIFS(EB_AGR!O$7:O$29,EB_AGR!$C$7:$C$29,'Fuel Techs'!$D42)/SUMIFS(EB_AGR!O$38:O$49,EB_AGR!$C$38:$C$49,'Fuel Techs'!$E$41),0)</f>
        <v>0</v>
      </c>
      <c r="T42" s="89">
        <f>IFERROR(SUMIFS(EB_AGR!P$7:P$29,EB_AGR!$C$7:$C$29,'Fuel Techs'!$D42)/SUMIFS(EB_AGR!P$38:P$49,EB_AGR!$C$38:$C$49,'Fuel Techs'!$E$41),0)</f>
        <v>1</v>
      </c>
      <c r="U42" s="89">
        <f>IFERROR(SUMIFS(EB_AGR!Q$7:Q$29,EB_AGR!$C$7:$C$29,'Fuel Techs'!$D42)/SUMIFS(EB_AGR!Q$38:Q$49,EB_AGR!$C$38:$C$49,'Fuel Techs'!$E$41),0)</f>
        <v>1.1750881316098707E-3</v>
      </c>
      <c r="V42" s="89">
        <f>IFERROR(SUMIFS(EB_AGR!R$7:R$29,EB_AGR!$C$7:$C$29,'Fuel Techs'!$D42)/SUMIFS(EB_AGR!R$38:R$49,EB_AGR!$C$38:$C$49,'Fuel Techs'!$E$41),0)</f>
        <v>0.81156607801280811</v>
      </c>
      <c r="W42" s="89">
        <f>IFERROR(SUMIFS(EB_AGR!S$7:S$29,EB_AGR!$C$7:$C$29,'Fuel Techs'!$D42)/SUMIFS(EB_AGR!S$38:S$49,EB_AGR!$C$38:$C$49,'Fuel Techs'!$E$41),0)</f>
        <v>1.8490345231129312E-2</v>
      </c>
      <c r="X42" s="89">
        <f>IFERROR(SUMIFS(EB_AGR!T$7:T$29,EB_AGR!$C$7:$C$29,'Fuel Techs'!$D42)/SUMIFS(EB_AGR!T$38:T$49,EB_AGR!$C$38:$C$49,'Fuel Techs'!$E$41),0)</f>
        <v>0.51488397531057117</v>
      </c>
      <c r="Y42" s="89">
        <f>IFERROR(SUMIFS(EB_AGR!U$7:U$29,EB_AGR!$C$7:$C$29,'Fuel Techs'!$D42)/SUMIFS(EB_AGR!U$38:U$49,EB_AGR!$C$38:$C$49,'Fuel Techs'!$E$41),0)</f>
        <v>0.1758743715876534</v>
      </c>
      <c r="Z42" s="89">
        <f>IFERROR(SUMIFS(EB_AGR!V$7:V$29,EB_AGR!$C$7:$C$29,'Fuel Techs'!$D42)/SUMIFS(EB_AGR!V$38:V$49,EB_AGR!$C$38:$C$49,'Fuel Techs'!$E$41),0)</f>
        <v>0</v>
      </c>
      <c r="AA42" s="89">
        <f>IFERROR(SUMIFS(EB_AGR!W$7:W$29,EB_AGR!$C$7:$C$29,'Fuel Techs'!$D42)/SUMIFS(EB_AGR!W$38:W$49,EB_AGR!$C$38:$C$49,'Fuel Techs'!$E$41),0)</f>
        <v>0</v>
      </c>
      <c r="AB42" s="89">
        <f>IFERROR(SUMIFS(EB_AGR!X$7:X$29,EB_AGR!$C$7:$C$29,'Fuel Techs'!$D42)/SUMIFS(EB_AGR!X$38:X$49,EB_AGR!$C$38:$C$49,'Fuel Techs'!$E$41),0)</f>
        <v>1</v>
      </c>
      <c r="AC42" s="89">
        <f>IFERROR(SUMIFS(EB_AGR!Y$7:Y$29,EB_AGR!$C$7:$C$29,'Fuel Techs'!$D42)/SUMIFS(EB_AGR!Y$38:Y$49,EB_AGR!$C$38:$C$49,'Fuel Techs'!$E$41),0)</f>
        <v>1.7722010219261369E-2</v>
      </c>
      <c r="AD42" s="89">
        <f>IFERROR(SUMIFS(EB_AGR!Z$7:Z$29,EB_AGR!$C$7:$C$29,'Fuel Techs'!$D42)/SUMIFS(EB_AGR!Z$38:Z$49,EB_AGR!$C$38:$C$49,'Fuel Techs'!$E$41),0)</f>
        <v>0</v>
      </c>
      <c r="AE42" s="89">
        <f>IFERROR(SUMIFS(EB_AGR!AA$7:AA$29,EB_AGR!$C$7:$C$29,'Fuel Techs'!$D42)/SUMIFS(EB_AGR!AA$38:AA$49,EB_AGR!$C$38:$C$49,'Fuel Techs'!$E$41),0)</f>
        <v>0</v>
      </c>
      <c r="AF42" s="89">
        <f>IFERROR(SUMIFS(EB_AGR!AB$7:AB$29,EB_AGR!$C$7:$C$29,'Fuel Techs'!$D42)/SUMIFS(EB_AGR!AB$38:AB$49,EB_AGR!$C$38:$C$49,'Fuel Techs'!$E$41),0)</f>
        <v>0</v>
      </c>
      <c r="AG42" s="89">
        <f>IFERROR(SUMIFS(EB_AGR!AC$7:AC$29,EB_AGR!$C$7:$C$29,'Fuel Techs'!$D42)/SUMIFS(EB_AGR!AC$38:AC$49,EB_AGR!$C$38:$C$49,'Fuel Techs'!$E$41),0)</f>
        <v>0</v>
      </c>
      <c r="AH42" s="89">
        <f>IFERROR(SUMIFS(EB_AGR!AD$7:AD$29,EB_AGR!$C$7:$C$29,'Fuel Techs'!$D42)/SUMIFS(EB_AGR!AD$38:AD$49,EB_AGR!$C$38:$C$49,'Fuel Techs'!$E$41),0)</f>
        <v>0</v>
      </c>
      <c r="AI42" s="89">
        <f>IFERROR(SUMIFS(EB_AGR!AE$7:AE$29,EB_AGR!$C$7:$C$29,'Fuel Techs'!$D42)/SUMIFS(EB_AGR!AE$38:AE$49,EB_AGR!$C$38:$C$49,'Fuel Techs'!$E$41),0)</f>
        <v>0</v>
      </c>
      <c r="AJ42" s="89">
        <f>IFERROR(SUMIFS(EB_AGR!AF$7:AF$29,EB_AGR!$C$7:$C$29,'Fuel Techs'!$D42)/SUMIFS(EB_AGR!AF$38:AF$49,EB_AGR!$C$38:$C$49,'Fuel Techs'!$E$41),0)</f>
        <v>0.20269470694639327</v>
      </c>
      <c r="AK42" s="53"/>
    </row>
    <row r="43" spans="2:37" s="37" customFormat="1" x14ac:dyDescent="0.3">
      <c r="B43" s="38" t="str">
        <f>B17</f>
        <v>FT-AGRWAS</v>
      </c>
      <c r="C43" s="38" t="str">
        <f>C17</f>
        <v>AGR fuel Tech: Waste</v>
      </c>
      <c r="D43" s="83" t="s">
        <v>215</v>
      </c>
      <c r="E43" s="38" t="str">
        <f>Legend!B48</f>
        <v>AGRWAS</v>
      </c>
      <c r="F43" s="88">
        <v>1</v>
      </c>
      <c r="G43" s="38"/>
      <c r="H43" s="38"/>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53"/>
    </row>
    <row r="44" spans="2:37" s="37" customFormat="1" x14ac:dyDescent="0.3"/>
    <row r="45" spans="2:37" s="37" customFormat="1" x14ac:dyDescent="0.3"/>
    <row r="46" spans="2:37" s="37" customFormat="1" x14ac:dyDescent="0.3"/>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8BBFB-2CE1-4025-9334-330D891C4D21}">
  <sheetPr>
    <tabColor theme="9" tint="0.59999389629810485"/>
  </sheetPr>
  <dimension ref="A1:AH49"/>
  <sheetViews>
    <sheetView showGridLines="0" workbookViewId="0">
      <pane ySplit="1" topLeftCell="A11" activePane="bottomLeft" state="frozen"/>
      <selection pane="bottomLeft" activeCell="AG20" sqref="AG20"/>
    </sheetView>
  </sheetViews>
  <sheetFormatPr defaultColWidth="9" defaultRowHeight="15.6" x14ac:dyDescent="0.3"/>
  <cols>
    <col min="1" max="1" width="11.59765625" style="9" customWidth="1"/>
    <col min="2" max="2" width="27.19921875" style="9" bestFit="1" customWidth="1"/>
    <col min="3" max="3" width="10.09765625" style="9" bestFit="1" customWidth="1"/>
    <col min="4" max="4" width="9" style="9"/>
    <col min="5" max="5" width="11.3984375" style="9" customWidth="1"/>
    <col min="6" max="6" width="10.3984375" style="9" bestFit="1" customWidth="1"/>
    <col min="7" max="7" width="9" style="9"/>
    <col min="8" max="8" width="9.19921875" style="9" bestFit="1" customWidth="1"/>
    <col min="9" max="9" width="9.19921875" style="9" customWidth="1"/>
    <col min="10" max="16384" width="9" style="9"/>
  </cols>
  <sheetData>
    <row r="1" spans="1:34" ht="23.4" x14ac:dyDescent="0.3">
      <c r="A1" s="44" t="s">
        <v>216</v>
      </c>
    </row>
    <row r="3" spans="1:34" ht="18" x14ac:dyDescent="0.3">
      <c r="A3" s="34" t="s">
        <v>132</v>
      </c>
    </row>
    <row r="4" spans="1:34" x14ac:dyDescent="0.3">
      <c r="A4" s="64" t="s">
        <v>30</v>
      </c>
    </row>
    <row r="5" spans="1:34" ht="16.2" thickBot="1" x14ac:dyDescent="0.35">
      <c r="A5" s="60" t="s">
        <v>34</v>
      </c>
      <c r="B5" s="60" t="s">
        <v>133</v>
      </c>
      <c r="C5" s="60" t="s">
        <v>36</v>
      </c>
      <c r="D5" s="60" t="s">
        <v>91</v>
      </c>
      <c r="E5" s="60" t="s">
        <v>129</v>
      </c>
      <c r="F5" s="60" t="s">
        <v>126</v>
      </c>
      <c r="G5" s="60" t="s">
        <v>146</v>
      </c>
      <c r="H5" s="60" t="s">
        <v>147</v>
      </c>
      <c r="I5" s="60" t="s">
        <v>149</v>
      </c>
      <c r="J5" s="60" t="s">
        <v>148</v>
      </c>
      <c r="K5" s="60" t="s">
        <v>150</v>
      </c>
      <c r="L5" s="60" t="s">
        <v>151</v>
      </c>
      <c r="M5" s="60" t="s">
        <v>152</v>
      </c>
      <c r="N5" s="60" t="s">
        <v>153</v>
      </c>
      <c r="O5" s="60" t="s">
        <v>1</v>
      </c>
      <c r="P5" s="60" t="s">
        <v>2</v>
      </c>
      <c r="Q5" s="60" t="s">
        <v>243</v>
      </c>
      <c r="R5" s="60" t="s">
        <v>3</v>
      </c>
      <c r="S5" s="60" t="s">
        <v>154</v>
      </c>
      <c r="T5" s="60" t="s">
        <v>155</v>
      </c>
      <c r="U5" s="60" t="s">
        <v>156</v>
      </c>
      <c r="V5" s="60" t="s">
        <v>244</v>
      </c>
      <c r="W5" s="60" t="s">
        <v>157</v>
      </c>
      <c r="X5" s="60" t="s">
        <v>4</v>
      </c>
      <c r="Y5" s="60" t="s">
        <v>5</v>
      </c>
      <c r="Z5" s="60" t="s">
        <v>6</v>
      </c>
      <c r="AA5" s="60" t="s">
        <v>7</v>
      </c>
      <c r="AB5" s="60" t="s">
        <v>245</v>
      </c>
      <c r="AC5" s="60" t="s">
        <v>8</v>
      </c>
      <c r="AD5" s="60" t="s">
        <v>9</v>
      </c>
      <c r="AE5" s="60" t="s">
        <v>246</v>
      </c>
      <c r="AF5" s="60" t="s">
        <v>10</v>
      </c>
      <c r="AG5" s="60" t="s">
        <v>247</v>
      </c>
      <c r="AH5" s="60" t="s">
        <v>11</v>
      </c>
    </row>
    <row r="6" spans="1:34" ht="55.2" x14ac:dyDescent="0.3">
      <c r="A6" s="2" t="s">
        <v>134</v>
      </c>
      <c r="B6" s="2" t="s">
        <v>24</v>
      </c>
      <c r="C6" s="6" t="s">
        <v>36</v>
      </c>
      <c r="D6" s="6" t="s">
        <v>135</v>
      </c>
      <c r="E6" s="6" t="s">
        <v>42</v>
      </c>
      <c r="F6" s="6"/>
      <c r="G6" s="2" t="s">
        <v>161</v>
      </c>
      <c r="H6" s="2" t="s">
        <v>162</v>
      </c>
      <c r="I6" s="2" t="s">
        <v>164</v>
      </c>
      <c r="J6" s="2" t="s">
        <v>163</v>
      </c>
      <c r="K6" s="2" t="s">
        <v>165</v>
      </c>
      <c r="L6" s="2" t="s">
        <v>166</v>
      </c>
      <c r="M6" s="2" t="s">
        <v>167</v>
      </c>
      <c r="N6" s="2" t="s">
        <v>168</v>
      </c>
      <c r="O6" s="2" t="s">
        <v>83</v>
      </c>
      <c r="P6" s="2" t="s">
        <v>84</v>
      </c>
      <c r="Q6" s="2" t="s">
        <v>252</v>
      </c>
      <c r="R6" s="2" t="s">
        <v>253</v>
      </c>
      <c r="S6" s="2" t="s">
        <v>169</v>
      </c>
      <c r="T6" s="2" t="s">
        <v>170</v>
      </c>
      <c r="U6" s="2" t="s">
        <v>171</v>
      </c>
      <c r="V6" s="2" t="s">
        <v>254</v>
      </c>
      <c r="W6" s="2" t="s">
        <v>172</v>
      </c>
      <c r="X6" s="2" t="s">
        <v>255</v>
      </c>
      <c r="Y6" s="2" t="s">
        <v>85</v>
      </c>
      <c r="Z6" s="2" t="s">
        <v>86</v>
      </c>
      <c r="AA6" s="2" t="s">
        <v>87</v>
      </c>
      <c r="AB6" s="2" t="s">
        <v>256</v>
      </c>
      <c r="AC6" s="2" t="s">
        <v>257</v>
      </c>
      <c r="AD6" s="2" t="s">
        <v>88</v>
      </c>
      <c r="AE6" s="2" t="s">
        <v>258</v>
      </c>
      <c r="AF6" s="2" t="s">
        <v>259</v>
      </c>
      <c r="AG6" s="2" t="s">
        <v>298</v>
      </c>
      <c r="AH6" s="2" t="s">
        <v>173</v>
      </c>
    </row>
    <row r="7" spans="1:34" x14ac:dyDescent="0.3">
      <c r="A7" s="77" t="str">
        <f>'Commodities &amp; Processes'!$C$22</f>
        <v>AGR</v>
      </c>
      <c r="B7" s="77" t="str">
        <f>'Commodities &amp; Processes'!D22</f>
        <v>Agriculture Demand</v>
      </c>
      <c r="C7" s="77" t="str">
        <f>IF($A7="","","COM_PROJ")</f>
        <v>COM_PROJ</v>
      </c>
      <c r="D7" s="77">
        <f>IF($A7="","",Legend!$B$5)</f>
        <v>2019</v>
      </c>
      <c r="E7" s="77" t="str">
        <f>'Commodities &amp; Processes'!E22</f>
        <v>PJ</v>
      </c>
      <c r="F7" s="77"/>
      <c r="G7" s="78">
        <f>SUM(EB_AGR!E38:E49)</f>
        <v>78.099999999999994</v>
      </c>
      <c r="H7" s="78">
        <f>SUM(EB_AGR!F38:F49)</f>
        <v>145.85200000000003</v>
      </c>
      <c r="I7" s="78">
        <f>SUM(EB_AGR!G38:G49)</f>
        <v>22.091000000000001</v>
      </c>
      <c r="J7" s="78">
        <f>SUM(EB_AGR!H38:H49)</f>
        <v>142.88499999999999</v>
      </c>
      <c r="K7" s="78">
        <f>SUM(EB_AGR!I38:I49)</f>
        <v>121.73099999999999</v>
      </c>
      <c r="L7" s="78">
        <f>SUM(EB_AGR!J38:J49)</f>
        <v>139.25500000000002</v>
      </c>
      <c r="M7" s="78">
        <f>SUM(EB_AGR!K38:K49)</f>
        <v>248.505</v>
      </c>
      <c r="N7" s="78">
        <f>SUM(EB_AGR!L38:L49)</f>
        <v>99.658999999999992</v>
      </c>
      <c r="O7" s="78">
        <f>SUM(EB_AGR!M38:M49)</f>
        <v>534.72500000000002</v>
      </c>
      <c r="P7" s="78">
        <f>SUM(EB_AGR!N38:N49)</f>
        <v>294.68599999999998</v>
      </c>
      <c r="Q7" s="78">
        <f>SUM(EB_AGR!O38:O49)</f>
        <v>28.513000000000002</v>
      </c>
      <c r="R7" s="78">
        <f>SUM(EB_AGR!P38:P49)</f>
        <v>1852.4460000000001</v>
      </c>
      <c r="S7" s="78">
        <f>SUM(EB_AGR!Q38:Q49)</f>
        <v>202.23099999999999</v>
      </c>
      <c r="T7" s="78">
        <f>SUM(EB_AGR!R38:R49)</f>
        <v>97.614000000000004</v>
      </c>
      <c r="U7" s="78">
        <f>SUM(EB_AGR!S38:S49)</f>
        <v>282.99299999999999</v>
      </c>
      <c r="V7" s="78">
        <f>SUM(EB_AGR!T38:T49)</f>
        <v>464.46899999999999</v>
      </c>
      <c r="W7" s="78">
        <f>SUM(EB_AGR!U38:U49)</f>
        <v>487.01100000000002</v>
      </c>
      <c r="X7" s="78">
        <f>SUM(EB_AGR!V38:V49)</f>
        <v>168.61599999999999</v>
      </c>
      <c r="Y7" s="78">
        <f>SUM(EB_AGR!W38:W49)</f>
        <v>859.98199999999997</v>
      </c>
      <c r="Z7" s="78">
        <f>SUM(EB_AGR!X38:X49)</f>
        <v>191.23200000000003</v>
      </c>
      <c r="AA7" s="78">
        <f>SUM(EB_AGR!Y38:Y49)</f>
        <v>255.26300000000003</v>
      </c>
      <c r="AB7" s="78">
        <f>SUM(EB_AGR!Z38:Z49)</f>
        <v>228.68799999999999</v>
      </c>
      <c r="AC7" s="78">
        <f>SUM(EB_AGR!AA38:AA49)</f>
        <v>362.28899999999999</v>
      </c>
      <c r="AD7" s="78">
        <f>SUM(EB_AGR!AB38:AB49)</f>
        <v>177.40699999999998</v>
      </c>
      <c r="AE7" s="78">
        <f>SUM(EB_AGR!AC38:AC49)</f>
        <v>0.186</v>
      </c>
      <c r="AF7" s="78">
        <f>SUM(EB_AGR!AD38:AD49)</f>
        <v>377.51499999999999</v>
      </c>
      <c r="AG7" s="78">
        <f>SUM(EB_AGR!AE38:AE49)</f>
        <v>114.92699999999999</v>
      </c>
      <c r="AH7" s="78">
        <f>SUM(EB_AGR!AF38:AF49)</f>
        <v>899.14700000000005</v>
      </c>
    </row>
    <row r="10" spans="1:34" ht="18" x14ac:dyDescent="0.3">
      <c r="A10" s="34" t="s">
        <v>221</v>
      </c>
    </row>
    <row r="11" spans="1:34" x14ac:dyDescent="0.3">
      <c r="A11" s="57" t="s">
        <v>30</v>
      </c>
    </row>
    <row r="12" spans="1:34" ht="19.5" customHeight="1" thickBot="1" x14ac:dyDescent="0.35">
      <c r="A12" s="60" t="s">
        <v>31</v>
      </c>
      <c r="B12" s="60" t="s">
        <v>127</v>
      </c>
      <c r="C12" s="60" t="s">
        <v>125</v>
      </c>
      <c r="D12" s="60" t="s">
        <v>33</v>
      </c>
      <c r="E12" s="60" t="s">
        <v>145</v>
      </c>
      <c r="F12" s="58" t="s">
        <v>202</v>
      </c>
    </row>
    <row r="13" spans="1:34" ht="41.4" x14ac:dyDescent="0.3">
      <c r="A13" s="2" t="s">
        <v>134</v>
      </c>
      <c r="B13" s="2" t="s">
        <v>24</v>
      </c>
      <c r="C13" s="2" t="s">
        <v>131</v>
      </c>
      <c r="D13" s="2" t="s">
        <v>219</v>
      </c>
      <c r="E13" s="2" t="s">
        <v>220</v>
      </c>
      <c r="F13" s="1" t="s">
        <v>80</v>
      </c>
    </row>
    <row r="14" spans="1:34" x14ac:dyDescent="0.3">
      <c r="A14" s="121" t="str">
        <f>'Commodities &amp; Processes'!L$22</f>
        <v>A-TECH</v>
      </c>
      <c r="B14" s="121" t="str">
        <f>'Commodities &amp; Processes'!M$22</f>
        <v>Agriculture Demand Technology</v>
      </c>
      <c r="C14" s="77" t="str">
        <f>'Commodities &amp; Processes'!$C$22</f>
        <v>AGR</v>
      </c>
      <c r="D14" s="92">
        <v>1</v>
      </c>
      <c r="E14" s="92">
        <v>1</v>
      </c>
      <c r="F14" s="92">
        <v>1</v>
      </c>
    </row>
    <row r="15" spans="1:34" x14ac:dyDescent="0.3">
      <c r="A15" s="122"/>
      <c r="B15" s="122"/>
      <c r="C15" s="122"/>
      <c r="D15" s="122"/>
      <c r="E15" s="122"/>
      <c r="F15" s="122"/>
      <c r="G15" s="122"/>
      <c r="H15" s="122"/>
      <c r="I15" s="122"/>
    </row>
    <row r="16" spans="1:34" x14ac:dyDescent="0.3">
      <c r="A16" s="122"/>
      <c r="B16" s="122"/>
      <c r="C16" s="122"/>
      <c r="D16" s="122"/>
      <c r="E16" s="122"/>
      <c r="F16" s="122"/>
      <c r="G16" s="122"/>
      <c r="H16" s="122"/>
      <c r="I16" s="122"/>
    </row>
    <row r="17" spans="1:34" ht="17.399999999999999" x14ac:dyDescent="0.3">
      <c r="A17" s="57" t="s">
        <v>30</v>
      </c>
      <c r="B17" s="123"/>
      <c r="C17" s="122"/>
      <c r="D17" s="122"/>
      <c r="E17" s="122"/>
      <c r="F17" s="122"/>
      <c r="G17" s="122"/>
      <c r="H17" s="122"/>
      <c r="I17" s="122"/>
      <c r="J17" s="122"/>
    </row>
    <row r="18" spans="1:34" ht="16.2" thickBot="1" x14ac:dyDescent="0.35">
      <c r="A18" s="60" t="s">
        <v>31</v>
      </c>
      <c r="B18" s="60" t="s">
        <v>127</v>
      </c>
      <c r="C18" s="60" t="s">
        <v>124</v>
      </c>
      <c r="D18" s="60" t="s">
        <v>36</v>
      </c>
      <c r="E18" s="60" t="s">
        <v>43</v>
      </c>
      <c r="F18" s="60" t="s">
        <v>91</v>
      </c>
      <c r="G18" s="58" t="s">
        <v>146</v>
      </c>
      <c r="H18" s="58" t="s">
        <v>147</v>
      </c>
      <c r="I18" s="58" t="s">
        <v>149</v>
      </c>
      <c r="J18" s="58" t="s">
        <v>148</v>
      </c>
      <c r="K18" s="58" t="s">
        <v>150</v>
      </c>
      <c r="L18" s="58" t="s">
        <v>151</v>
      </c>
      <c r="M18" s="58" t="s">
        <v>152</v>
      </c>
      <c r="N18" s="58" t="s">
        <v>153</v>
      </c>
      <c r="O18" s="58" t="s">
        <v>1</v>
      </c>
      <c r="P18" s="58" t="s">
        <v>2</v>
      </c>
      <c r="Q18" s="58" t="s">
        <v>243</v>
      </c>
      <c r="R18" s="58" t="s">
        <v>3</v>
      </c>
      <c r="S18" s="58" t="s">
        <v>154</v>
      </c>
      <c r="T18" s="58" t="s">
        <v>155</v>
      </c>
      <c r="U18" s="58" t="s">
        <v>156</v>
      </c>
      <c r="V18" s="58" t="s">
        <v>244</v>
      </c>
      <c r="W18" s="58" t="s">
        <v>157</v>
      </c>
      <c r="X18" s="58" t="s">
        <v>4</v>
      </c>
      <c r="Y18" s="58" t="s">
        <v>5</v>
      </c>
      <c r="Z18" s="58" t="s">
        <v>6</v>
      </c>
      <c r="AA18" s="58" t="s">
        <v>7</v>
      </c>
      <c r="AB18" s="58" t="s">
        <v>245</v>
      </c>
      <c r="AC18" s="58" t="s">
        <v>8</v>
      </c>
      <c r="AD18" s="58" t="s">
        <v>9</v>
      </c>
      <c r="AE18" s="58" t="s">
        <v>246</v>
      </c>
      <c r="AF18" s="58" t="s">
        <v>10</v>
      </c>
      <c r="AG18" s="58" t="s">
        <v>247</v>
      </c>
      <c r="AH18" s="58" t="s">
        <v>11</v>
      </c>
    </row>
    <row r="19" spans="1:34" ht="55.2" x14ac:dyDescent="0.3">
      <c r="A19" s="2" t="s">
        <v>134</v>
      </c>
      <c r="B19" s="2" t="s">
        <v>24</v>
      </c>
      <c r="C19" s="2" t="s">
        <v>130</v>
      </c>
      <c r="D19" s="2" t="s">
        <v>204</v>
      </c>
      <c r="E19" s="2" t="s">
        <v>203</v>
      </c>
      <c r="F19" s="2"/>
      <c r="G19" s="1" t="s">
        <v>161</v>
      </c>
      <c r="H19" s="1" t="s">
        <v>162</v>
      </c>
      <c r="I19" s="1" t="s">
        <v>164</v>
      </c>
      <c r="J19" s="1" t="s">
        <v>163</v>
      </c>
      <c r="K19" s="1" t="s">
        <v>165</v>
      </c>
      <c r="L19" s="1" t="s">
        <v>166</v>
      </c>
      <c r="M19" s="1" t="s">
        <v>167</v>
      </c>
      <c r="N19" s="1" t="s">
        <v>168</v>
      </c>
      <c r="O19" s="1" t="s">
        <v>83</v>
      </c>
      <c r="P19" s="1" t="s">
        <v>84</v>
      </c>
      <c r="Q19" s="1" t="s">
        <v>252</v>
      </c>
      <c r="R19" s="1" t="s">
        <v>253</v>
      </c>
      <c r="S19" s="1" t="s">
        <v>169</v>
      </c>
      <c r="T19" s="1" t="s">
        <v>170</v>
      </c>
      <c r="U19" s="1" t="s">
        <v>171</v>
      </c>
      <c r="V19" s="1" t="s">
        <v>254</v>
      </c>
      <c r="W19" s="1" t="s">
        <v>172</v>
      </c>
      <c r="X19" s="1" t="s">
        <v>255</v>
      </c>
      <c r="Y19" s="1" t="s">
        <v>85</v>
      </c>
      <c r="Z19" s="1" t="s">
        <v>86</v>
      </c>
      <c r="AA19" s="1" t="s">
        <v>87</v>
      </c>
      <c r="AB19" s="1" t="s">
        <v>256</v>
      </c>
      <c r="AC19" s="1" t="s">
        <v>257</v>
      </c>
      <c r="AD19" s="1" t="s">
        <v>88</v>
      </c>
      <c r="AE19" s="1" t="s">
        <v>258</v>
      </c>
      <c r="AF19" s="1" t="s">
        <v>259</v>
      </c>
      <c r="AG19" s="1" t="s">
        <v>298</v>
      </c>
      <c r="AH19" s="1" t="s">
        <v>173</v>
      </c>
    </row>
    <row r="20" spans="1:34" x14ac:dyDescent="0.3">
      <c r="A20" s="122" t="str">
        <f>'Commodities &amp; Processes'!L$22</f>
        <v>A-TECH</v>
      </c>
      <c r="B20" s="122" t="str">
        <f>'Commodities &amp; Processes'!M$22</f>
        <v>Agriculture Demand Technology</v>
      </c>
      <c r="C20" s="122" t="str">
        <f>Legend!B35</f>
        <v>AGRBGS</v>
      </c>
      <c r="D20" s="122" t="s">
        <v>63</v>
      </c>
      <c r="E20" s="122" t="s">
        <v>71</v>
      </c>
      <c r="F20" s="122">
        <f>Legend!$B$5</f>
        <v>2019</v>
      </c>
      <c r="G20" s="124">
        <f>IFERROR(SUMIFS(EB_AGR!E:E,EB_AGR!$C:$C,'FuelMix &amp; Demands'!$C20)/G$7,0%)</f>
        <v>0</v>
      </c>
      <c r="H20" s="124">
        <f>IFERROR(SUMIFS(EB_AGR!F:F,EB_AGR!$C:$C,'FuelMix &amp; Demands'!$C20)/H$7,0%)</f>
        <v>0</v>
      </c>
      <c r="I20" s="124">
        <f>IFERROR(SUMIFS(EB_AGR!G:G,EB_AGR!$C:$C,'FuelMix &amp; Demands'!$C20)/I$7,0%)</f>
        <v>0</v>
      </c>
      <c r="J20" s="124">
        <f>IFERROR(SUMIFS(EB_AGR!H:H,EB_AGR!$C:$C,'FuelMix &amp; Demands'!$C20)/J$7,0%)</f>
        <v>0</v>
      </c>
      <c r="K20" s="124">
        <f>IFERROR(SUMIFS(EB_AGR!I:I,EB_AGR!$C:$C,'FuelMix &amp; Demands'!$C20)/K$7,0%)</f>
        <v>0</v>
      </c>
      <c r="L20" s="124">
        <f>IFERROR(SUMIFS(EB_AGR!J:J,EB_AGR!$C:$C,'FuelMix &amp; Demands'!$C20)/L$7,0%)</f>
        <v>0</v>
      </c>
      <c r="M20" s="124">
        <f>IFERROR(SUMIFS(EB_AGR!K:K,EB_AGR!$C:$C,'FuelMix &amp; Demands'!$C20)/M$7,0%)</f>
        <v>0</v>
      </c>
      <c r="N20" s="124">
        <f>IFERROR(SUMIFS(EB_AGR!L:L,EB_AGR!$C:$C,'FuelMix &amp; Demands'!$C20)/N$7,0%)</f>
        <v>0</v>
      </c>
      <c r="O20" s="124">
        <f>IFERROR(SUMIFS(EB_AGR!M:M,EB_AGR!$C:$C,'FuelMix &amp; Demands'!$C20)/O$7,0%)</f>
        <v>0</v>
      </c>
      <c r="P20" s="124">
        <f>IFERROR(SUMIFS(EB_AGR!N:N,EB_AGR!$C:$C,'FuelMix &amp; Demands'!$C20)/P$7,0%)</f>
        <v>2.3754097581832869E-5</v>
      </c>
      <c r="Q20" s="124">
        <f>IFERROR(SUMIFS(EB_AGR!O:O,EB_AGR!$C:$C,'FuelMix &amp; Demands'!$C20)/Q$7,0%)</f>
        <v>6.663627117455195E-4</v>
      </c>
      <c r="R20" s="124">
        <f>IFERROR(SUMIFS(EB_AGR!P:P,EB_AGR!$C:$C,'FuelMix &amp; Demands'!$C20)/R$7,0%)</f>
        <v>0</v>
      </c>
      <c r="S20" s="124">
        <f>IFERROR(SUMIFS(EB_AGR!Q:Q,EB_AGR!$C:$C,'FuelMix &amp; Demands'!$C20)/S$7,0%)</f>
        <v>8.3073317147222742E-4</v>
      </c>
      <c r="T20" s="124">
        <f>IFERROR(SUMIFS(EB_AGR!R:R,EB_AGR!$C:$C,'FuelMix &amp; Demands'!$C20)/T$7,0%)</f>
        <v>5.8085930296883637E-3</v>
      </c>
      <c r="U20" s="124">
        <f>IFERROR(SUMIFS(EB_AGR!S:S,EB_AGR!$C:$C,'FuelMix &amp; Demands'!$C20)/U$7,0%)</f>
        <v>1.4798952624269857E-2</v>
      </c>
      <c r="V20" s="124">
        <f>IFERROR(SUMIFS(EB_AGR!T:T,EB_AGR!$C:$C,'FuelMix &amp; Demands'!$C20)/V$7,0%)</f>
        <v>3.3048491933799673E-3</v>
      </c>
      <c r="W20" s="124">
        <f>IFERROR(SUMIFS(EB_AGR!U:U,EB_AGR!$C:$C,'FuelMix &amp; Demands'!$C20)/W$7,0%)</f>
        <v>4.5493838948196239E-2</v>
      </c>
      <c r="X20" s="124">
        <f>IFERROR(SUMIFS(EB_AGR!V:V,EB_AGR!$C:$C,'FuelMix &amp; Demands'!$C20)/X$7,0%)</f>
        <v>0</v>
      </c>
      <c r="Y20" s="124">
        <f>IFERROR(SUMIFS(EB_AGR!W:W,EB_AGR!$C:$C,'FuelMix &amp; Demands'!$C20)/Y$7,0%)</f>
        <v>0</v>
      </c>
      <c r="Z20" s="124">
        <f>IFERROR(SUMIFS(EB_AGR!X:X,EB_AGR!$C:$C,'FuelMix &amp; Demands'!$C20)/Z$7,0%)</f>
        <v>0</v>
      </c>
      <c r="AA20" s="124">
        <f>IFERROR(SUMIFS(EB_AGR!Y:Y,EB_AGR!$C:$C,'FuelMix &amp; Demands'!$C20)/AA$7,0%)</f>
        <v>0</v>
      </c>
      <c r="AB20" s="124">
        <f>IFERROR(SUMIFS(EB_AGR!Z:Z,EB_AGR!$C:$C,'FuelMix &amp; Demands'!$C20)/AB$7,0%)</f>
        <v>0</v>
      </c>
      <c r="AC20" s="124">
        <f>IFERROR(SUMIFS(EB_AGR!AA:AA,EB_AGR!$C:$C,'FuelMix &amp; Demands'!$C20)/AC$7,0%)</f>
        <v>0</v>
      </c>
      <c r="AD20" s="124">
        <f>IFERROR(SUMIFS(EB_AGR!AB:AB,EB_AGR!$C:$C,'FuelMix &amp; Demands'!$C20)/AD$7,0%)</f>
        <v>0</v>
      </c>
      <c r="AE20" s="124">
        <f>IFERROR(SUMIFS(EB_AGR!AC:AC,EB_AGR!$C:$C,'FuelMix &amp; Demands'!$C20)/AE$7,0%)</f>
        <v>0</v>
      </c>
      <c r="AF20" s="124">
        <f>IFERROR(SUMIFS(EB_AGR!AD:AD,EB_AGR!$C:$C,'FuelMix &amp; Demands'!$C20)/AF$7,0%)</f>
        <v>0</v>
      </c>
      <c r="AG20" s="124">
        <f>IFERROR(SUMIFS(EB_AGR!AE:AE,EB_AGR!$C:$C,'FuelMix &amp; Demands'!$C20)/AG$7,0%)</f>
        <v>2.6103526586441827E-4</v>
      </c>
      <c r="AH20" s="124">
        <f>IFERROR(SUMIFS(EB_AGR!AF:AF,EB_AGR!$C:$C,'FuelMix &amp; Demands'!$C20)/AH$7,0%)</f>
        <v>4.2262277469646227E-5</v>
      </c>
    </row>
    <row r="21" spans="1:34" x14ac:dyDescent="0.3">
      <c r="A21" s="122"/>
      <c r="B21" s="122"/>
      <c r="C21" s="122" t="str">
        <f>Legend!B36</f>
        <v>AGRCOA</v>
      </c>
      <c r="D21" s="122" t="s">
        <v>63</v>
      </c>
      <c r="E21" s="122" t="s">
        <v>71</v>
      </c>
      <c r="F21" s="122">
        <f>Legend!$B$5</f>
        <v>2019</v>
      </c>
      <c r="G21" s="124">
        <f>IFERROR(SUMIFS(EB_AGR!E:E,EB_AGR!$C:$C,'FuelMix &amp; Demands'!$C21)/G$7,0%)</f>
        <v>0</v>
      </c>
      <c r="H21" s="124">
        <f>IFERROR(SUMIFS(EB_AGR!F:F,EB_AGR!$C:$C,'FuelMix &amp; Demands'!$C21)/H$7,0%)</f>
        <v>0</v>
      </c>
      <c r="I21" s="124">
        <f>IFERROR(SUMIFS(EB_AGR!G:G,EB_AGR!$C:$C,'FuelMix &amp; Demands'!$C21)/I$7,0%)</f>
        <v>0</v>
      </c>
      <c r="J21" s="124">
        <f>IFERROR(SUMIFS(EB_AGR!H:H,EB_AGR!$C:$C,'FuelMix &amp; Demands'!$C21)/J$7,0%)</f>
        <v>0.13566154599853031</v>
      </c>
      <c r="K21" s="124">
        <f>IFERROR(SUMIFS(EB_AGR!I:I,EB_AGR!$C:$C,'FuelMix &amp; Demands'!$C21)/K$7,0%)</f>
        <v>1.6741832400949633E-2</v>
      </c>
      <c r="L21" s="124">
        <f>IFERROR(SUMIFS(EB_AGR!J:J,EB_AGR!$C:$C,'FuelMix &amp; Demands'!$C21)/L$7,0%)</f>
        <v>2.9011525618469709E-2</v>
      </c>
      <c r="M21" s="124">
        <f>IFERROR(SUMIFS(EB_AGR!K:K,EB_AGR!$C:$C,'FuelMix &amp; Demands'!$C21)/M$7,0%)</f>
        <v>3.4904730287116957E-2</v>
      </c>
      <c r="N21" s="124">
        <f>IFERROR(SUMIFS(EB_AGR!L:L,EB_AGR!$C:$C,'FuelMix &amp; Demands'!$C21)/N$7,0%)</f>
        <v>0</v>
      </c>
      <c r="O21" s="124">
        <f>IFERROR(SUMIFS(EB_AGR!M:M,EB_AGR!$C:$C,'FuelMix &amp; Demands'!$C21)/O$7,0%)</f>
        <v>0</v>
      </c>
      <c r="P21" s="124">
        <f>IFERROR(SUMIFS(EB_AGR!N:N,EB_AGR!$C:$C,'FuelMix &amp; Demands'!$C21)/P$7,0%)</f>
        <v>2.690999911770495E-3</v>
      </c>
      <c r="Q21" s="124">
        <f>IFERROR(SUMIFS(EB_AGR!O:O,EB_AGR!$C:$C,'FuelMix &amp; Demands'!$C21)/Q$7,0%)</f>
        <v>0</v>
      </c>
      <c r="R21" s="124">
        <f>IFERROR(SUMIFS(EB_AGR!P:P,EB_AGR!$C:$C,'FuelMix &amp; Demands'!$C21)/R$7,0%)</f>
        <v>0.25341413460905199</v>
      </c>
      <c r="S21" s="124">
        <f>IFERROR(SUMIFS(EB_AGR!Q:Q,EB_AGR!$C:$C,'FuelMix &amp; Demands'!$C21)/S$7,0%)</f>
        <v>2.3537439858379774E-3</v>
      </c>
      <c r="T21" s="124">
        <f>IFERROR(SUMIFS(EB_AGR!R:R,EB_AGR!$C:$C,'FuelMix &amp; Demands'!$C21)/T$7,0%)</f>
        <v>0</v>
      </c>
      <c r="U21" s="124">
        <f>IFERROR(SUMIFS(EB_AGR!S:S,EB_AGR!$C:$C,'FuelMix &amp; Demands'!$C21)/U$7,0%)</f>
        <v>0.11235613601749866</v>
      </c>
      <c r="V21" s="124">
        <f>IFERROR(SUMIFS(EB_AGR!T:T,EB_AGR!$C:$C,'FuelMix &amp; Demands'!$C21)/V$7,0%)</f>
        <v>1.8946366711233687E-4</v>
      </c>
      <c r="W21" s="124">
        <f>IFERROR(SUMIFS(EB_AGR!U:U,EB_AGR!$C:$C,'FuelMix &amp; Demands'!$C21)/W$7,0%)</f>
        <v>6.0327179468225552E-3</v>
      </c>
      <c r="X21" s="124">
        <f>IFERROR(SUMIFS(EB_AGR!V:V,EB_AGR!$C:$C,'FuelMix &amp; Demands'!$C21)/X$7,0%)</f>
        <v>4.175167243915168E-3</v>
      </c>
      <c r="Y21" s="124">
        <f>IFERROR(SUMIFS(EB_AGR!W:W,EB_AGR!$C:$C,'FuelMix &amp; Demands'!$C21)/Y$7,0%)</f>
        <v>0</v>
      </c>
      <c r="Z21" s="124">
        <f>IFERROR(SUMIFS(EB_AGR!X:X,EB_AGR!$C:$C,'FuelMix &amp; Demands'!$C21)/Z$7,0%)</f>
        <v>5.2292503346720204E-6</v>
      </c>
      <c r="AA21" s="124">
        <f>IFERROR(SUMIFS(EB_AGR!Y:Y,EB_AGR!$C:$C,'FuelMix &amp; Demands'!$C21)/AA$7,0%)</f>
        <v>1.5670112785636774E-5</v>
      </c>
      <c r="AB21" s="124">
        <f>IFERROR(SUMIFS(EB_AGR!Z:Z,EB_AGR!$C:$C,'FuelMix &amp; Demands'!$C21)/AB$7,0%)</f>
        <v>0</v>
      </c>
      <c r="AC21" s="124">
        <f>IFERROR(SUMIFS(EB_AGR!AA:AA,EB_AGR!$C:$C,'FuelMix &amp; Demands'!$C21)/AC$7,0%)</f>
        <v>0</v>
      </c>
      <c r="AD21" s="124">
        <f>IFERROR(SUMIFS(EB_AGR!AB:AB,EB_AGR!$C:$C,'FuelMix &amp; Demands'!$C21)/AD$7,0%)</f>
        <v>0</v>
      </c>
      <c r="AE21" s="124">
        <f>IFERROR(SUMIFS(EB_AGR!AC:AC,EB_AGR!$C:$C,'FuelMix &amp; Demands'!$C21)/AE$7,0%)</f>
        <v>0</v>
      </c>
      <c r="AF21" s="124">
        <f>IFERROR(SUMIFS(EB_AGR!AD:AD,EB_AGR!$C:$C,'FuelMix &amp; Demands'!$C21)/AF$7,0%)</f>
        <v>5.9626769797226599E-3</v>
      </c>
      <c r="AG21" s="124">
        <f>IFERROR(SUMIFS(EB_AGR!AE:AE,EB_AGR!$C:$C,'FuelMix &amp; Demands'!$C21)/AG$7,0%)</f>
        <v>0</v>
      </c>
      <c r="AH21" s="124">
        <f>IFERROR(SUMIFS(EB_AGR!AF:AF,EB_AGR!$C:$C,'FuelMix &amp; Demands'!$C21)/AH$7,0%)</f>
        <v>0</v>
      </c>
    </row>
    <row r="22" spans="1:34" ht="17.399999999999999" x14ac:dyDescent="0.3">
      <c r="A22" s="123"/>
      <c r="B22" s="123"/>
      <c r="C22" s="122" t="str">
        <f>Legend!B37</f>
        <v>AGRELC</v>
      </c>
      <c r="D22" s="122" t="s">
        <v>63</v>
      </c>
      <c r="E22" s="122" t="s">
        <v>71</v>
      </c>
      <c r="F22" s="122">
        <f>Legend!$B$5</f>
        <v>2019</v>
      </c>
      <c r="G22" s="124">
        <f>IFERROR(SUMIFS(EB_AGR!E:E,EB_AGR!$C:$C,'FuelMix &amp; Demands'!$C22)/G$7,0%)</f>
        <v>6.531370038412293E-2</v>
      </c>
      <c r="H22" s="124">
        <f>IFERROR(SUMIFS(EB_AGR!F:F,EB_AGR!$C:$C,'FuelMix &amp; Demands'!$C22)/H$7,0%)</f>
        <v>0.36218906837067705</v>
      </c>
      <c r="I22" s="124">
        <f>IFERROR(SUMIFS(EB_AGR!G:G,EB_AGR!$C:$C,'FuelMix &amp; Demands'!$C22)/I$7,0%)</f>
        <v>7.2880358517043137E-2</v>
      </c>
      <c r="J22" s="124">
        <f>IFERROR(SUMIFS(EB_AGR!H:H,EB_AGR!$C:$C,'FuelMix &amp; Demands'!$C22)/J$7,0%)</f>
        <v>0.20865731182419431</v>
      </c>
      <c r="K22" s="124">
        <f>IFERROR(SUMIFS(EB_AGR!I:I,EB_AGR!$C:$C,'FuelMix &amp; Demands'!$C22)/K$7,0%)</f>
        <v>0.13956182073588488</v>
      </c>
      <c r="L22" s="124">
        <f>IFERROR(SUMIFS(EB_AGR!J:J,EB_AGR!$C:$C,'FuelMix &amp; Demands'!$C22)/L$7,0%)</f>
        <v>0.62144267710315604</v>
      </c>
      <c r="M22" s="124">
        <f>IFERROR(SUMIFS(EB_AGR!K:K,EB_AGR!$C:$C,'FuelMix &amp; Demands'!$C22)/M$7,0%)</f>
        <v>2.0711856904287642E-2</v>
      </c>
      <c r="N22" s="124">
        <f>IFERROR(SUMIFS(EB_AGR!L:L,EB_AGR!$C:$C,'FuelMix &amp; Demands'!$C22)/N$7,0%)</f>
        <v>0.43732126551540756</v>
      </c>
      <c r="O22" s="124">
        <f>IFERROR(SUMIFS(EB_AGR!M:M,EB_AGR!$C:$C,'FuelMix &amp; Demands'!$C22)/O$7,0%)</f>
        <v>0.20966852120248725</v>
      </c>
      <c r="P22" s="124">
        <f>IFERROR(SUMIFS(EB_AGR!N:N,EB_AGR!$C:$C,'FuelMix &amp; Demands'!$C22)/P$7,0%)</f>
        <v>0.12885919249641992</v>
      </c>
      <c r="Q22" s="124">
        <f>IFERROR(SUMIFS(EB_AGR!O:O,EB_AGR!$C:$C,'FuelMix &amp; Demands'!$C22)/Q$7,0%)</f>
        <v>0.30228316908077013</v>
      </c>
      <c r="R22" s="124">
        <f>IFERROR(SUMIFS(EB_AGR!P:P,EB_AGR!$C:$C,'FuelMix &amp; Demands'!$C22)/R$7,0%)</f>
        <v>0.25967396620468286</v>
      </c>
      <c r="S22" s="124">
        <f>IFERROR(SUMIFS(EB_AGR!Q:Q,EB_AGR!$C:$C,'FuelMix &amp; Demands'!$C22)/S$7,0%)</f>
        <v>0.1075057731010577</v>
      </c>
      <c r="T22" s="124">
        <f>IFERROR(SUMIFS(EB_AGR!R:R,EB_AGR!$C:$C,'FuelMix &amp; Demands'!$C22)/T$7,0%)</f>
        <v>0.27866904337492571</v>
      </c>
      <c r="U22" s="124">
        <f>IFERROR(SUMIFS(EB_AGR!S:S,EB_AGR!$C:$C,'FuelMix &amp; Demands'!$C22)/U$7,0%)</f>
        <v>7.5627312336347549E-2</v>
      </c>
      <c r="V22" s="124">
        <f>IFERROR(SUMIFS(EB_AGR!T:T,EB_AGR!$C:$C,'FuelMix &amp; Demands'!$C22)/V$7,0%)</f>
        <v>0.18297668950995652</v>
      </c>
      <c r="W22" s="124">
        <f>IFERROR(SUMIFS(EB_AGR!U:U,EB_AGR!$C:$C,'FuelMix &amp; Demands'!$C22)/W$7,0%)</f>
        <v>0.18235317066760301</v>
      </c>
      <c r="X22" s="124">
        <f>IFERROR(SUMIFS(EB_AGR!V:V,EB_AGR!$C:$C,'FuelMix &amp; Demands'!$C22)/X$7,0%)</f>
        <v>0.21306993405133559</v>
      </c>
      <c r="Y22" s="124">
        <f>IFERROR(SUMIFS(EB_AGR!W:W,EB_AGR!$C:$C,'FuelMix &amp; Demands'!$C22)/Y$7,0%)</f>
        <v>0.95515836377970698</v>
      </c>
      <c r="Z22" s="124">
        <f>IFERROR(SUMIFS(EB_AGR!X:X,EB_AGR!$C:$C,'FuelMix &amp; Demands'!$C22)/Z$7,0%)</f>
        <v>6.1731300200803203E-2</v>
      </c>
      <c r="AA22" s="124">
        <f>IFERROR(SUMIFS(EB_AGR!Y:Y,EB_AGR!$C:$C,'FuelMix &amp; Demands'!$C22)/AA$7,0%)</f>
        <v>9.3084387474878835E-2</v>
      </c>
      <c r="AB22" s="124">
        <f>IFERROR(SUMIFS(EB_AGR!Z:Z,EB_AGR!$C:$C,'FuelMix &amp; Demands'!$C22)/AB$7,0%)</f>
        <v>0.25314839431889741</v>
      </c>
      <c r="AC22" s="124">
        <f>IFERROR(SUMIFS(EB_AGR!AA:AA,EB_AGR!$C:$C,'FuelMix &amp; Demands'!$C22)/AC$7,0%)</f>
        <v>0.46583804642150328</v>
      </c>
      <c r="AD22" s="124">
        <f>IFERROR(SUMIFS(EB_AGR!AB:AB,EB_AGR!$C:$C,'FuelMix &amp; Demands'!$C22)/AD$7,0%)</f>
        <v>0.26646073717497054</v>
      </c>
      <c r="AE22" s="124">
        <f>IFERROR(SUMIFS(EB_AGR!AC:AC,EB_AGR!$C:$C,'FuelMix &amp; Demands'!$C22)/AE$7,0%)</f>
        <v>0</v>
      </c>
      <c r="AF22" s="124">
        <f>IFERROR(SUMIFS(EB_AGR!AD:AD,EB_AGR!$C:$C,'FuelMix &amp; Demands'!$C22)/AF$7,0%)</f>
        <v>0.18794220097214678</v>
      </c>
      <c r="AG22" s="124">
        <f>IFERROR(SUMIFS(EB_AGR!AE:AE,EB_AGR!$C:$C,'FuelMix &amp; Demands'!$C22)/AG$7,0%)</f>
        <v>0.53520930677734568</v>
      </c>
      <c r="AH22" s="124">
        <f>IFERROR(SUMIFS(EB_AGR!AF:AF,EB_AGR!$C:$C,'FuelMix &amp; Demands'!$C22)/AH$7,0%)</f>
        <v>0.30110871748446022</v>
      </c>
    </row>
    <row r="23" spans="1:34" x14ac:dyDescent="0.3">
      <c r="A23" s="125"/>
      <c r="B23" s="125"/>
      <c r="C23" s="122" t="str">
        <f>Legend!B38</f>
        <v>AGRGEO</v>
      </c>
      <c r="D23" s="122" t="s">
        <v>63</v>
      </c>
      <c r="E23" s="122" t="s">
        <v>71</v>
      </c>
      <c r="F23" s="122">
        <f>Legend!$B$5</f>
        <v>2019</v>
      </c>
      <c r="G23" s="124">
        <f>IFERROR(SUMIFS(EB_AGR!E:E,EB_AGR!$C:$C,'FuelMix &amp; Demands'!$C23)/G$7,0%)</f>
        <v>0</v>
      </c>
      <c r="H23" s="124">
        <f>IFERROR(SUMIFS(EB_AGR!F:F,EB_AGR!$C:$C,'FuelMix &amp; Demands'!$C23)/H$7,0%)</f>
        <v>0</v>
      </c>
      <c r="I23" s="124">
        <f>IFERROR(SUMIFS(EB_AGR!G:G,EB_AGR!$C:$C,'FuelMix &amp; Demands'!$C23)/I$7,0%)</f>
        <v>0</v>
      </c>
      <c r="J23" s="124">
        <f>IFERROR(SUMIFS(EB_AGR!H:H,EB_AGR!$C:$C,'FuelMix &amp; Demands'!$C23)/J$7,0%)</f>
        <v>0</v>
      </c>
      <c r="K23" s="124">
        <f>IFERROR(SUMIFS(EB_AGR!I:I,EB_AGR!$C:$C,'FuelMix &amp; Demands'!$C23)/K$7,0%)</f>
        <v>3.6556012848000924E-3</v>
      </c>
      <c r="L23" s="124">
        <f>IFERROR(SUMIFS(EB_AGR!J:J,EB_AGR!$C:$C,'FuelMix &amp; Demands'!$C23)/L$7,0%)</f>
        <v>3.0878603999856373E-4</v>
      </c>
      <c r="M23" s="124">
        <f>IFERROR(SUMIFS(EB_AGR!K:K,EB_AGR!$C:$C,'FuelMix &amp; Demands'!$C23)/M$7,0%)</f>
        <v>0</v>
      </c>
      <c r="N23" s="124">
        <f>IFERROR(SUMIFS(EB_AGR!L:L,EB_AGR!$C:$C,'FuelMix &amp; Demands'!$C23)/N$7,0%)</f>
        <v>0</v>
      </c>
      <c r="O23" s="124">
        <f>IFERROR(SUMIFS(EB_AGR!M:M,EB_AGR!$C:$C,'FuelMix &amp; Demands'!$C23)/O$7,0%)</f>
        <v>0</v>
      </c>
      <c r="P23" s="124">
        <f>IFERROR(SUMIFS(EB_AGR!N:N,EB_AGR!$C:$C,'FuelMix &amp; Demands'!$C23)/P$7,0%)</f>
        <v>0</v>
      </c>
      <c r="Q23" s="124">
        <f>IFERROR(SUMIFS(EB_AGR!O:O,EB_AGR!$C:$C,'FuelMix &amp; Demands'!$C23)/Q$7,0%)</f>
        <v>0</v>
      </c>
      <c r="R23" s="124">
        <f>IFERROR(SUMIFS(EB_AGR!P:P,EB_AGR!$C:$C,'FuelMix &amp; Demands'!$C23)/R$7,0%)</f>
        <v>0</v>
      </c>
      <c r="S23" s="124">
        <f>IFERROR(SUMIFS(EB_AGR!Q:Q,EB_AGR!$C:$C,'FuelMix &amp; Demands'!$C23)/S$7,0%)</f>
        <v>6.5271892044246437E-4</v>
      </c>
      <c r="T23" s="124">
        <f>IFERROR(SUMIFS(EB_AGR!R:R,EB_AGR!$C:$C,'FuelMix &amp; Demands'!$C23)/T$7,0%)</f>
        <v>9.0458335894441372E-3</v>
      </c>
      <c r="U23" s="124">
        <f>IFERROR(SUMIFS(EB_AGR!S:S,EB_AGR!$C:$C,'FuelMix &amp; Demands'!$C23)/U$7,0%)</f>
        <v>7.1591876830875666E-3</v>
      </c>
      <c r="V23" s="124">
        <f>IFERROR(SUMIFS(EB_AGR!T:T,EB_AGR!$C:$C,'FuelMix &amp; Demands'!$C23)/V$7,0%)</f>
        <v>6.8206920160441284E-3</v>
      </c>
      <c r="W23" s="124">
        <f>IFERROR(SUMIFS(EB_AGR!U:U,EB_AGR!$C:$C,'FuelMix &amp; Demands'!$C23)/W$7,0%)</f>
        <v>1.1424793279823249E-2</v>
      </c>
      <c r="X23" s="124">
        <f>IFERROR(SUMIFS(EB_AGR!V:V,EB_AGR!$C:$C,'FuelMix &amp; Demands'!$C23)/X$7,0%)</f>
        <v>0</v>
      </c>
      <c r="Y23" s="124">
        <f>IFERROR(SUMIFS(EB_AGR!W:W,EB_AGR!$C:$C,'FuelMix &amp; Demands'!$C23)/Y$7,0%)</f>
        <v>0</v>
      </c>
      <c r="Z23" s="124">
        <f>IFERROR(SUMIFS(EB_AGR!X:X,EB_AGR!$C:$C,'FuelMix &amp; Demands'!$C23)/Z$7,0%)</f>
        <v>2.4577476572958494E-3</v>
      </c>
      <c r="AA23" s="124">
        <f>IFERROR(SUMIFS(EB_AGR!Y:Y,EB_AGR!$C:$C,'FuelMix &amp; Demands'!$C23)/AA$7,0%)</f>
        <v>0</v>
      </c>
      <c r="AB23" s="124">
        <f>IFERROR(SUMIFS(EB_AGR!Z:Z,EB_AGR!$C:$C,'FuelMix &amp; Demands'!$C23)/AB$7,0%)</f>
        <v>0.11478958231302037</v>
      </c>
      <c r="AC23" s="124">
        <f>IFERROR(SUMIFS(EB_AGR!AA:AA,EB_AGR!$C:$C,'FuelMix &amp; Demands'!$C23)/AC$7,0%)</f>
        <v>0</v>
      </c>
      <c r="AD23" s="124">
        <f>IFERROR(SUMIFS(EB_AGR!AB:AB,EB_AGR!$C:$C,'FuelMix &amp; Demands'!$C23)/AD$7,0%)</f>
        <v>0</v>
      </c>
      <c r="AE23" s="124">
        <f>IFERROR(SUMIFS(EB_AGR!AC:AC,EB_AGR!$C:$C,'FuelMix &amp; Demands'!$C23)/AE$7,0%)</f>
        <v>0</v>
      </c>
      <c r="AF23" s="124">
        <f>IFERROR(SUMIFS(EB_AGR!AD:AD,EB_AGR!$C:$C,'FuelMix &amp; Demands'!$C23)/AF$7,0%)</f>
        <v>0</v>
      </c>
      <c r="AG23" s="124">
        <f>IFERROR(SUMIFS(EB_AGR!AE:AE,EB_AGR!$C:$C,'FuelMix &amp; Demands'!$C23)/AG$7,0%)</f>
        <v>1.0685043549383523E-2</v>
      </c>
      <c r="AH23" s="124">
        <f>IFERROR(SUMIFS(EB_AGR!AF:AF,EB_AGR!$C:$C,'FuelMix &amp; Demands'!$C23)/AH$7,0%)</f>
        <v>0</v>
      </c>
    </row>
    <row r="24" spans="1:34" x14ac:dyDescent="0.3">
      <c r="A24" s="122"/>
      <c r="B24" s="122"/>
      <c r="C24" s="122" t="str">
        <f>Legend!B39</f>
        <v>AGRHET</v>
      </c>
      <c r="D24" s="122" t="s">
        <v>63</v>
      </c>
      <c r="E24" s="122" t="s">
        <v>71</v>
      </c>
      <c r="F24" s="122">
        <f>Legend!$B$5</f>
        <v>2019</v>
      </c>
      <c r="G24" s="124">
        <f>IFERROR(SUMIFS(EB_AGR!E:E,EB_AGR!$C:$C,'FuelMix &amp; Demands'!$C24)/G$7,0%)</f>
        <v>0</v>
      </c>
      <c r="H24" s="124">
        <f>IFERROR(SUMIFS(EB_AGR!F:F,EB_AGR!$C:$C,'FuelMix &amp; Demands'!$C24)/H$7,0%)</f>
        <v>0</v>
      </c>
      <c r="I24" s="124">
        <f>IFERROR(SUMIFS(EB_AGR!G:G,EB_AGR!$C:$C,'FuelMix &amp; Demands'!$C24)/I$7,0%)</f>
        <v>0</v>
      </c>
      <c r="J24" s="124">
        <f>IFERROR(SUMIFS(EB_AGR!H:H,EB_AGR!$C:$C,'FuelMix &amp; Demands'!$C24)/J$7,0%)</f>
        <v>0</v>
      </c>
      <c r="K24" s="124">
        <f>IFERROR(SUMIFS(EB_AGR!I:I,EB_AGR!$C:$C,'FuelMix &amp; Demands'!$C24)/K$7,0%)</f>
        <v>0</v>
      </c>
      <c r="L24" s="124">
        <f>IFERROR(SUMIFS(EB_AGR!J:J,EB_AGR!$C:$C,'FuelMix &amp; Demands'!$C24)/L$7,0%)</f>
        <v>6.3143154644357463E-2</v>
      </c>
      <c r="M24" s="124">
        <f>IFERROR(SUMIFS(EB_AGR!K:K,EB_AGR!$C:$C,'FuelMix &amp; Demands'!$C24)/M$7,0%)</f>
        <v>0</v>
      </c>
      <c r="N24" s="124">
        <f>IFERROR(SUMIFS(EB_AGR!L:L,EB_AGR!$C:$C,'FuelMix &amp; Demands'!$C24)/N$7,0%)</f>
        <v>0</v>
      </c>
      <c r="O24" s="124">
        <f>IFERROR(SUMIFS(EB_AGR!M:M,EB_AGR!$C:$C,'FuelMix &amp; Demands'!$C24)/O$7,0%)</f>
        <v>0</v>
      </c>
      <c r="P24" s="124">
        <f>IFERROR(SUMIFS(EB_AGR!N:N,EB_AGR!$C:$C,'FuelMix &amp; Demands'!$C24)/P$7,0%)</f>
        <v>0</v>
      </c>
      <c r="Q24" s="124">
        <f>IFERROR(SUMIFS(EB_AGR!O:O,EB_AGR!$C:$C,'FuelMix &amp; Demands'!$C24)/Q$7,0%)</f>
        <v>0</v>
      </c>
      <c r="R24" s="124">
        <f>IFERROR(SUMIFS(EB_AGR!P:P,EB_AGR!$C:$C,'FuelMix &amp; Demands'!$C24)/R$7,0%)</f>
        <v>3.7733893457623049E-4</v>
      </c>
      <c r="S24" s="124">
        <f>IFERROR(SUMIFS(EB_AGR!Q:Q,EB_AGR!$C:$C,'FuelMix &amp; Demands'!$C24)/S$7,0%)</f>
        <v>0.34603497980032738</v>
      </c>
      <c r="T24" s="124">
        <f>IFERROR(SUMIFS(EB_AGR!R:R,EB_AGR!$C:$C,'FuelMix &amp; Demands'!$C24)/T$7,0%)</f>
        <v>1.7845800807261253E-2</v>
      </c>
      <c r="U24" s="124">
        <f>IFERROR(SUMIFS(EB_AGR!S:S,EB_AGR!$C:$C,'FuelMix &amp; Demands'!$C24)/U$7,0%)</f>
        <v>1.0106257045227267E-2</v>
      </c>
      <c r="V24" s="124">
        <f>IFERROR(SUMIFS(EB_AGR!T:T,EB_AGR!$C:$C,'FuelMix &amp; Demands'!$C24)/V$7,0%)</f>
        <v>3.0249596851458331E-3</v>
      </c>
      <c r="W24" s="124">
        <f>IFERROR(SUMIFS(EB_AGR!U:U,EB_AGR!$C:$C,'FuelMix &amp; Demands'!$C24)/W$7,0%)</f>
        <v>1.215783627063865E-2</v>
      </c>
      <c r="X24" s="124">
        <f>IFERROR(SUMIFS(EB_AGR!V:V,EB_AGR!$C:$C,'FuelMix &amp; Demands'!$C24)/X$7,0%)</f>
        <v>0</v>
      </c>
      <c r="Y24" s="124">
        <f>IFERROR(SUMIFS(EB_AGR!W:W,EB_AGR!$C:$C,'FuelMix &amp; Demands'!$C24)/Y$7,0%)</f>
        <v>0</v>
      </c>
      <c r="Z24" s="124">
        <f>IFERROR(SUMIFS(EB_AGR!X:X,EB_AGR!$C:$C,'FuelMix &amp; Demands'!$C24)/Z$7,0%)</f>
        <v>0</v>
      </c>
      <c r="AA24" s="124">
        <f>IFERROR(SUMIFS(EB_AGR!Y:Y,EB_AGR!$C:$C,'FuelMix &amp; Demands'!$C24)/AA$7,0%)</f>
        <v>0</v>
      </c>
      <c r="AB24" s="124">
        <f>IFERROR(SUMIFS(EB_AGR!Z:Z,EB_AGR!$C:$C,'FuelMix &amp; Demands'!$C24)/AB$7,0%)</f>
        <v>0</v>
      </c>
      <c r="AC24" s="124">
        <f>IFERROR(SUMIFS(EB_AGR!AA:AA,EB_AGR!$C:$C,'FuelMix &amp; Demands'!$C24)/AC$7,0%)</f>
        <v>0</v>
      </c>
      <c r="AD24" s="124">
        <f>IFERROR(SUMIFS(EB_AGR!AB:AB,EB_AGR!$C:$C,'FuelMix &amp; Demands'!$C24)/AD$7,0%)</f>
        <v>0</v>
      </c>
      <c r="AE24" s="124">
        <f>IFERROR(SUMIFS(EB_AGR!AC:AC,EB_AGR!$C:$C,'FuelMix &amp; Demands'!$C24)/AE$7,0%)</f>
        <v>0</v>
      </c>
      <c r="AF24" s="124">
        <f>IFERROR(SUMIFS(EB_AGR!AD:AD,EB_AGR!$C:$C,'FuelMix &amp; Demands'!$C24)/AF$7,0%)</f>
        <v>0.28190403030343164</v>
      </c>
      <c r="AG24" s="124">
        <f>IFERROR(SUMIFS(EB_AGR!AE:AE,EB_AGR!$C:$C,'FuelMix &amp; Demands'!$C24)/AG$7,0%)</f>
        <v>0</v>
      </c>
      <c r="AH24" s="124">
        <f>IFERROR(SUMIFS(EB_AGR!AF:AF,EB_AGR!$C:$C,'FuelMix &amp; Demands'!$C24)/AH$7,0%)</f>
        <v>0</v>
      </c>
    </row>
    <row r="25" spans="1:34" x14ac:dyDescent="0.3">
      <c r="A25" s="122"/>
      <c r="B25" s="122"/>
      <c r="C25" s="122" t="str">
        <f>Legend!B40</f>
        <v>AGRH2B</v>
      </c>
      <c r="D25" s="122" t="s">
        <v>63</v>
      </c>
      <c r="E25" s="122" t="s">
        <v>71</v>
      </c>
      <c r="F25" s="122">
        <f>Legend!$B$5</f>
        <v>2019</v>
      </c>
      <c r="G25" s="124">
        <f>IFERROR(SUMIFS(EB_AGR!E:E,EB_AGR!$C:$C,'FuelMix &amp; Demands'!$C25)/G$7,0%)</f>
        <v>0</v>
      </c>
      <c r="H25" s="124">
        <f>IFERROR(SUMIFS(EB_AGR!F:F,EB_AGR!$C:$C,'FuelMix &amp; Demands'!$C25)/H$7,0%)</f>
        <v>0</v>
      </c>
      <c r="I25" s="124">
        <f>IFERROR(SUMIFS(EB_AGR!G:G,EB_AGR!$C:$C,'FuelMix &amp; Demands'!$C25)/I$7,0%)</f>
        <v>0</v>
      </c>
      <c r="J25" s="124">
        <f>IFERROR(SUMIFS(EB_AGR!H:H,EB_AGR!$C:$C,'FuelMix &amp; Demands'!$C25)/J$7,0%)</f>
        <v>0</v>
      </c>
      <c r="K25" s="124">
        <f>IFERROR(SUMIFS(EB_AGR!I:I,EB_AGR!$C:$C,'FuelMix &amp; Demands'!$C25)/K$7,0%)</f>
        <v>0</v>
      </c>
      <c r="L25" s="124">
        <f>IFERROR(SUMIFS(EB_AGR!J:J,EB_AGR!$C:$C,'FuelMix &amp; Demands'!$C25)/L$7,0%)</f>
        <v>0</v>
      </c>
      <c r="M25" s="124">
        <f>IFERROR(SUMIFS(EB_AGR!K:K,EB_AGR!$C:$C,'FuelMix &amp; Demands'!$C25)/M$7,0%)</f>
        <v>0</v>
      </c>
      <c r="N25" s="124">
        <f>IFERROR(SUMIFS(EB_AGR!L:L,EB_AGR!$C:$C,'FuelMix &amp; Demands'!$C25)/N$7,0%)</f>
        <v>0</v>
      </c>
      <c r="O25" s="124">
        <f>IFERROR(SUMIFS(EB_AGR!M:M,EB_AGR!$C:$C,'FuelMix &amp; Demands'!$C25)/O$7,0%)</f>
        <v>0</v>
      </c>
      <c r="P25" s="124">
        <f>IFERROR(SUMIFS(EB_AGR!N:N,EB_AGR!$C:$C,'FuelMix &amp; Demands'!$C25)/P$7,0%)</f>
        <v>0</v>
      </c>
      <c r="Q25" s="124">
        <f>IFERROR(SUMIFS(EB_AGR!O:O,EB_AGR!$C:$C,'FuelMix &amp; Demands'!$C25)/Q$7,0%)</f>
        <v>0</v>
      </c>
      <c r="R25" s="124">
        <f>IFERROR(SUMIFS(EB_AGR!P:P,EB_AGR!$C:$C,'FuelMix &amp; Demands'!$C25)/R$7,0%)</f>
        <v>0</v>
      </c>
      <c r="S25" s="124">
        <f>IFERROR(SUMIFS(EB_AGR!Q:Q,EB_AGR!$C:$C,'FuelMix &amp; Demands'!$C25)/S$7,0%)</f>
        <v>0</v>
      </c>
      <c r="T25" s="124">
        <f>IFERROR(SUMIFS(EB_AGR!R:R,EB_AGR!$C:$C,'FuelMix &amp; Demands'!$C25)/T$7,0%)</f>
        <v>0</v>
      </c>
      <c r="U25" s="124">
        <f>IFERROR(SUMIFS(EB_AGR!S:S,EB_AGR!$C:$C,'FuelMix &amp; Demands'!$C25)/U$7,0%)</f>
        <v>0</v>
      </c>
      <c r="V25" s="124">
        <f>IFERROR(SUMIFS(EB_AGR!T:T,EB_AGR!$C:$C,'FuelMix &amp; Demands'!$C25)/V$7,0%)</f>
        <v>0</v>
      </c>
      <c r="W25" s="124">
        <f>IFERROR(SUMIFS(EB_AGR!U:U,EB_AGR!$C:$C,'FuelMix &amp; Demands'!$C25)/W$7,0%)</f>
        <v>0</v>
      </c>
      <c r="X25" s="124">
        <f>IFERROR(SUMIFS(EB_AGR!V:V,EB_AGR!$C:$C,'FuelMix &amp; Demands'!$C25)/X$7,0%)</f>
        <v>0</v>
      </c>
      <c r="Y25" s="124">
        <f>IFERROR(SUMIFS(EB_AGR!W:W,EB_AGR!$C:$C,'FuelMix &amp; Demands'!$C25)/Y$7,0%)</f>
        <v>0</v>
      </c>
      <c r="Z25" s="124">
        <f>IFERROR(SUMIFS(EB_AGR!X:X,EB_AGR!$C:$C,'FuelMix &amp; Demands'!$C25)/Z$7,0%)</f>
        <v>0</v>
      </c>
      <c r="AA25" s="124">
        <f>IFERROR(SUMIFS(EB_AGR!Y:Y,EB_AGR!$C:$C,'FuelMix &amp; Demands'!$C25)/AA$7,0%)</f>
        <v>0</v>
      </c>
      <c r="AB25" s="124">
        <f>IFERROR(SUMIFS(EB_AGR!Z:Z,EB_AGR!$C:$C,'FuelMix &amp; Demands'!$C25)/AB$7,0%)</f>
        <v>0</v>
      </c>
      <c r="AC25" s="124">
        <f>IFERROR(SUMIFS(EB_AGR!AA:AA,EB_AGR!$C:$C,'FuelMix &amp; Demands'!$C25)/AC$7,0%)</f>
        <v>0</v>
      </c>
      <c r="AD25" s="124">
        <f>IFERROR(SUMIFS(EB_AGR!AB:AB,EB_AGR!$C:$C,'FuelMix &amp; Demands'!$C25)/AD$7,0%)</f>
        <v>0</v>
      </c>
      <c r="AE25" s="124">
        <f>IFERROR(SUMIFS(EB_AGR!AC:AC,EB_AGR!$C:$C,'FuelMix &amp; Demands'!$C25)/AE$7,0%)</f>
        <v>0</v>
      </c>
      <c r="AF25" s="124">
        <f>IFERROR(SUMIFS(EB_AGR!AD:AD,EB_AGR!$C:$C,'FuelMix &amp; Demands'!$C25)/AF$7,0%)</f>
        <v>0</v>
      </c>
      <c r="AG25" s="124">
        <f>IFERROR(SUMIFS(EB_AGR!AE:AE,EB_AGR!$C:$C,'FuelMix &amp; Demands'!$C25)/AG$7,0%)</f>
        <v>0</v>
      </c>
      <c r="AH25" s="124">
        <f>IFERROR(SUMIFS(EB_AGR!AF:AF,EB_AGR!$C:$C,'FuelMix &amp; Demands'!$C25)/AH$7,0%)</f>
        <v>0</v>
      </c>
    </row>
    <row r="26" spans="1:34" x14ac:dyDescent="0.3">
      <c r="A26" s="122"/>
      <c r="B26" s="122"/>
      <c r="C26" s="122" t="str">
        <f>Legend!B41</f>
        <v>AGRH2G</v>
      </c>
      <c r="D26" s="122" t="s">
        <v>63</v>
      </c>
      <c r="E26" s="122" t="s">
        <v>71</v>
      </c>
      <c r="F26" s="122">
        <f>Legend!$B$5</f>
        <v>2019</v>
      </c>
      <c r="G26" s="124">
        <f>IFERROR(SUMIFS(EB_AGR!E:E,EB_AGR!$C:$C,'FuelMix &amp; Demands'!$C26)/G$7,0%)</f>
        <v>0</v>
      </c>
      <c r="H26" s="124">
        <f>IFERROR(SUMIFS(EB_AGR!F:F,EB_AGR!$C:$C,'FuelMix &amp; Demands'!$C26)/H$7,0%)</f>
        <v>0</v>
      </c>
      <c r="I26" s="124">
        <f>IFERROR(SUMIFS(EB_AGR!G:G,EB_AGR!$C:$C,'FuelMix &amp; Demands'!$C26)/I$7,0%)</f>
        <v>0</v>
      </c>
      <c r="J26" s="124">
        <f>IFERROR(SUMIFS(EB_AGR!H:H,EB_AGR!$C:$C,'FuelMix &amp; Demands'!$C26)/J$7,0%)</f>
        <v>0</v>
      </c>
      <c r="K26" s="124">
        <f>IFERROR(SUMIFS(EB_AGR!I:I,EB_AGR!$C:$C,'FuelMix &amp; Demands'!$C26)/K$7,0%)</f>
        <v>0</v>
      </c>
      <c r="L26" s="124">
        <f>IFERROR(SUMIFS(EB_AGR!J:J,EB_AGR!$C:$C,'FuelMix &amp; Demands'!$C26)/L$7,0%)</f>
        <v>0</v>
      </c>
      <c r="M26" s="124">
        <f>IFERROR(SUMIFS(EB_AGR!K:K,EB_AGR!$C:$C,'FuelMix &amp; Demands'!$C26)/M$7,0%)</f>
        <v>0</v>
      </c>
      <c r="N26" s="124">
        <f>IFERROR(SUMIFS(EB_AGR!L:L,EB_AGR!$C:$C,'FuelMix &amp; Demands'!$C26)/N$7,0%)</f>
        <v>0</v>
      </c>
      <c r="O26" s="124">
        <f>IFERROR(SUMIFS(EB_AGR!M:M,EB_AGR!$C:$C,'FuelMix &amp; Demands'!$C26)/O$7,0%)</f>
        <v>0</v>
      </c>
      <c r="P26" s="124">
        <f>IFERROR(SUMIFS(EB_AGR!N:N,EB_AGR!$C:$C,'FuelMix &amp; Demands'!$C26)/P$7,0%)</f>
        <v>0</v>
      </c>
      <c r="Q26" s="124">
        <f>IFERROR(SUMIFS(EB_AGR!O:O,EB_AGR!$C:$C,'FuelMix &amp; Demands'!$C26)/Q$7,0%)</f>
        <v>0</v>
      </c>
      <c r="R26" s="124">
        <f>IFERROR(SUMIFS(EB_AGR!P:P,EB_AGR!$C:$C,'FuelMix &amp; Demands'!$C26)/R$7,0%)</f>
        <v>0</v>
      </c>
      <c r="S26" s="124">
        <f>IFERROR(SUMIFS(EB_AGR!Q:Q,EB_AGR!$C:$C,'FuelMix &amp; Demands'!$C26)/S$7,0%)</f>
        <v>0</v>
      </c>
      <c r="T26" s="124">
        <f>IFERROR(SUMIFS(EB_AGR!R:R,EB_AGR!$C:$C,'FuelMix &amp; Demands'!$C26)/T$7,0%)</f>
        <v>0</v>
      </c>
      <c r="U26" s="124">
        <f>IFERROR(SUMIFS(EB_AGR!S:S,EB_AGR!$C:$C,'FuelMix &amp; Demands'!$C26)/U$7,0%)</f>
        <v>0</v>
      </c>
      <c r="V26" s="124">
        <f>IFERROR(SUMIFS(EB_AGR!T:T,EB_AGR!$C:$C,'FuelMix &amp; Demands'!$C26)/V$7,0%)</f>
        <v>0</v>
      </c>
      <c r="W26" s="124">
        <f>IFERROR(SUMIFS(EB_AGR!U:U,EB_AGR!$C:$C,'FuelMix &amp; Demands'!$C26)/W$7,0%)</f>
        <v>0</v>
      </c>
      <c r="X26" s="124">
        <f>IFERROR(SUMIFS(EB_AGR!V:V,EB_AGR!$C:$C,'FuelMix &amp; Demands'!$C26)/X$7,0%)</f>
        <v>0</v>
      </c>
      <c r="Y26" s="124">
        <f>IFERROR(SUMIFS(EB_AGR!W:W,EB_AGR!$C:$C,'FuelMix &amp; Demands'!$C26)/Y$7,0%)</f>
        <v>0</v>
      </c>
      <c r="Z26" s="124">
        <f>IFERROR(SUMIFS(EB_AGR!X:X,EB_AGR!$C:$C,'FuelMix &amp; Demands'!$C26)/Z$7,0%)</f>
        <v>0</v>
      </c>
      <c r="AA26" s="124">
        <f>IFERROR(SUMIFS(EB_AGR!Y:Y,EB_AGR!$C:$C,'FuelMix &amp; Demands'!$C26)/AA$7,0%)</f>
        <v>0</v>
      </c>
      <c r="AB26" s="124">
        <f>IFERROR(SUMIFS(EB_AGR!Z:Z,EB_AGR!$C:$C,'FuelMix &amp; Demands'!$C26)/AB$7,0%)</f>
        <v>0</v>
      </c>
      <c r="AC26" s="124">
        <f>IFERROR(SUMIFS(EB_AGR!AA:AA,EB_AGR!$C:$C,'FuelMix &amp; Demands'!$C26)/AC$7,0%)</f>
        <v>0</v>
      </c>
      <c r="AD26" s="124">
        <f>IFERROR(SUMIFS(EB_AGR!AB:AB,EB_AGR!$C:$C,'FuelMix &amp; Demands'!$C26)/AD$7,0%)</f>
        <v>0</v>
      </c>
      <c r="AE26" s="124">
        <f>IFERROR(SUMIFS(EB_AGR!AC:AC,EB_AGR!$C:$C,'FuelMix &amp; Demands'!$C26)/AE$7,0%)</f>
        <v>0</v>
      </c>
      <c r="AF26" s="124">
        <f>IFERROR(SUMIFS(EB_AGR!AD:AD,EB_AGR!$C:$C,'FuelMix &amp; Demands'!$C26)/AF$7,0%)</f>
        <v>0</v>
      </c>
      <c r="AG26" s="124">
        <f>IFERROR(SUMIFS(EB_AGR!AE:AE,EB_AGR!$C:$C,'FuelMix &amp; Demands'!$C26)/AG$7,0%)</f>
        <v>0</v>
      </c>
      <c r="AH26" s="124">
        <f>IFERROR(SUMIFS(EB_AGR!AF:AF,EB_AGR!$C:$C,'FuelMix &amp; Demands'!$C26)/AH$7,0%)</f>
        <v>0</v>
      </c>
    </row>
    <row r="27" spans="1:34" x14ac:dyDescent="0.3">
      <c r="A27" s="122"/>
      <c r="B27" s="122"/>
      <c r="C27" s="122" t="str">
        <f>Legend!B42</f>
        <v>AGRBLQ</v>
      </c>
      <c r="D27" s="122" t="s">
        <v>63</v>
      </c>
      <c r="E27" s="122" t="s">
        <v>71</v>
      </c>
      <c r="F27" s="122">
        <f>Legend!$B$5</f>
        <v>2019</v>
      </c>
      <c r="G27" s="124">
        <f>IFERROR(SUMIFS(EB_AGR!E:E,EB_AGR!$C:$C,'FuelMix &amp; Demands'!$C27)/G$7,0%)</f>
        <v>0</v>
      </c>
      <c r="H27" s="124">
        <f>IFERROR(SUMIFS(EB_AGR!F:F,EB_AGR!$C:$C,'FuelMix &amp; Demands'!$C27)/H$7,0%)</f>
        <v>0</v>
      </c>
      <c r="I27" s="124">
        <f>IFERROR(SUMIFS(EB_AGR!G:G,EB_AGR!$C:$C,'FuelMix &amp; Demands'!$C27)/I$7,0%)</f>
        <v>0</v>
      </c>
      <c r="J27" s="124">
        <f>IFERROR(SUMIFS(EB_AGR!H:H,EB_AGR!$C:$C,'FuelMix &amp; Demands'!$C27)/J$7,0%)</f>
        <v>0</v>
      </c>
      <c r="K27" s="124">
        <f>IFERROR(SUMIFS(EB_AGR!I:I,EB_AGR!$C:$C,'FuelMix &amp; Demands'!$C27)/K$7,0%)</f>
        <v>0</v>
      </c>
      <c r="L27" s="124">
        <f>IFERROR(SUMIFS(EB_AGR!J:J,EB_AGR!$C:$C,'FuelMix &amp; Demands'!$C27)/L$7,0%)</f>
        <v>0</v>
      </c>
      <c r="M27" s="124">
        <f>IFERROR(SUMIFS(EB_AGR!K:K,EB_AGR!$C:$C,'FuelMix &amp; Demands'!$C27)/M$7,0%)</f>
        <v>0</v>
      </c>
      <c r="N27" s="124">
        <f>IFERROR(SUMIFS(EB_AGR!L:L,EB_AGR!$C:$C,'FuelMix &amp; Demands'!$C27)/N$7,0%)</f>
        <v>0</v>
      </c>
      <c r="O27" s="124">
        <f>IFERROR(SUMIFS(EB_AGR!M:M,EB_AGR!$C:$C,'FuelMix &amp; Demands'!$C27)/O$7,0%)</f>
        <v>3.3043153022581699E-2</v>
      </c>
      <c r="P27" s="124">
        <f>IFERROR(SUMIFS(EB_AGR!N:N,EB_AGR!$C:$C,'FuelMix &amp; Demands'!$C27)/P$7,0%)</f>
        <v>0</v>
      </c>
      <c r="Q27" s="124">
        <f>IFERROR(SUMIFS(EB_AGR!O:O,EB_AGR!$C:$C,'FuelMix &amp; Demands'!$C27)/Q$7,0%)</f>
        <v>0</v>
      </c>
      <c r="R27" s="124">
        <f>IFERROR(SUMIFS(EB_AGR!P:P,EB_AGR!$C:$C,'FuelMix &amp; Demands'!$C27)/R$7,0%)</f>
        <v>0</v>
      </c>
      <c r="S27" s="124">
        <f>IFERROR(SUMIFS(EB_AGR!Q:Q,EB_AGR!$C:$C,'FuelMix &amp; Demands'!$C27)/S$7,0%)</f>
        <v>1.7356389475401892E-3</v>
      </c>
      <c r="T27" s="124">
        <f>IFERROR(SUMIFS(EB_AGR!R:R,EB_AGR!$C:$C,'FuelMix &amp; Demands'!$C27)/T$7,0%)</f>
        <v>1.2293318581351037E-4</v>
      </c>
      <c r="U27" s="124">
        <f>IFERROR(SUMIFS(EB_AGR!S:S,EB_AGR!$C:$C,'FuelMix &amp; Demands'!$C27)/U$7,0%)</f>
        <v>1.9435109702360131E-4</v>
      </c>
      <c r="V27" s="124">
        <f>IFERROR(SUMIFS(EB_AGR!T:T,EB_AGR!$C:$C,'FuelMix &amp; Demands'!$C27)/V$7,0%)</f>
        <v>1.3258150705429211E-2</v>
      </c>
      <c r="W27" s="124">
        <f>IFERROR(SUMIFS(EB_AGR!U:U,EB_AGR!$C:$C,'FuelMix &amp; Demands'!$C27)/W$7,0%)</f>
        <v>1.7695698865118032E-2</v>
      </c>
      <c r="X27" s="124">
        <f>IFERROR(SUMIFS(EB_AGR!V:V,EB_AGR!$C:$C,'FuelMix &amp; Demands'!$C27)/X$7,0%)</f>
        <v>3.4990748208948145E-4</v>
      </c>
      <c r="Y27" s="124">
        <f>IFERROR(SUMIFS(EB_AGR!W:W,EB_AGR!$C:$C,'FuelMix &amp; Demands'!$C27)/Y$7,0%)</f>
        <v>0</v>
      </c>
      <c r="Z27" s="124">
        <f>IFERROR(SUMIFS(EB_AGR!X:X,EB_AGR!$C:$C,'FuelMix &amp; Demands'!$C27)/Z$7,0%)</f>
        <v>0</v>
      </c>
      <c r="AA27" s="124">
        <f>IFERROR(SUMIFS(EB_AGR!Y:Y,EB_AGR!$C:$C,'FuelMix &amp; Demands'!$C27)/AA$7,0%)</f>
        <v>1.155670817940712E-3</v>
      </c>
      <c r="AB27" s="124">
        <f>IFERROR(SUMIFS(EB_AGR!Z:Z,EB_AGR!$C:$C,'FuelMix &amp; Demands'!$C27)/AB$7,0%)</f>
        <v>0</v>
      </c>
      <c r="AC27" s="124">
        <f>IFERROR(SUMIFS(EB_AGR!AA:AA,EB_AGR!$C:$C,'FuelMix &amp; Demands'!$C27)/AC$7,0%)</f>
        <v>0</v>
      </c>
      <c r="AD27" s="124">
        <f>IFERROR(SUMIFS(EB_AGR!AB:AB,EB_AGR!$C:$C,'FuelMix &amp; Demands'!$C27)/AD$7,0%)</f>
        <v>0</v>
      </c>
      <c r="AE27" s="124">
        <f>IFERROR(SUMIFS(EB_AGR!AC:AC,EB_AGR!$C:$C,'FuelMix &amp; Demands'!$C27)/AE$7,0%)</f>
        <v>0</v>
      </c>
      <c r="AF27" s="124">
        <f>IFERROR(SUMIFS(EB_AGR!AD:AD,EB_AGR!$C:$C,'FuelMix &amp; Demands'!$C27)/AF$7,0%)</f>
        <v>0</v>
      </c>
      <c r="AG27" s="124">
        <f>IFERROR(SUMIFS(EB_AGR!AE:AE,EB_AGR!$C:$C,'FuelMix &amp; Demands'!$C27)/AG$7,0%)</f>
        <v>0</v>
      </c>
      <c r="AH27" s="124">
        <f>IFERROR(SUMIFS(EB_AGR!AF:AF,EB_AGR!$C:$C,'FuelMix &amp; Demands'!$C27)/AH$7,0%)</f>
        <v>8.6704398724568952E-3</v>
      </c>
    </row>
    <row r="28" spans="1:34" x14ac:dyDescent="0.3">
      <c r="A28" s="122"/>
      <c r="B28" s="122"/>
      <c r="C28" s="122" t="str">
        <f>Legend!B43</f>
        <v>AGRLPG</v>
      </c>
      <c r="D28" s="122" t="s">
        <v>63</v>
      </c>
      <c r="E28" s="122" t="s">
        <v>71</v>
      </c>
      <c r="F28" s="122">
        <f>Legend!$B$5</f>
        <v>2019</v>
      </c>
      <c r="G28" s="124">
        <f>IFERROR(SUMIFS(EB_AGR!E:E,EB_AGR!$C:$C,'FuelMix &amp; Demands'!$C28)/G$7,0%)</f>
        <v>1.2804097311139566E-4</v>
      </c>
      <c r="H28" s="124">
        <f>IFERROR(SUMIFS(EB_AGR!F:F,EB_AGR!$C:$C,'FuelMix &amp; Demands'!$C28)/H$7,0%)</f>
        <v>3.8539066999424068E-2</v>
      </c>
      <c r="I28" s="124">
        <f>IFERROR(SUMIFS(EB_AGR!G:G,EB_AGR!$C:$C,'FuelMix &amp; Demands'!$C28)/I$7,0%)</f>
        <v>0</v>
      </c>
      <c r="J28" s="124">
        <f>IFERROR(SUMIFS(EB_AGR!H:H,EB_AGR!$C:$C,'FuelMix &amp; Demands'!$C28)/J$7,0%)</f>
        <v>1.5956888406760683E-3</v>
      </c>
      <c r="K28" s="124">
        <f>IFERROR(SUMIFS(EB_AGR!I:I,EB_AGR!$C:$C,'FuelMix &amp; Demands'!$C28)/K$7,0%)</f>
        <v>1.6897914253559077E-2</v>
      </c>
      <c r="L28" s="124">
        <f>IFERROR(SUMIFS(EB_AGR!J:J,EB_AGR!$C:$C,'FuelMix &amp; Demands'!$C28)/L$7,0%)</f>
        <v>1.0857778894833218E-2</v>
      </c>
      <c r="M28" s="124">
        <f>IFERROR(SUMIFS(EB_AGR!K:K,EB_AGR!$C:$C,'FuelMix &amp; Demands'!$C28)/M$7,0%)</f>
        <v>3.3802136777932038E-4</v>
      </c>
      <c r="N28" s="124">
        <f>IFERROR(SUMIFS(EB_AGR!L:L,EB_AGR!$C:$C,'FuelMix &amp; Demands'!$C28)/N$7,0%)</f>
        <v>0</v>
      </c>
      <c r="O28" s="124">
        <f>IFERROR(SUMIFS(EB_AGR!M:M,EB_AGR!$C:$C,'FuelMix &amp; Demands'!$C28)/O$7,0%)</f>
        <v>1.4156809575015194E-3</v>
      </c>
      <c r="P28" s="124">
        <f>IFERROR(SUMIFS(EB_AGR!N:N,EB_AGR!$C:$C,'FuelMix &amp; Demands'!$C28)/P$7,0%)</f>
        <v>3.2841736628139787E-2</v>
      </c>
      <c r="Q28" s="124">
        <f>IFERROR(SUMIFS(EB_AGR!O:O,EB_AGR!$C:$C,'FuelMix &amp; Demands'!$C28)/Q$7,0%)</f>
        <v>0.11980500122751025</v>
      </c>
      <c r="R28" s="124">
        <f>IFERROR(SUMIFS(EB_AGR!P:P,EB_AGR!$C:$C,'FuelMix &amp; Demands'!$C28)/R$7,0%)</f>
        <v>1.948774755107571E-3</v>
      </c>
      <c r="S28" s="124">
        <f>IFERROR(SUMIFS(EB_AGR!Q:Q,EB_AGR!$C:$C,'FuelMix &amp; Demands'!$C28)/S$7,0%)</f>
        <v>5.1970271620078029E-3</v>
      </c>
      <c r="T28" s="124">
        <f>IFERROR(SUMIFS(EB_AGR!R:R,EB_AGR!$C:$C,'FuelMix &amp; Demands'!$C28)/T$7,0%)</f>
        <v>4.1387505890548487E-2</v>
      </c>
      <c r="U28" s="124">
        <f>IFERROR(SUMIFS(EB_AGR!S:S,EB_AGR!$C:$C,'FuelMix &amp; Demands'!$C28)/U$7,0%)</f>
        <v>1.8290205058075642E-2</v>
      </c>
      <c r="V28" s="124">
        <f>IFERROR(SUMIFS(EB_AGR!T:T,EB_AGR!$C:$C,'FuelMix &amp; Demands'!$C28)/V$7,0%)</f>
        <v>3.8415911503243493E-2</v>
      </c>
      <c r="W28" s="124">
        <f>IFERROR(SUMIFS(EB_AGR!U:U,EB_AGR!$C:$C,'FuelMix &amp; Demands'!$C28)/W$7,0%)</f>
        <v>2.1868089221804023E-2</v>
      </c>
      <c r="X28" s="124">
        <f>IFERROR(SUMIFS(EB_AGR!V:V,EB_AGR!$C:$C,'FuelMix &amp; Demands'!$C28)/X$7,0%)</f>
        <v>1.4233524695165349E-4</v>
      </c>
      <c r="Y28" s="124">
        <f>IFERROR(SUMIFS(EB_AGR!W:W,EB_AGR!$C:$C,'FuelMix &amp; Demands'!$C28)/Y$7,0%)</f>
        <v>1.3965408578319083E-3</v>
      </c>
      <c r="Z28" s="124">
        <f>IFERROR(SUMIFS(EB_AGR!X:X,EB_AGR!$C:$C,'FuelMix &amp; Demands'!$C28)/Z$7,0%)</f>
        <v>4.7586178045515385E-4</v>
      </c>
      <c r="AA28" s="124">
        <f>IFERROR(SUMIFS(EB_AGR!Y:Y,EB_AGR!$C:$C,'FuelMix &amp; Demands'!$C28)/AA$7,0%)</f>
        <v>2.033980639575653E-2</v>
      </c>
      <c r="AB28" s="124">
        <f>IFERROR(SUMIFS(EB_AGR!Z:Z,EB_AGR!$C:$C,'FuelMix &amp; Demands'!$C28)/AB$7,0%)</f>
        <v>5.4222346603232351E-4</v>
      </c>
      <c r="AC28" s="124">
        <f>IFERROR(SUMIFS(EB_AGR!AA:AA,EB_AGR!$C:$C,'FuelMix &amp; Demands'!$C28)/AC$7,0%)</f>
        <v>7.8942501704440376E-3</v>
      </c>
      <c r="AD28" s="124">
        <f>IFERROR(SUMIFS(EB_AGR!AB:AB,EB_AGR!$C:$C,'FuelMix &amp; Demands'!$C28)/AD$7,0%)</f>
        <v>1.9018415282373302E-2</v>
      </c>
      <c r="AE28" s="124">
        <f>IFERROR(SUMIFS(EB_AGR!AC:AC,EB_AGR!$C:$C,'FuelMix &amp; Demands'!$C28)/AE$7,0%)</f>
        <v>0</v>
      </c>
      <c r="AF28" s="124">
        <f>IFERROR(SUMIFS(EB_AGR!AD:AD,EB_AGR!$C:$C,'FuelMix &amp; Demands'!$C28)/AF$7,0%)</f>
        <v>6.2805451439015671E-3</v>
      </c>
      <c r="AG28" s="124">
        <f>IFERROR(SUMIFS(EB_AGR!AE:AE,EB_AGR!$C:$C,'FuelMix &amp; Demands'!$C28)/AG$7,0%)</f>
        <v>1.9751668450407652E-3</v>
      </c>
      <c r="AH28" s="124">
        <f>IFERROR(SUMIFS(EB_AGR!AF:AF,EB_AGR!$C:$C,'FuelMix &amp; Demands'!$C28)/AH$7,0%)</f>
        <v>3.8654413571974328E-2</v>
      </c>
    </row>
    <row r="29" spans="1:34" x14ac:dyDescent="0.3">
      <c r="A29" s="122"/>
      <c r="B29" s="122"/>
      <c r="C29" s="122" t="str">
        <f>Legend!B44</f>
        <v>AGRGAS</v>
      </c>
      <c r="D29" s="122" t="s">
        <v>63</v>
      </c>
      <c r="E29" s="122" t="s">
        <v>71</v>
      </c>
      <c r="F29" s="122">
        <f>Legend!$B$5</f>
        <v>2019</v>
      </c>
      <c r="G29" s="124">
        <f>IFERROR(SUMIFS(EB_AGR!E:E,EB_AGR!$C:$C,'FuelMix &amp; Demands'!$C29)/G$7,0%)</f>
        <v>0</v>
      </c>
      <c r="H29" s="124">
        <f>IFERROR(SUMIFS(EB_AGR!F:F,EB_AGR!$C:$C,'FuelMix &amp; Demands'!$C29)/H$7,0%)</f>
        <v>1.7531470257521317E-2</v>
      </c>
      <c r="I29" s="124">
        <f>IFERROR(SUMIFS(EB_AGR!G:G,EB_AGR!$C:$C,'FuelMix &amp; Demands'!$C29)/I$7,0%)</f>
        <v>0</v>
      </c>
      <c r="J29" s="124">
        <f>IFERROR(SUMIFS(EB_AGR!H:H,EB_AGR!$C:$C,'FuelMix &amp; Demands'!$C29)/J$7,0%)</f>
        <v>0</v>
      </c>
      <c r="K29" s="124">
        <f>IFERROR(SUMIFS(EB_AGR!I:I,EB_AGR!$C:$C,'FuelMix &amp; Demands'!$C29)/K$7,0%)</f>
        <v>1.9937402962269268E-2</v>
      </c>
      <c r="L29" s="124">
        <f>IFERROR(SUMIFS(EB_AGR!J:J,EB_AGR!$C:$C,'FuelMix &amp; Demands'!$C29)/L$7,0%)</f>
        <v>6.9261426878747603E-2</v>
      </c>
      <c r="M29" s="124">
        <f>IFERROR(SUMIFS(EB_AGR!K:K,EB_AGR!$C:$C,'FuelMix &amp; Demands'!$C29)/M$7,0%)</f>
        <v>0</v>
      </c>
      <c r="N29" s="124">
        <f>IFERROR(SUMIFS(EB_AGR!L:L,EB_AGR!$C:$C,'FuelMix &amp; Demands'!$C29)/N$7,0%)</f>
        <v>1.0124524628984838E-2</v>
      </c>
      <c r="O29" s="124">
        <f>IFERROR(SUMIFS(EB_AGR!M:M,EB_AGR!$C:$C,'FuelMix &amp; Demands'!$C29)/O$7,0%)</f>
        <v>0</v>
      </c>
      <c r="P29" s="124">
        <f>IFERROR(SUMIFS(EB_AGR!N:N,EB_AGR!$C:$C,'FuelMix &amp; Demands'!$C29)/P$7,0%)</f>
        <v>0.13504204475271986</v>
      </c>
      <c r="Q29" s="124">
        <f>IFERROR(SUMIFS(EB_AGR!O:O,EB_AGR!$C:$C,'FuelMix &amp; Demands'!$C29)/Q$7,0%)</f>
        <v>3.6088801599270505E-2</v>
      </c>
      <c r="R29" s="124">
        <f>IFERROR(SUMIFS(EB_AGR!P:P,EB_AGR!$C:$C,'FuelMix &amp; Demands'!$C29)/R$7,0%)</f>
        <v>2.2748301434967607E-3</v>
      </c>
      <c r="S29" s="124">
        <f>IFERROR(SUMIFS(EB_AGR!Q:Q,EB_AGR!$C:$C,'FuelMix &amp; Demands'!$C29)/S$7,0%)</f>
        <v>4.4597514723262018E-2</v>
      </c>
      <c r="T29" s="124">
        <f>IFERROR(SUMIFS(EB_AGR!R:R,EB_AGR!$C:$C,'FuelMix &amp; Demands'!$C29)/T$7,0%)</f>
        <v>4.0270862786075765E-2</v>
      </c>
      <c r="U29" s="124">
        <f>IFERROR(SUMIFS(EB_AGR!S:S,EB_AGR!$C:$C,'FuelMix &amp; Demands'!$C29)/U$7,0%)</f>
        <v>6.214994717183818E-2</v>
      </c>
      <c r="V29" s="124">
        <f>IFERROR(SUMIFS(EB_AGR!T:T,EB_AGR!$C:$C,'FuelMix &amp; Demands'!$C29)/V$7,0%)</f>
        <v>4.8201279310352257E-2</v>
      </c>
      <c r="W29" s="124">
        <f>IFERROR(SUMIFS(EB_AGR!U:U,EB_AGR!$C:$C,'FuelMix &amp; Demands'!$C29)/W$7,0%)</f>
        <v>0.23647309814357376</v>
      </c>
      <c r="X29" s="124">
        <f>IFERROR(SUMIFS(EB_AGR!V:V,EB_AGR!$C:$C,'FuelMix &amp; Demands'!$C29)/X$7,0%)</f>
        <v>0</v>
      </c>
      <c r="Y29" s="124">
        <f>IFERROR(SUMIFS(EB_AGR!W:W,EB_AGR!$C:$C,'FuelMix &amp; Demands'!$C29)/Y$7,0%)</f>
        <v>8.3931989274194114E-3</v>
      </c>
      <c r="Z29" s="124">
        <f>IFERROR(SUMIFS(EB_AGR!X:X,EB_AGR!$C:$C,'FuelMix &amp; Demands'!$C29)/Z$7,0%)</f>
        <v>3.2421352074966529E-4</v>
      </c>
      <c r="AA29" s="124">
        <f>IFERROR(SUMIFS(EB_AGR!Y:Y,EB_AGR!$C:$C,'FuelMix &amp; Demands'!$C29)/AA$7,0%)</f>
        <v>1.3868049815288542E-3</v>
      </c>
      <c r="AB29" s="124">
        <f>IFERROR(SUMIFS(EB_AGR!Z:Z,EB_AGR!$C:$C,'FuelMix &amp; Demands'!$C29)/AB$7,0%)</f>
        <v>3.0145875603442247E-2</v>
      </c>
      <c r="AC29" s="124">
        <f>IFERROR(SUMIFS(EB_AGR!AA:AA,EB_AGR!$C:$C,'FuelMix &amp; Demands'!$C29)/AC$7,0%)</f>
        <v>0.22179530706148959</v>
      </c>
      <c r="AD29" s="124">
        <f>IFERROR(SUMIFS(EB_AGR!AB:AB,EB_AGR!$C:$C,'FuelMix &amp; Demands'!$C29)/AD$7,0%)</f>
        <v>0</v>
      </c>
      <c r="AE29" s="124">
        <f>IFERROR(SUMIFS(EB_AGR!AC:AC,EB_AGR!$C:$C,'FuelMix &amp; Demands'!$C29)/AE$7,0%)</f>
        <v>0</v>
      </c>
      <c r="AF29" s="124">
        <f>IFERROR(SUMIFS(EB_AGR!AD:AD,EB_AGR!$C:$C,'FuelMix &amp; Demands'!$C29)/AF$7,0%)</f>
        <v>0.13682900017217858</v>
      </c>
      <c r="AG29" s="124">
        <f>IFERROR(SUMIFS(EB_AGR!AE:AE,EB_AGR!$C:$C,'FuelMix &amp; Demands'!$C29)/AG$7,0%)</f>
        <v>1.4879010154271845E-3</v>
      </c>
      <c r="AH29" s="124">
        <f>IFERROR(SUMIFS(EB_AGR!AF:AF,EB_AGR!$C:$C,'FuelMix &amp; Demands'!$C29)/AH$7,0%)</f>
        <v>6.9137749444751526E-2</v>
      </c>
    </row>
    <row r="30" spans="1:34" x14ac:dyDescent="0.3">
      <c r="A30" s="122"/>
      <c r="B30" s="122"/>
      <c r="C30" s="122" t="str">
        <f>Legend!B45</f>
        <v>AGROIL</v>
      </c>
      <c r="D30" s="122" t="s">
        <v>63</v>
      </c>
      <c r="E30" s="122" t="s">
        <v>71</v>
      </c>
      <c r="F30" s="122">
        <f>Legend!$B$5</f>
        <v>2019</v>
      </c>
      <c r="G30" s="124">
        <f t="shared" ref="G30:AB30" si="0">1-SUM(G20:G29,G31:G33)</f>
        <v>0.23516005121638917</v>
      </c>
      <c r="H30" s="124">
        <f t="shared" si="0"/>
        <v>0.58174039437237757</v>
      </c>
      <c r="I30" s="124">
        <f t="shared" si="0"/>
        <v>0.54094427594948169</v>
      </c>
      <c r="J30" s="124">
        <f t="shared" si="0"/>
        <v>0.54194632046750879</v>
      </c>
      <c r="K30" s="124">
        <f>1-SUM(K20:K29,K31:K33)</f>
        <v>0.80320542836253705</v>
      </c>
      <c r="L30" s="124">
        <f t="shared" si="0"/>
        <v>0.20588129690136814</v>
      </c>
      <c r="M30" s="124">
        <f t="shared" si="0"/>
        <v>0.94402527112130541</v>
      </c>
      <c r="N30" s="124">
        <f t="shared" si="0"/>
        <v>0.55236355973870899</v>
      </c>
      <c r="O30" s="124">
        <f t="shared" si="0"/>
        <v>0.51558464631352563</v>
      </c>
      <c r="P30" s="124">
        <f t="shared" si="0"/>
        <v>0.70054227211336806</v>
      </c>
      <c r="Q30" s="124">
        <f t="shared" si="0"/>
        <v>0.53031950338442124</v>
      </c>
      <c r="R30" s="124">
        <f t="shared" si="0"/>
        <v>0.40445605431953213</v>
      </c>
      <c r="S30" s="124">
        <f t="shared" si="0"/>
        <v>0.47425963378512681</v>
      </c>
      <c r="T30" s="124">
        <f t="shared" si="0"/>
        <v>0.55390620197922424</v>
      </c>
      <c r="U30" s="124">
        <f t="shared" si="0"/>
        <v>0.60873237147208581</v>
      </c>
      <c r="V30" s="124">
        <f t="shared" si="0"/>
        <v>0.67573293373723542</v>
      </c>
      <c r="W30" s="124">
        <f t="shared" si="0"/>
        <v>0.39031561915439295</v>
      </c>
      <c r="X30" s="124">
        <f t="shared" si="0"/>
        <v>0.72750510034634908</v>
      </c>
      <c r="Y30" s="124">
        <f t="shared" si="0"/>
        <v>3.5051896435041696E-2</v>
      </c>
      <c r="Z30" s="124">
        <f t="shared" si="0"/>
        <v>0.93490106258366801</v>
      </c>
      <c r="AA30" s="124">
        <f t="shared" si="0"/>
        <v>0.82342133407505202</v>
      </c>
      <c r="AB30" s="124">
        <f t="shared" si="0"/>
        <v>0.60136955152872029</v>
      </c>
      <c r="AC30" s="124">
        <f>1-SUM(AC20:AC29,AC31:AC33)</f>
        <v>0.30447239634656309</v>
      </c>
      <c r="AD30" s="124">
        <f t="shared" ref="AD30:AH30" si="1">1-SUM(AD20:AD29,AD31:AD33)</f>
        <v>0.7145208475426561</v>
      </c>
      <c r="AE30" s="124">
        <f t="shared" si="1"/>
        <v>1</v>
      </c>
      <c r="AF30" s="124">
        <f t="shared" si="1"/>
        <v>0.37253354171357433</v>
      </c>
      <c r="AG30" s="124">
        <f t="shared" si="1"/>
        <v>0.44484759891061287</v>
      </c>
      <c r="AH30" s="124">
        <f t="shared" si="1"/>
        <v>0.51659850947620356</v>
      </c>
    </row>
    <row r="31" spans="1:34" x14ac:dyDescent="0.3">
      <c r="A31" s="122"/>
      <c r="B31" s="122"/>
      <c r="C31" s="122" t="str">
        <f>Legend!B46</f>
        <v>AGRSOL</v>
      </c>
      <c r="D31" s="122" t="s">
        <v>63</v>
      </c>
      <c r="E31" s="122" t="s">
        <v>71</v>
      </c>
      <c r="F31" s="122">
        <f>Legend!$B$5</f>
        <v>2019</v>
      </c>
      <c r="G31" s="124">
        <f>IFERROR(SUMIFS(EB_AGR!E:E,EB_AGR!$C:$C,'FuelMix &amp; Demands'!$C31)/G$7,0%)</f>
        <v>0</v>
      </c>
      <c r="H31" s="124">
        <f>IFERROR(SUMIFS(EB_AGR!F:F,EB_AGR!$C:$C,'FuelMix &amp; Demands'!$C31)/H$7,0%)</f>
        <v>0</v>
      </c>
      <c r="I31" s="124">
        <f>IFERROR(SUMIFS(EB_AGR!G:G,EB_AGR!$C:$C,'FuelMix &amp; Demands'!$C31)/I$7,0%)</f>
        <v>0</v>
      </c>
      <c r="J31" s="124">
        <f>IFERROR(SUMIFS(EB_AGR!H:H,EB_AGR!$C:$C,'FuelMix &amp; Demands'!$C31)/J$7,0%)</f>
        <v>0</v>
      </c>
      <c r="K31" s="124">
        <f>IFERROR(SUMIFS(EB_AGR!I:I,EB_AGR!$C:$C,'FuelMix &amp; Demands'!$C31)/K$7,0%)</f>
        <v>0</v>
      </c>
      <c r="L31" s="124">
        <f>IFERROR(SUMIFS(EB_AGR!J:J,EB_AGR!$C:$C,'FuelMix &amp; Demands'!$C31)/L$7,0%)</f>
        <v>0</v>
      </c>
      <c r="M31" s="124">
        <f>IFERROR(SUMIFS(EB_AGR!K:K,EB_AGR!$C:$C,'FuelMix &amp; Demands'!$C31)/M$7,0%)</f>
        <v>0</v>
      </c>
      <c r="N31" s="124">
        <f>IFERROR(SUMIFS(EB_AGR!L:L,EB_AGR!$C:$C,'FuelMix &amp; Demands'!$C31)/N$7,0%)</f>
        <v>1.9065011689862432E-4</v>
      </c>
      <c r="O31" s="124">
        <f>IFERROR(SUMIFS(EB_AGR!M:M,EB_AGR!$C:$C,'FuelMix &amp; Demands'!$C31)/O$7,0%)</f>
        <v>0</v>
      </c>
      <c r="P31" s="124">
        <f>IFERROR(SUMIFS(EB_AGR!N:N,EB_AGR!$C:$C,'FuelMix &amp; Demands'!$C31)/P$7,0%)</f>
        <v>0</v>
      </c>
      <c r="Q31" s="124">
        <f>IFERROR(SUMIFS(EB_AGR!O:O,EB_AGR!$C:$C,'FuelMix &amp; Demands'!$C31)/Q$7,0%)</f>
        <v>0</v>
      </c>
      <c r="R31" s="124">
        <f>IFERROR(SUMIFS(EB_AGR!P:P,EB_AGR!$C:$C,'FuelMix &amp; Demands'!$C31)/R$7,0%)</f>
        <v>0</v>
      </c>
      <c r="S31" s="124">
        <f>IFERROR(SUMIFS(EB_AGR!Q:Q,EB_AGR!$C:$C,'FuelMix &amp; Demands'!$C31)/S$7,0%)</f>
        <v>0</v>
      </c>
      <c r="T31" s="124">
        <f>IFERROR(SUMIFS(EB_AGR!R:R,EB_AGR!$C:$C,'FuelMix &amp; Demands'!$C31)/T$7,0%)</f>
        <v>1.5366648226688794E-4</v>
      </c>
      <c r="U31" s="124">
        <f>IFERROR(SUMIFS(EB_AGR!S:S,EB_AGR!$C:$C,'FuelMix &amp; Demands'!$C31)/U$7,0%)</f>
        <v>0</v>
      </c>
      <c r="V31" s="124">
        <f>IFERROR(SUMIFS(EB_AGR!T:T,EB_AGR!$C:$C,'FuelMix &amp; Demands'!$C31)/V$7,0%)</f>
        <v>5.188720883417408E-4</v>
      </c>
      <c r="W31" s="124">
        <f>IFERROR(SUMIFS(EB_AGR!U:U,EB_AGR!$C:$C,'FuelMix &amp; Demands'!$C31)/W$7,0%)</f>
        <v>2.1560087965158897E-4</v>
      </c>
      <c r="X31" s="124">
        <f>IFERROR(SUMIFS(EB_AGR!V:V,EB_AGR!$C:$C,'FuelMix &amp; Demands'!$C31)/X$7,0%)</f>
        <v>0</v>
      </c>
      <c r="Y31" s="124">
        <f>IFERROR(SUMIFS(EB_AGR!W:W,EB_AGR!$C:$C,'FuelMix &amp; Demands'!$C31)/Y$7,0%)</f>
        <v>0</v>
      </c>
      <c r="Z31" s="124">
        <f>IFERROR(SUMIFS(EB_AGR!X:X,EB_AGR!$C:$C,'FuelMix &amp; Demands'!$C31)/Z$7,0%)</f>
        <v>0</v>
      </c>
      <c r="AA31" s="124">
        <f>IFERROR(SUMIFS(EB_AGR!Y:Y,EB_AGR!$C:$C,'FuelMix &amp; Demands'!$C31)/AA$7,0%)</f>
        <v>2.7422697374864354E-5</v>
      </c>
      <c r="AB31" s="124">
        <f>IFERROR(SUMIFS(EB_AGR!Z:Z,EB_AGR!$C:$C,'FuelMix &amp; Demands'!$C31)/AB$7,0%)</f>
        <v>0</v>
      </c>
      <c r="AC31" s="124">
        <f>IFERROR(SUMIFS(EB_AGR!AA:AA,EB_AGR!$C:$C,'FuelMix &amp; Demands'!$C31)/AC$7,0%)</f>
        <v>0</v>
      </c>
      <c r="AD31" s="124">
        <f>IFERROR(SUMIFS(EB_AGR!AB:AB,EB_AGR!$C:$C,'FuelMix &amp; Demands'!$C31)/AD$7,0%)</f>
        <v>0</v>
      </c>
      <c r="AE31" s="124">
        <f>IFERROR(SUMIFS(EB_AGR!AC:AC,EB_AGR!$C:$C,'FuelMix &amp; Demands'!$C31)/AE$7,0%)</f>
        <v>0</v>
      </c>
      <c r="AF31" s="124">
        <f>IFERROR(SUMIFS(EB_AGR!AD:AD,EB_AGR!$C:$C,'FuelMix &amp; Demands'!$C31)/AF$7,0%)</f>
        <v>0</v>
      </c>
      <c r="AG31" s="124">
        <f>IFERROR(SUMIFS(EB_AGR!AE:AE,EB_AGR!$C:$C,'FuelMix &amp; Demands'!$C31)/AG$7,0%)</f>
        <v>0</v>
      </c>
      <c r="AH31" s="124">
        <f>IFERROR(SUMIFS(EB_AGR!AF:AF,EB_AGR!$C:$C,'FuelMix &amp; Demands'!$C31)/AH$7,0%)</f>
        <v>0</v>
      </c>
    </row>
    <row r="32" spans="1:34" x14ac:dyDescent="0.3">
      <c r="C32" s="122" t="str">
        <f>Legend!B47</f>
        <v>AGRBIO</v>
      </c>
      <c r="D32" s="122" t="s">
        <v>63</v>
      </c>
      <c r="E32" s="122" t="s">
        <v>71</v>
      </c>
      <c r="F32" s="122">
        <f>Legend!$B$5</f>
        <v>2019</v>
      </c>
      <c r="G32" s="126">
        <f>IFERROR(SUMIFS(EB_AGR!E:E,EB_AGR!$C:$C,'FuelMix &amp; Demands'!$C32)/G$7,0%)</f>
        <v>0.69939820742637648</v>
      </c>
      <c r="H32" s="126">
        <f>IFERROR(SUMIFS(EB_AGR!F:F,EB_AGR!$C:$C,'FuelMix &amp; Demands'!$C32)/H$7,0%)</f>
        <v>0</v>
      </c>
      <c r="I32" s="126">
        <f>IFERROR(SUMIFS(EB_AGR!G:G,EB_AGR!$C:$C,'FuelMix &amp; Demands'!$C32)/I$7,0%)</f>
        <v>0.3861753655334752</v>
      </c>
      <c r="J32" s="126">
        <f>IFERROR(SUMIFS(EB_AGR!H:H,EB_AGR!$C:$C,'FuelMix &amp; Demands'!$C32)/J$7,0%)</f>
        <v>0.11213913286909054</v>
      </c>
      <c r="K32" s="126">
        <f>IFERROR(SUMIFS(EB_AGR!I:I,EB_AGR!$C:$C,'FuelMix &amp; Demands'!$C32)/K$7,0%)</f>
        <v>0</v>
      </c>
      <c r="L32" s="126">
        <f>IFERROR(SUMIFS(EB_AGR!J:J,EB_AGR!$C:$C,'FuelMix &amp; Demands'!$C32)/L$7,0%)</f>
        <v>9.3353919069333224E-5</v>
      </c>
      <c r="M32" s="126">
        <f>IFERROR(SUMIFS(EB_AGR!K:K,EB_AGR!$C:$C,'FuelMix &amp; Demands'!$C32)/M$7,0%)</f>
        <v>2.0120319510673829E-5</v>
      </c>
      <c r="N32" s="126">
        <f>IFERROR(SUMIFS(EB_AGR!L:L,EB_AGR!$C:$C,'FuelMix &amp; Demands'!$C32)/N$7,0%)</f>
        <v>0</v>
      </c>
      <c r="O32" s="126">
        <f>IFERROR(SUMIFS(EB_AGR!M:M,EB_AGR!$C:$C,'FuelMix &amp; Demands'!$C32)/O$7,0%)</f>
        <v>0.24028799850390387</v>
      </c>
      <c r="P32" s="126">
        <f>IFERROR(SUMIFS(EB_AGR!N:N,EB_AGR!$C:$C,'FuelMix &amp; Demands'!$C32)/P$7,0%)</f>
        <v>0</v>
      </c>
      <c r="Q32" s="126">
        <f>IFERROR(SUMIFS(EB_AGR!O:O,EB_AGR!$C:$C,'FuelMix &amp; Demands'!$C32)/Q$7,0%)</f>
        <v>1.0837161996282397E-2</v>
      </c>
      <c r="R32" s="126">
        <f>IFERROR(SUMIFS(EB_AGR!P:P,EB_AGR!$C:$C,'FuelMix &amp; Demands'!$C32)/R$7,0%)</f>
        <v>7.7854901033552387E-2</v>
      </c>
      <c r="S32" s="126">
        <f>IFERROR(SUMIFS(EB_AGR!Q:Q,EB_AGR!$C:$C,'FuelMix &amp; Demands'!$C32)/S$7,0%)</f>
        <v>1.6832236402925367E-2</v>
      </c>
      <c r="T32" s="126">
        <f>IFERROR(SUMIFS(EB_AGR!R:R,EB_AGR!$C:$C,'FuelMix &amp; Demands'!$C32)/T$7,0%)</f>
        <v>5.2789558874751577E-2</v>
      </c>
      <c r="U32" s="126">
        <f>IFERROR(SUMIFS(EB_AGR!S:S,EB_AGR!$C:$C,'FuelMix &amp; Demands'!$C32)/U$7,0%)</f>
        <v>9.0585279494545812E-2</v>
      </c>
      <c r="V32" s="126">
        <f>IFERROR(SUMIFS(EB_AGR!T:T,EB_AGR!$C:$C,'FuelMix &amp; Demands'!$C32)/V$7,0%)</f>
        <v>2.7556198583759087E-2</v>
      </c>
      <c r="W32" s="126">
        <f>IFERROR(SUMIFS(EB_AGR!U:U,EB_AGR!$C:$C,'FuelMix &amp; Demands'!$C32)/W$7,0%)</f>
        <v>7.5969536622376072E-2</v>
      </c>
      <c r="X32" s="126">
        <f>IFERROR(SUMIFS(EB_AGR!V:V,EB_AGR!$C:$C,'FuelMix &amp; Demands'!$C32)/X$7,0%)</f>
        <v>5.4757555629359023E-2</v>
      </c>
      <c r="Y32" s="126">
        <f>IFERROR(SUMIFS(EB_AGR!W:W,EB_AGR!$C:$C,'FuelMix &amp; Demands'!$C32)/Y$7,0%)</f>
        <v>0</v>
      </c>
      <c r="Z32" s="126">
        <f>IFERROR(SUMIFS(EB_AGR!X:X,EB_AGR!$C:$C,'FuelMix &amp; Demands'!$C32)/Z$7,0%)</f>
        <v>1.0458500669344041E-4</v>
      </c>
      <c r="AA32" s="126">
        <f>IFERROR(SUMIFS(EB_AGR!Y:Y,EB_AGR!$C:$C,'FuelMix &amp; Demands'!$C32)/AA$7,0%)</f>
        <v>6.0568903444682527E-2</v>
      </c>
      <c r="AB32" s="126">
        <f>IFERROR(SUMIFS(EB_AGR!Z:Z,EB_AGR!$C:$C,'FuelMix &amp; Demands'!$C32)/AB$7,0%)</f>
        <v>4.3727698873574483E-6</v>
      </c>
      <c r="AC32" s="126">
        <f>IFERROR(SUMIFS(EB_AGR!AA:AA,EB_AGR!$C:$C,'FuelMix &amp; Demands'!$C32)/AC$7,0%)</f>
        <v>0</v>
      </c>
      <c r="AD32" s="126">
        <f>IFERROR(SUMIFS(EB_AGR!AB:AB,EB_AGR!$C:$C,'FuelMix &amp; Demands'!$C32)/AD$7,0%)</f>
        <v>0</v>
      </c>
      <c r="AE32" s="126">
        <f>IFERROR(SUMIFS(EB_AGR!AC:AC,EB_AGR!$C:$C,'FuelMix &amp; Demands'!$C32)/AE$7,0%)</f>
        <v>0</v>
      </c>
      <c r="AF32" s="126">
        <f>IFERROR(SUMIFS(EB_AGR!AD:AD,EB_AGR!$C:$C,'FuelMix &amp; Demands'!$C32)/AF$7,0%)</f>
        <v>8.5480047150444348E-3</v>
      </c>
      <c r="AG32" s="126">
        <f>IFERROR(SUMIFS(EB_AGR!AE:AE,EB_AGR!$C:$C,'FuelMix &amp; Demands'!$C32)/AG$7,0%)</f>
        <v>5.5339476363256684E-3</v>
      </c>
      <c r="AH32" s="126">
        <f>IFERROR(SUMIFS(EB_AGR!AF:AF,EB_AGR!$C:$C,'FuelMix &amp; Demands'!$C32)/AH$7,0%)</f>
        <v>6.5787907872683765E-2</v>
      </c>
    </row>
    <row r="33" spans="1:34" x14ac:dyDescent="0.3">
      <c r="A33" s="127"/>
      <c r="B33" s="127"/>
      <c r="C33" s="127" t="str">
        <f>Legend!B48</f>
        <v>AGRWAS</v>
      </c>
      <c r="D33" s="127" t="s">
        <v>63</v>
      </c>
      <c r="E33" s="127" t="s">
        <v>71</v>
      </c>
      <c r="F33" s="127">
        <f>Legend!$B$5</f>
        <v>2019</v>
      </c>
      <c r="G33" s="128">
        <f>IFERROR(SUMIFS(EB_AGR!E:E,EB_AGR!$C:$C,'FuelMix &amp; Demands'!$C33)/G$7,0%)</f>
        <v>0</v>
      </c>
      <c r="H33" s="128">
        <f>IFERROR(SUMIFS(EB_AGR!F:F,EB_AGR!$C:$C,'FuelMix &amp; Demands'!$C33)/H$7,0%)</f>
        <v>0</v>
      </c>
      <c r="I33" s="128">
        <f>IFERROR(SUMIFS(EB_AGR!G:G,EB_AGR!$C:$C,'FuelMix &amp; Demands'!$C33)/I$7,0%)</f>
        <v>0</v>
      </c>
      <c r="J33" s="128">
        <f>IFERROR(SUMIFS(EB_AGR!H:H,EB_AGR!$C:$C,'FuelMix &amp; Demands'!$C33)/J$7,0%)</f>
        <v>0</v>
      </c>
      <c r="K33" s="128">
        <f>IFERROR(SUMIFS(EB_AGR!I:I,EB_AGR!$C:$C,'FuelMix &amp; Demands'!$C33)/K$7,0%)</f>
        <v>0</v>
      </c>
      <c r="L33" s="128">
        <f>IFERROR(SUMIFS(EB_AGR!J:J,EB_AGR!$C:$C,'FuelMix &amp; Demands'!$C33)/L$7,0%)</f>
        <v>0</v>
      </c>
      <c r="M33" s="128">
        <f>IFERROR(SUMIFS(EB_AGR!K:K,EB_AGR!$C:$C,'FuelMix &amp; Demands'!$C33)/M$7,0%)</f>
        <v>0</v>
      </c>
      <c r="N33" s="128">
        <f>IFERROR(SUMIFS(EB_AGR!L:L,EB_AGR!$C:$C,'FuelMix &amp; Demands'!$C33)/N$7,0%)</f>
        <v>0</v>
      </c>
      <c r="O33" s="128">
        <f>IFERROR(SUMIFS(EB_AGR!M:M,EB_AGR!$C:$C,'FuelMix &amp; Demands'!$C33)/O$7,0%)</f>
        <v>0</v>
      </c>
      <c r="P33" s="128">
        <f>IFERROR(SUMIFS(EB_AGR!N:N,EB_AGR!$C:$C,'FuelMix &amp; Demands'!$C33)/P$7,0%)</f>
        <v>0</v>
      </c>
      <c r="Q33" s="128">
        <f>IFERROR(SUMIFS(EB_AGR!O:O,EB_AGR!$C:$C,'FuelMix &amp; Demands'!$C33)/Q$7,0%)</f>
        <v>0</v>
      </c>
      <c r="R33" s="128">
        <f>IFERROR(SUMIFS(EB_AGR!P:P,EB_AGR!$C:$C,'FuelMix &amp; Demands'!$C33)/R$7,0%)</f>
        <v>0</v>
      </c>
      <c r="S33" s="128">
        <f>IFERROR(SUMIFS(EB_AGR!Q:Q,EB_AGR!$C:$C,'FuelMix &amp; Demands'!$C33)/S$7,0%)</f>
        <v>0</v>
      </c>
      <c r="T33" s="128">
        <f>IFERROR(SUMIFS(EB_AGR!R:R,EB_AGR!$C:$C,'FuelMix &amp; Demands'!$C33)/T$7,0%)</f>
        <v>0</v>
      </c>
      <c r="U33" s="128">
        <f>IFERROR(SUMIFS(EB_AGR!S:S,EB_AGR!$C:$C,'FuelMix &amp; Demands'!$C33)/U$7,0%)</f>
        <v>0</v>
      </c>
      <c r="V33" s="128">
        <f>IFERROR(SUMIFS(EB_AGR!T:T,EB_AGR!$C:$C,'FuelMix &amp; Demands'!$C33)/V$7,0%)</f>
        <v>0</v>
      </c>
      <c r="W33" s="128">
        <f>IFERROR(SUMIFS(EB_AGR!U:U,EB_AGR!$C:$C,'FuelMix &amp; Demands'!$C33)/W$7,0%)</f>
        <v>0</v>
      </c>
      <c r="X33" s="128">
        <f>IFERROR(SUMIFS(EB_AGR!V:V,EB_AGR!$C:$C,'FuelMix &amp; Demands'!$C33)/X$7,0%)</f>
        <v>0</v>
      </c>
      <c r="Y33" s="128">
        <f>IFERROR(SUMIFS(EB_AGR!W:W,EB_AGR!$C:$C,'FuelMix &amp; Demands'!$C33)/Y$7,0%)</f>
        <v>0</v>
      </c>
      <c r="Z33" s="128">
        <f>IFERROR(SUMIFS(EB_AGR!X:X,EB_AGR!$C:$C,'FuelMix &amp; Demands'!$C33)/Z$7,0%)</f>
        <v>0</v>
      </c>
      <c r="AA33" s="128">
        <f>IFERROR(SUMIFS(EB_AGR!Y:Y,EB_AGR!$C:$C,'FuelMix &amp; Demands'!$C33)/AA$7,0%)</f>
        <v>0</v>
      </c>
      <c r="AB33" s="128">
        <f>IFERROR(SUMIFS(EB_AGR!Z:Z,EB_AGR!$C:$C,'FuelMix &amp; Demands'!$C33)/AB$7,0%)</f>
        <v>0</v>
      </c>
      <c r="AC33" s="128">
        <f>IFERROR(SUMIFS(EB_AGR!AA:AA,EB_AGR!$C:$C,'FuelMix &amp; Demands'!$C33)/AC$7,0%)</f>
        <v>0</v>
      </c>
      <c r="AD33" s="128">
        <f>IFERROR(SUMIFS(EB_AGR!AB:AB,EB_AGR!$C:$C,'FuelMix &amp; Demands'!$C33)/AD$7,0%)</f>
        <v>0</v>
      </c>
      <c r="AE33" s="128">
        <f>IFERROR(SUMIFS(EB_AGR!AC:AC,EB_AGR!$C:$C,'FuelMix &amp; Demands'!$C33)/AE$7,0%)</f>
        <v>0</v>
      </c>
      <c r="AF33" s="128">
        <f>IFERROR(SUMIFS(EB_AGR!AD:AD,EB_AGR!$C:$C,'FuelMix &amp; Demands'!$C33)/AF$7,0%)</f>
        <v>0</v>
      </c>
      <c r="AG33" s="128">
        <f>IFERROR(SUMIFS(EB_AGR!AE:AE,EB_AGR!$C:$C,'FuelMix &amp; Demands'!$C33)/AG$7,0%)</f>
        <v>0</v>
      </c>
      <c r="AH33" s="128">
        <f>IFERROR(SUMIFS(EB_AGR!AF:AF,EB_AGR!$C:$C,'FuelMix &amp; Demands'!$C33)/AH$7,0%)</f>
        <v>0</v>
      </c>
    </row>
    <row r="34" spans="1:34" x14ac:dyDescent="0.3">
      <c r="C34" s="122" t="str">
        <f t="shared" ref="C34:C47" si="2">C20</f>
        <v>AGRBGS</v>
      </c>
      <c r="D34" s="122" t="s">
        <v>63</v>
      </c>
      <c r="E34" s="122" t="s">
        <v>71</v>
      </c>
      <c r="F34" s="129">
        <v>2050</v>
      </c>
      <c r="G34" s="130">
        <f>MAX(G30*0.3,5%)</f>
        <v>7.0548015364916741E-2</v>
      </c>
      <c r="H34" s="130">
        <f t="shared" ref="H34:AH34" si="3">MAX(H30*0.3,5%)</f>
        <v>0.17452211831171327</v>
      </c>
      <c r="I34" s="130">
        <f t="shared" si="3"/>
        <v>0.1622832827848445</v>
      </c>
      <c r="J34" s="130">
        <f t="shared" si="3"/>
        <v>0.16258389614025262</v>
      </c>
      <c r="K34" s="130">
        <f t="shared" si="3"/>
        <v>0.2409616285087611</v>
      </c>
      <c r="L34" s="130">
        <f t="shared" si="3"/>
        <v>6.1764389070410437E-2</v>
      </c>
      <c r="M34" s="130">
        <f t="shared" si="3"/>
        <v>0.28320758133639162</v>
      </c>
      <c r="N34" s="130">
        <f t="shared" si="3"/>
        <v>0.16570906792161269</v>
      </c>
      <c r="O34" s="130">
        <f t="shared" si="3"/>
        <v>0.15467539389405768</v>
      </c>
      <c r="P34" s="130">
        <f t="shared" si="3"/>
        <v>0.21016268163401042</v>
      </c>
      <c r="Q34" s="130">
        <f t="shared" si="3"/>
        <v>0.15909585101532636</v>
      </c>
      <c r="R34" s="130">
        <f t="shared" si="3"/>
        <v>0.12133681629585963</v>
      </c>
      <c r="S34" s="130">
        <f t="shared" si="3"/>
        <v>0.14227789013553804</v>
      </c>
      <c r="T34" s="130">
        <f t="shared" si="3"/>
        <v>0.16617186059376726</v>
      </c>
      <c r="U34" s="130">
        <f t="shared" si="3"/>
        <v>0.18261971144162573</v>
      </c>
      <c r="V34" s="130">
        <f t="shared" si="3"/>
        <v>0.20271988012117062</v>
      </c>
      <c r="W34" s="130">
        <f t="shared" si="3"/>
        <v>0.11709468574631787</v>
      </c>
      <c r="X34" s="130">
        <f t="shared" si="3"/>
        <v>0.21825153010390472</v>
      </c>
      <c r="Y34" s="130">
        <f t="shared" si="3"/>
        <v>0.05</v>
      </c>
      <c r="Z34" s="130">
        <f t="shared" si="3"/>
        <v>0.28047031877510037</v>
      </c>
      <c r="AA34" s="130">
        <f t="shared" si="3"/>
        <v>0.2470264002225156</v>
      </c>
      <c r="AB34" s="130">
        <f t="shared" si="3"/>
        <v>0.18041086545861609</v>
      </c>
      <c r="AC34" s="130">
        <f t="shared" si="3"/>
        <v>9.134171890396893E-2</v>
      </c>
      <c r="AD34" s="130">
        <f t="shared" si="3"/>
        <v>0.21435625426279684</v>
      </c>
      <c r="AE34" s="130">
        <f t="shared" si="3"/>
        <v>0.3</v>
      </c>
      <c r="AF34" s="130">
        <f t="shared" si="3"/>
        <v>0.11176006251407229</v>
      </c>
      <c r="AG34" s="130">
        <f t="shared" si="3"/>
        <v>0.13345427967318385</v>
      </c>
      <c r="AH34" s="130">
        <f t="shared" si="3"/>
        <v>0.15497955284286105</v>
      </c>
    </row>
    <row r="35" spans="1:34" x14ac:dyDescent="0.3">
      <c r="C35" s="122" t="str">
        <f t="shared" si="2"/>
        <v>AGRCOA</v>
      </c>
      <c r="D35" s="122" t="s">
        <v>63</v>
      </c>
      <c r="E35" s="122" t="s">
        <v>71</v>
      </c>
      <c r="F35" s="122">
        <v>2050</v>
      </c>
      <c r="G35" s="130">
        <f t="shared" ref="G35:AH35" si="4">G21</f>
        <v>0</v>
      </c>
      <c r="H35" s="130">
        <f t="shared" si="4"/>
        <v>0</v>
      </c>
      <c r="I35" s="130">
        <f t="shared" si="4"/>
        <v>0</v>
      </c>
      <c r="J35" s="130">
        <f t="shared" si="4"/>
        <v>0.13566154599853031</v>
      </c>
      <c r="K35" s="130">
        <f t="shared" si="4"/>
        <v>1.6741832400949633E-2</v>
      </c>
      <c r="L35" s="130">
        <f t="shared" si="4"/>
        <v>2.9011525618469709E-2</v>
      </c>
      <c r="M35" s="130">
        <f t="shared" si="4"/>
        <v>3.4904730287116957E-2</v>
      </c>
      <c r="N35" s="130">
        <f t="shared" si="4"/>
        <v>0</v>
      </c>
      <c r="O35" s="130">
        <f t="shared" si="4"/>
        <v>0</v>
      </c>
      <c r="P35" s="130">
        <f t="shared" si="4"/>
        <v>2.690999911770495E-3</v>
      </c>
      <c r="Q35" s="130">
        <f t="shared" si="4"/>
        <v>0</v>
      </c>
      <c r="R35" s="130">
        <f t="shared" si="4"/>
        <v>0.25341413460905199</v>
      </c>
      <c r="S35" s="130">
        <f t="shared" si="4"/>
        <v>2.3537439858379774E-3</v>
      </c>
      <c r="T35" s="130">
        <f t="shared" si="4"/>
        <v>0</v>
      </c>
      <c r="U35" s="130">
        <f t="shared" si="4"/>
        <v>0.11235613601749866</v>
      </c>
      <c r="V35" s="130">
        <f t="shared" si="4"/>
        <v>1.8946366711233687E-4</v>
      </c>
      <c r="W35" s="130">
        <f t="shared" si="4"/>
        <v>6.0327179468225552E-3</v>
      </c>
      <c r="X35" s="130">
        <f t="shared" si="4"/>
        <v>4.175167243915168E-3</v>
      </c>
      <c r="Y35" s="130">
        <f t="shared" si="4"/>
        <v>0</v>
      </c>
      <c r="Z35" s="130">
        <f t="shared" si="4"/>
        <v>5.2292503346720204E-6</v>
      </c>
      <c r="AA35" s="130">
        <f t="shared" si="4"/>
        <v>1.5670112785636774E-5</v>
      </c>
      <c r="AB35" s="130">
        <f t="shared" si="4"/>
        <v>0</v>
      </c>
      <c r="AC35" s="130">
        <f t="shared" si="4"/>
        <v>0</v>
      </c>
      <c r="AD35" s="130">
        <f t="shared" si="4"/>
        <v>0</v>
      </c>
      <c r="AE35" s="130">
        <f t="shared" si="4"/>
        <v>0</v>
      </c>
      <c r="AF35" s="130">
        <f t="shared" si="4"/>
        <v>5.9626769797226599E-3</v>
      </c>
      <c r="AG35" s="130">
        <f t="shared" si="4"/>
        <v>0</v>
      </c>
      <c r="AH35" s="130">
        <f t="shared" si="4"/>
        <v>0</v>
      </c>
    </row>
    <row r="36" spans="1:34" x14ac:dyDescent="0.3">
      <c r="C36" s="122" t="str">
        <f t="shared" si="2"/>
        <v>AGRELC</v>
      </c>
      <c r="D36" s="122" t="s">
        <v>63</v>
      </c>
      <c r="E36" s="122" t="s">
        <v>71</v>
      </c>
      <c r="F36" s="122">
        <v>2050</v>
      </c>
      <c r="G36" s="130">
        <f>MIN(100%,MAX(G22*3,40%))</f>
        <v>0.4</v>
      </c>
      <c r="H36" s="130">
        <f t="shared" ref="H36:AH36" si="5">MIN(100%,MAX(H22*3,40%))</f>
        <v>1</v>
      </c>
      <c r="I36" s="130">
        <f t="shared" si="5"/>
        <v>0.4</v>
      </c>
      <c r="J36" s="130">
        <f t="shared" si="5"/>
        <v>0.6259719354725829</v>
      </c>
      <c r="K36" s="130">
        <f t="shared" si="5"/>
        <v>0.41868546220765468</v>
      </c>
      <c r="L36" s="130">
        <f t="shared" si="5"/>
        <v>1</v>
      </c>
      <c r="M36" s="130">
        <f t="shared" si="5"/>
        <v>0.4</v>
      </c>
      <c r="N36" s="130">
        <f t="shared" si="5"/>
        <v>1</v>
      </c>
      <c r="O36" s="130">
        <f t="shared" si="5"/>
        <v>0.62900556360746174</v>
      </c>
      <c r="P36" s="130">
        <f t="shared" si="5"/>
        <v>0.4</v>
      </c>
      <c r="Q36" s="130">
        <f t="shared" si="5"/>
        <v>0.90684950724231039</v>
      </c>
      <c r="R36" s="130">
        <f t="shared" si="5"/>
        <v>0.77902189861404858</v>
      </c>
      <c r="S36" s="130">
        <f t="shared" si="5"/>
        <v>0.4</v>
      </c>
      <c r="T36" s="130">
        <f t="shared" si="5"/>
        <v>0.83600713012477712</v>
      </c>
      <c r="U36" s="130">
        <f t="shared" si="5"/>
        <v>0.4</v>
      </c>
      <c r="V36" s="130">
        <f t="shared" si="5"/>
        <v>0.54893006852986959</v>
      </c>
      <c r="W36" s="130">
        <f t="shared" si="5"/>
        <v>0.547059512002809</v>
      </c>
      <c r="X36" s="130">
        <f t="shared" si="5"/>
        <v>0.6392098021540068</v>
      </c>
      <c r="Y36" s="130">
        <f t="shared" si="5"/>
        <v>1</v>
      </c>
      <c r="Z36" s="130">
        <f t="shared" si="5"/>
        <v>0.4</v>
      </c>
      <c r="AA36" s="130">
        <f t="shared" si="5"/>
        <v>0.4</v>
      </c>
      <c r="AB36" s="130">
        <f t="shared" si="5"/>
        <v>0.75944518295669217</v>
      </c>
      <c r="AC36" s="130">
        <f t="shared" si="5"/>
        <v>1</v>
      </c>
      <c r="AD36" s="130">
        <f t="shared" si="5"/>
        <v>0.79938221152491162</v>
      </c>
      <c r="AE36" s="130">
        <f t="shared" si="5"/>
        <v>0.4</v>
      </c>
      <c r="AF36" s="130">
        <f t="shared" si="5"/>
        <v>0.56382660291644038</v>
      </c>
      <c r="AG36" s="130">
        <f t="shared" si="5"/>
        <v>1</v>
      </c>
      <c r="AH36" s="130">
        <f t="shared" si="5"/>
        <v>0.90332615245338066</v>
      </c>
    </row>
    <row r="37" spans="1:34" x14ac:dyDescent="0.3">
      <c r="C37" s="122" t="str">
        <f t="shared" si="2"/>
        <v>AGRGEO</v>
      </c>
      <c r="D37" s="122" t="s">
        <v>63</v>
      </c>
      <c r="E37" s="122" t="s">
        <v>71</v>
      </c>
      <c r="F37" s="122">
        <v>2050</v>
      </c>
      <c r="G37" s="130">
        <f>MAX(G23*1.5,0%)</f>
        <v>0</v>
      </c>
      <c r="H37" s="130">
        <f t="shared" ref="H37:AH37" si="6">MAX(H23*1.5,0%)</f>
        <v>0</v>
      </c>
      <c r="I37" s="130">
        <f t="shared" si="6"/>
        <v>0</v>
      </c>
      <c r="J37" s="130">
        <f t="shared" si="6"/>
        <v>0</v>
      </c>
      <c r="K37" s="130">
        <f t="shared" si="6"/>
        <v>5.4834019272001384E-3</v>
      </c>
      <c r="L37" s="130">
        <f t="shared" si="6"/>
        <v>4.6317905999784559E-4</v>
      </c>
      <c r="M37" s="130">
        <f t="shared" si="6"/>
        <v>0</v>
      </c>
      <c r="N37" s="130">
        <f t="shared" si="6"/>
        <v>0</v>
      </c>
      <c r="O37" s="130">
        <f t="shared" si="6"/>
        <v>0</v>
      </c>
      <c r="P37" s="130">
        <f t="shared" si="6"/>
        <v>0</v>
      </c>
      <c r="Q37" s="130">
        <f t="shared" si="6"/>
        <v>0</v>
      </c>
      <c r="R37" s="130">
        <f t="shared" si="6"/>
        <v>0</v>
      </c>
      <c r="S37" s="130">
        <f t="shared" si="6"/>
        <v>9.7907838066369651E-4</v>
      </c>
      <c r="T37" s="130">
        <f t="shared" si="6"/>
        <v>1.3568750384166207E-2</v>
      </c>
      <c r="U37" s="130">
        <f t="shared" si="6"/>
        <v>1.073878152463135E-2</v>
      </c>
      <c r="V37" s="130">
        <f t="shared" si="6"/>
        <v>1.0231038024066193E-2</v>
      </c>
      <c r="W37" s="130">
        <f t="shared" si="6"/>
        <v>1.7137189919734872E-2</v>
      </c>
      <c r="X37" s="130">
        <f t="shared" si="6"/>
        <v>0</v>
      </c>
      <c r="Y37" s="130">
        <f t="shared" si="6"/>
        <v>0</v>
      </c>
      <c r="Z37" s="130">
        <f t="shared" si="6"/>
        <v>3.6866214859437741E-3</v>
      </c>
      <c r="AA37" s="130">
        <f t="shared" si="6"/>
        <v>0</v>
      </c>
      <c r="AB37" s="130">
        <f t="shared" si="6"/>
        <v>0.17218437346953056</v>
      </c>
      <c r="AC37" s="130">
        <f t="shared" si="6"/>
        <v>0</v>
      </c>
      <c r="AD37" s="130">
        <f t="shared" si="6"/>
        <v>0</v>
      </c>
      <c r="AE37" s="130">
        <f t="shared" si="6"/>
        <v>0</v>
      </c>
      <c r="AF37" s="130">
        <f t="shared" si="6"/>
        <v>0</v>
      </c>
      <c r="AG37" s="130">
        <f t="shared" si="6"/>
        <v>1.6027565324075285E-2</v>
      </c>
      <c r="AH37" s="130">
        <f t="shared" si="6"/>
        <v>0</v>
      </c>
    </row>
    <row r="38" spans="1:34" x14ac:dyDescent="0.3">
      <c r="C38" s="122" t="str">
        <f t="shared" si="2"/>
        <v>AGRHET</v>
      </c>
      <c r="D38" s="122" t="s">
        <v>63</v>
      </c>
      <c r="E38" s="122" t="s">
        <v>71</v>
      </c>
      <c r="F38" s="122">
        <v>2050</v>
      </c>
      <c r="G38" s="130">
        <f t="shared" ref="G38:AH38" si="7">MAX(G24*1.5,0%)</f>
        <v>0</v>
      </c>
      <c r="H38" s="130">
        <f t="shared" si="7"/>
        <v>0</v>
      </c>
      <c r="I38" s="130">
        <f t="shared" si="7"/>
        <v>0</v>
      </c>
      <c r="J38" s="130">
        <f t="shared" si="7"/>
        <v>0</v>
      </c>
      <c r="K38" s="130">
        <f t="shared" si="7"/>
        <v>0</v>
      </c>
      <c r="L38" s="130">
        <f t="shared" si="7"/>
        <v>9.4714731966536195E-2</v>
      </c>
      <c r="M38" s="130">
        <f t="shared" si="7"/>
        <v>0</v>
      </c>
      <c r="N38" s="130">
        <f t="shared" si="7"/>
        <v>0</v>
      </c>
      <c r="O38" s="130">
        <f t="shared" si="7"/>
        <v>0</v>
      </c>
      <c r="P38" s="130">
        <f t="shared" si="7"/>
        <v>0</v>
      </c>
      <c r="Q38" s="130">
        <f t="shared" si="7"/>
        <v>0</v>
      </c>
      <c r="R38" s="130">
        <f t="shared" si="7"/>
        <v>5.6600840186434573E-4</v>
      </c>
      <c r="S38" s="130">
        <f t="shared" si="7"/>
        <v>0.51905246970049101</v>
      </c>
      <c r="T38" s="130">
        <f t="shared" si="7"/>
        <v>2.6768701210891879E-2</v>
      </c>
      <c r="U38" s="130">
        <f t="shared" si="7"/>
        <v>1.51593855678409E-2</v>
      </c>
      <c r="V38" s="130">
        <f t="shared" si="7"/>
        <v>4.5374395277187497E-3</v>
      </c>
      <c r="W38" s="130">
        <f t="shared" si="7"/>
        <v>1.8236754405957976E-2</v>
      </c>
      <c r="X38" s="130">
        <f t="shared" si="7"/>
        <v>0</v>
      </c>
      <c r="Y38" s="130">
        <f t="shared" si="7"/>
        <v>0</v>
      </c>
      <c r="Z38" s="130">
        <f t="shared" si="7"/>
        <v>0</v>
      </c>
      <c r="AA38" s="130">
        <f t="shared" si="7"/>
        <v>0</v>
      </c>
      <c r="AB38" s="130">
        <f t="shared" si="7"/>
        <v>0</v>
      </c>
      <c r="AC38" s="130">
        <f t="shared" si="7"/>
        <v>0</v>
      </c>
      <c r="AD38" s="130">
        <f t="shared" si="7"/>
        <v>0</v>
      </c>
      <c r="AE38" s="130">
        <f t="shared" si="7"/>
        <v>0</v>
      </c>
      <c r="AF38" s="130">
        <f t="shared" si="7"/>
        <v>0.42285604545514743</v>
      </c>
      <c r="AG38" s="130">
        <f t="shared" si="7"/>
        <v>0</v>
      </c>
      <c r="AH38" s="130">
        <f t="shared" si="7"/>
        <v>0</v>
      </c>
    </row>
    <row r="39" spans="1:34" x14ac:dyDescent="0.3">
      <c r="C39" s="122" t="str">
        <f t="shared" si="2"/>
        <v>AGRH2B</v>
      </c>
      <c r="D39" s="122" t="s">
        <v>63</v>
      </c>
      <c r="E39" s="122" t="s">
        <v>71</v>
      </c>
      <c r="F39" s="122">
        <v>2050</v>
      </c>
      <c r="G39" s="130">
        <f>G43*0.5</f>
        <v>0</v>
      </c>
      <c r="H39" s="130">
        <f t="shared" ref="H39:AH39" si="8">H43*0.5</f>
        <v>1.051888215451279E-2</v>
      </c>
      <c r="I39" s="130">
        <f t="shared" si="8"/>
        <v>0</v>
      </c>
      <c r="J39" s="130">
        <f t="shared" si="8"/>
        <v>0</v>
      </c>
      <c r="K39" s="130">
        <f t="shared" si="8"/>
        <v>1.196244177736156E-2</v>
      </c>
      <c r="L39" s="130">
        <f t="shared" si="8"/>
        <v>4.1556856127248562E-2</v>
      </c>
      <c r="M39" s="130">
        <f t="shared" si="8"/>
        <v>0</v>
      </c>
      <c r="N39" s="130">
        <f t="shared" si="8"/>
        <v>6.0747147773909027E-3</v>
      </c>
      <c r="O39" s="130">
        <f t="shared" si="8"/>
        <v>0</v>
      </c>
      <c r="P39" s="130">
        <f t="shared" si="8"/>
        <v>8.102522685163191E-2</v>
      </c>
      <c r="Q39" s="130">
        <f t="shared" si="8"/>
        <v>2.1653280959562302E-2</v>
      </c>
      <c r="R39" s="130">
        <f t="shared" si="8"/>
        <v>1.3648980860980564E-3</v>
      </c>
      <c r="S39" s="130">
        <f t="shared" si="8"/>
        <v>2.6758508833957209E-2</v>
      </c>
      <c r="T39" s="130">
        <f t="shared" si="8"/>
        <v>2.4162517671645459E-2</v>
      </c>
      <c r="U39" s="130">
        <f t="shared" si="8"/>
        <v>3.7289968303102904E-2</v>
      </c>
      <c r="V39" s="130">
        <f t="shared" si="8"/>
        <v>2.8920767586211354E-2</v>
      </c>
      <c r="W39" s="130">
        <f t="shared" si="8"/>
        <v>0.14188385888614424</v>
      </c>
      <c r="X39" s="130">
        <f t="shared" si="8"/>
        <v>0</v>
      </c>
      <c r="Y39" s="130">
        <f t="shared" si="8"/>
        <v>5.0359193564516467E-3</v>
      </c>
      <c r="Z39" s="130">
        <f t="shared" si="8"/>
        <v>1.9452811244979917E-4</v>
      </c>
      <c r="AA39" s="130">
        <f t="shared" si="8"/>
        <v>8.3208298891731256E-4</v>
      </c>
      <c r="AB39" s="130">
        <f t="shared" si="8"/>
        <v>1.8087525362065347E-2</v>
      </c>
      <c r="AC39" s="130">
        <f t="shared" si="8"/>
        <v>0.13307718423689374</v>
      </c>
      <c r="AD39" s="130">
        <f t="shared" si="8"/>
        <v>0</v>
      </c>
      <c r="AE39" s="130">
        <f t="shared" si="8"/>
        <v>0</v>
      </c>
      <c r="AF39" s="130">
        <f t="shared" si="8"/>
        <v>8.2097400103307142E-2</v>
      </c>
      <c r="AG39" s="130">
        <f t="shared" si="8"/>
        <v>8.9274060925631071E-4</v>
      </c>
      <c r="AH39" s="130">
        <f t="shared" si="8"/>
        <v>4.1482649666850911E-2</v>
      </c>
    </row>
    <row r="40" spans="1:34" x14ac:dyDescent="0.3">
      <c r="C40" s="122" t="str">
        <f t="shared" si="2"/>
        <v>AGRH2G</v>
      </c>
      <c r="D40" s="122" t="s">
        <v>63</v>
      </c>
      <c r="E40" s="122" t="s">
        <v>71</v>
      </c>
      <c r="F40" s="122">
        <v>2050</v>
      </c>
      <c r="G40" s="130">
        <f>MAX(G30*0.3,5%)</f>
        <v>7.0548015364916741E-2</v>
      </c>
      <c r="H40" s="130">
        <f t="shared" ref="H40:AH40" si="9">MAX(H30*0.3,5%)</f>
        <v>0.17452211831171327</v>
      </c>
      <c r="I40" s="130">
        <f t="shared" si="9"/>
        <v>0.1622832827848445</v>
      </c>
      <c r="J40" s="130">
        <f t="shared" si="9"/>
        <v>0.16258389614025262</v>
      </c>
      <c r="K40" s="130">
        <f t="shared" si="9"/>
        <v>0.2409616285087611</v>
      </c>
      <c r="L40" s="130">
        <f t="shared" si="9"/>
        <v>6.1764389070410437E-2</v>
      </c>
      <c r="M40" s="130">
        <f t="shared" si="9"/>
        <v>0.28320758133639162</v>
      </c>
      <c r="N40" s="130">
        <f t="shared" si="9"/>
        <v>0.16570906792161269</v>
      </c>
      <c r="O40" s="130">
        <f t="shared" si="9"/>
        <v>0.15467539389405768</v>
      </c>
      <c r="P40" s="130">
        <f t="shared" si="9"/>
        <v>0.21016268163401042</v>
      </c>
      <c r="Q40" s="130">
        <f t="shared" si="9"/>
        <v>0.15909585101532636</v>
      </c>
      <c r="R40" s="130">
        <f t="shared" si="9"/>
        <v>0.12133681629585963</v>
      </c>
      <c r="S40" s="130">
        <f t="shared" si="9"/>
        <v>0.14227789013553804</v>
      </c>
      <c r="T40" s="130">
        <f t="shared" si="9"/>
        <v>0.16617186059376726</v>
      </c>
      <c r="U40" s="130">
        <f t="shared" si="9"/>
        <v>0.18261971144162573</v>
      </c>
      <c r="V40" s="130">
        <f t="shared" si="9"/>
        <v>0.20271988012117062</v>
      </c>
      <c r="W40" s="130">
        <f t="shared" si="9"/>
        <v>0.11709468574631787</v>
      </c>
      <c r="X40" s="130">
        <f t="shared" si="9"/>
        <v>0.21825153010390472</v>
      </c>
      <c r="Y40" s="130">
        <f t="shared" si="9"/>
        <v>0.05</v>
      </c>
      <c r="Z40" s="130">
        <f t="shared" si="9"/>
        <v>0.28047031877510037</v>
      </c>
      <c r="AA40" s="130">
        <f t="shared" si="9"/>
        <v>0.2470264002225156</v>
      </c>
      <c r="AB40" s="130">
        <f t="shared" si="9"/>
        <v>0.18041086545861609</v>
      </c>
      <c r="AC40" s="130">
        <f t="shared" si="9"/>
        <v>9.134171890396893E-2</v>
      </c>
      <c r="AD40" s="130">
        <f t="shared" si="9"/>
        <v>0.21435625426279684</v>
      </c>
      <c r="AE40" s="130">
        <f t="shared" si="9"/>
        <v>0.3</v>
      </c>
      <c r="AF40" s="130">
        <f t="shared" si="9"/>
        <v>0.11176006251407229</v>
      </c>
      <c r="AG40" s="130">
        <f t="shared" si="9"/>
        <v>0.13345427967318385</v>
      </c>
      <c r="AH40" s="130">
        <f t="shared" si="9"/>
        <v>0.15497955284286105</v>
      </c>
    </row>
    <row r="41" spans="1:34" x14ac:dyDescent="0.3">
      <c r="C41" s="122" t="str">
        <f t="shared" si="2"/>
        <v>AGRBLQ</v>
      </c>
      <c r="D41" s="122" t="s">
        <v>63</v>
      </c>
      <c r="E41" s="122" t="s">
        <v>71</v>
      </c>
      <c r="F41" s="122">
        <v>2050</v>
      </c>
      <c r="G41" s="130">
        <f>MAX(G30*0.5,3%)</f>
        <v>0.11758002560819458</v>
      </c>
      <c r="H41" s="130">
        <f t="shared" ref="H41:AH41" si="10">MAX(H30*0.5,3%)</f>
        <v>0.29087019718618878</v>
      </c>
      <c r="I41" s="130">
        <f t="shared" si="10"/>
        <v>0.27047213797474084</v>
      </c>
      <c r="J41" s="130">
        <f t="shared" si="10"/>
        <v>0.2709731602337544</v>
      </c>
      <c r="K41" s="130">
        <f t="shared" si="10"/>
        <v>0.40160271418126853</v>
      </c>
      <c r="L41" s="130">
        <f t="shared" si="10"/>
        <v>0.10294064845068407</v>
      </c>
      <c r="M41" s="130">
        <f t="shared" si="10"/>
        <v>0.4720126355606527</v>
      </c>
      <c r="N41" s="130">
        <f t="shared" si="10"/>
        <v>0.27618177986935449</v>
      </c>
      <c r="O41" s="130">
        <f t="shared" si="10"/>
        <v>0.25779232315676281</v>
      </c>
      <c r="P41" s="130">
        <f t="shared" si="10"/>
        <v>0.35027113605668403</v>
      </c>
      <c r="Q41" s="130">
        <f t="shared" si="10"/>
        <v>0.26515975169221062</v>
      </c>
      <c r="R41" s="130">
        <f t="shared" si="10"/>
        <v>0.20222802715976607</v>
      </c>
      <c r="S41" s="130">
        <f t="shared" si="10"/>
        <v>0.23712981689256341</v>
      </c>
      <c r="T41" s="130">
        <f t="shared" si="10"/>
        <v>0.27695310098961212</v>
      </c>
      <c r="U41" s="130">
        <f t="shared" si="10"/>
        <v>0.3043661857360429</v>
      </c>
      <c r="V41" s="130">
        <f t="shared" si="10"/>
        <v>0.33786646686861771</v>
      </c>
      <c r="W41" s="130">
        <f t="shared" si="10"/>
        <v>0.19515780957719647</v>
      </c>
      <c r="X41" s="130">
        <f t="shared" si="10"/>
        <v>0.36375255017317454</v>
      </c>
      <c r="Y41" s="130">
        <f t="shared" si="10"/>
        <v>0.03</v>
      </c>
      <c r="Z41" s="130">
        <f t="shared" si="10"/>
        <v>0.467450531291834</v>
      </c>
      <c r="AA41" s="130">
        <f t="shared" si="10"/>
        <v>0.41171066703752601</v>
      </c>
      <c r="AB41" s="130">
        <f t="shared" si="10"/>
        <v>0.30068477576436015</v>
      </c>
      <c r="AC41" s="130">
        <f t="shared" si="10"/>
        <v>0.15223619817328155</v>
      </c>
      <c r="AD41" s="130">
        <f t="shared" si="10"/>
        <v>0.35726042377132805</v>
      </c>
      <c r="AE41" s="130">
        <f t="shared" si="10"/>
        <v>0.5</v>
      </c>
      <c r="AF41" s="130">
        <f t="shared" si="10"/>
        <v>0.18626677085678717</v>
      </c>
      <c r="AG41" s="130">
        <f t="shared" si="10"/>
        <v>0.22242379945530644</v>
      </c>
      <c r="AH41" s="130">
        <f t="shared" si="10"/>
        <v>0.25829925473810178</v>
      </c>
    </row>
    <row r="42" spans="1:34" x14ac:dyDescent="0.3">
      <c r="C42" s="122" t="str">
        <f t="shared" si="2"/>
        <v>AGRLPG</v>
      </c>
      <c r="D42" s="122" t="s">
        <v>63</v>
      </c>
      <c r="E42" s="122" t="s">
        <v>71</v>
      </c>
      <c r="F42" s="122">
        <v>2050</v>
      </c>
      <c r="G42" s="130">
        <f t="shared" ref="G42:V42" si="11">G28*1.2</f>
        <v>1.536491677336748E-4</v>
      </c>
      <c r="H42" s="130">
        <f t="shared" si="11"/>
        <v>4.6246880399308882E-2</v>
      </c>
      <c r="I42" s="130">
        <f t="shared" si="11"/>
        <v>0</v>
      </c>
      <c r="J42" s="130">
        <f t="shared" si="11"/>
        <v>1.9148266088112819E-3</v>
      </c>
      <c r="K42" s="130">
        <f t="shared" si="11"/>
        <v>2.0277497104270892E-2</v>
      </c>
      <c r="L42" s="130">
        <f t="shared" si="11"/>
        <v>1.3029334673799861E-2</v>
      </c>
      <c r="M42" s="130">
        <f t="shared" si="11"/>
        <v>4.0562564133518446E-4</v>
      </c>
      <c r="N42" s="130">
        <f t="shared" si="11"/>
        <v>0</v>
      </c>
      <c r="O42" s="130">
        <f t="shared" si="11"/>
        <v>1.6988171490018233E-3</v>
      </c>
      <c r="P42" s="130">
        <f t="shared" si="11"/>
        <v>3.9410083953767744E-2</v>
      </c>
      <c r="Q42" s="130">
        <f t="shared" si="11"/>
        <v>0.1437660014730123</v>
      </c>
      <c r="R42" s="130">
        <f t="shared" si="11"/>
        <v>2.3385297061290851E-3</v>
      </c>
      <c r="S42" s="130">
        <f t="shared" si="11"/>
        <v>6.236432594409363E-3</v>
      </c>
      <c r="T42" s="130">
        <f t="shared" si="11"/>
        <v>4.966500706865818E-2</v>
      </c>
      <c r="U42" s="130">
        <f t="shared" si="11"/>
        <v>2.1948246069690768E-2</v>
      </c>
      <c r="V42" s="130">
        <f t="shared" si="11"/>
        <v>4.609909380389219E-2</v>
      </c>
      <c r="W42" s="130">
        <f t="shared" ref="W42:AH42" si="12">W28*1.2</f>
        <v>2.6241707066164827E-2</v>
      </c>
      <c r="X42" s="130">
        <f t="shared" si="12"/>
        <v>1.7080229634198419E-4</v>
      </c>
      <c r="Y42" s="130">
        <f t="shared" si="12"/>
        <v>1.6758490293982899E-3</v>
      </c>
      <c r="Z42" s="130">
        <f t="shared" si="12"/>
        <v>5.7103413654618462E-4</v>
      </c>
      <c r="AA42" s="130">
        <f t="shared" si="12"/>
        <v>2.4407767674907835E-2</v>
      </c>
      <c r="AB42" s="130">
        <f t="shared" si="12"/>
        <v>6.5066815923878814E-4</v>
      </c>
      <c r="AC42" s="130">
        <f t="shared" si="12"/>
        <v>9.4731002045328454E-3</v>
      </c>
      <c r="AD42" s="130">
        <f t="shared" si="12"/>
        <v>2.2822098338847963E-2</v>
      </c>
      <c r="AE42" s="130">
        <f t="shared" si="12"/>
        <v>0</v>
      </c>
      <c r="AF42" s="130">
        <f t="shared" si="12"/>
        <v>7.5366541726818803E-3</v>
      </c>
      <c r="AG42" s="130">
        <f t="shared" si="12"/>
        <v>2.3702002140489182E-3</v>
      </c>
      <c r="AH42" s="130">
        <f t="shared" si="12"/>
        <v>4.6385296286369192E-2</v>
      </c>
    </row>
    <row r="43" spans="1:34" x14ac:dyDescent="0.3">
      <c r="C43" s="122" t="str">
        <f t="shared" si="2"/>
        <v>AGRGAS</v>
      </c>
      <c r="D43" s="122" t="s">
        <v>63</v>
      </c>
      <c r="E43" s="122" t="s">
        <v>71</v>
      </c>
      <c r="F43" s="122">
        <v>2050</v>
      </c>
      <c r="G43" s="130">
        <f>G29*1.2</f>
        <v>0</v>
      </c>
      <c r="H43" s="130">
        <f t="shared" ref="H43:AH43" si="13">H29*1.2</f>
        <v>2.103776430902558E-2</v>
      </c>
      <c r="I43" s="130">
        <f t="shared" si="13"/>
        <v>0</v>
      </c>
      <c r="J43" s="130">
        <f t="shared" si="13"/>
        <v>0</v>
      </c>
      <c r="K43" s="130">
        <f t="shared" si="13"/>
        <v>2.3924883554723119E-2</v>
      </c>
      <c r="L43" s="130">
        <f t="shared" si="13"/>
        <v>8.3113712254497124E-2</v>
      </c>
      <c r="M43" s="130">
        <f t="shared" si="13"/>
        <v>0</v>
      </c>
      <c r="N43" s="130">
        <f t="shared" si="13"/>
        <v>1.2149429554781805E-2</v>
      </c>
      <c r="O43" s="130">
        <f t="shared" si="13"/>
        <v>0</v>
      </c>
      <c r="P43" s="130">
        <f t="shared" si="13"/>
        <v>0.16205045370326382</v>
      </c>
      <c r="Q43" s="130">
        <f t="shared" si="13"/>
        <v>4.3306561919124603E-2</v>
      </c>
      <c r="R43" s="130">
        <f t="shared" si="13"/>
        <v>2.7297961721961129E-3</v>
      </c>
      <c r="S43" s="130">
        <f t="shared" si="13"/>
        <v>5.3517017667914418E-2</v>
      </c>
      <c r="T43" s="130">
        <f t="shared" si="13"/>
        <v>4.8325035343290919E-2</v>
      </c>
      <c r="U43" s="130">
        <f t="shared" si="13"/>
        <v>7.4579936606205807E-2</v>
      </c>
      <c r="V43" s="130">
        <f t="shared" si="13"/>
        <v>5.7841535172422708E-2</v>
      </c>
      <c r="W43" s="130">
        <f t="shared" si="13"/>
        <v>0.28376771777228849</v>
      </c>
      <c r="X43" s="130">
        <f t="shared" si="13"/>
        <v>0</v>
      </c>
      <c r="Y43" s="130">
        <f t="shared" si="13"/>
        <v>1.0071838712903293E-2</v>
      </c>
      <c r="Z43" s="130">
        <f t="shared" si="13"/>
        <v>3.8905622489959833E-4</v>
      </c>
      <c r="AA43" s="130">
        <f t="shared" si="13"/>
        <v>1.6641659778346251E-3</v>
      </c>
      <c r="AB43" s="130">
        <f t="shared" si="13"/>
        <v>3.6175050724130693E-2</v>
      </c>
      <c r="AC43" s="130">
        <f t="shared" si="13"/>
        <v>0.26615436847378748</v>
      </c>
      <c r="AD43" s="130">
        <f t="shared" si="13"/>
        <v>0</v>
      </c>
      <c r="AE43" s="130">
        <f t="shared" si="13"/>
        <v>0</v>
      </c>
      <c r="AF43" s="130">
        <f t="shared" si="13"/>
        <v>0.16419480020661428</v>
      </c>
      <c r="AG43" s="130">
        <f t="shared" si="13"/>
        <v>1.7854812185126214E-3</v>
      </c>
      <c r="AH43" s="130">
        <f t="shared" si="13"/>
        <v>8.2965299333701822E-2</v>
      </c>
    </row>
    <row r="44" spans="1:34" x14ac:dyDescent="0.3">
      <c r="C44" s="122" t="str">
        <f t="shared" si="2"/>
        <v>AGROIL</v>
      </c>
      <c r="D44" s="122" t="s">
        <v>63</v>
      </c>
      <c r="E44" s="122" t="s">
        <v>71</v>
      </c>
      <c r="F44" s="122">
        <v>2050</v>
      </c>
      <c r="G44" s="130">
        <f>MAX(0,G30)</f>
        <v>0.23516005121638917</v>
      </c>
      <c r="H44" s="130">
        <f t="shared" ref="H44:AH44" si="14">MAX(0,H30)</f>
        <v>0.58174039437237757</v>
      </c>
      <c r="I44" s="130">
        <f t="shared" si="14"/>
        <v>0.54094427594948169</v>
      </c>
      <c r="J44" s="130">
        <f t="shared" si="14"/>
        <v>0.54194632046750879</v>
      </c>
      <c r="K44" s="130">
        <f t="shared" si="14"/>
        <v>0.80320542836253705</v>
      </c>
      <c r="L44" s="130">
        <f t="shared" si="14"/>
        <v>0.20588129690136814</v>
      </c>
      <c r="M44" s="130">
        <f t="shared" si="14"/>
        <v>0.94402527112130541</v>
      </c>
      <c r="N44" s="130">
        <f t="shared" si="14"/>
        <v>0.55236355973870899</v>
      </c>
      <c r="O44" s="130">
        <f t="shared" si="14"/>
        <v>0.51558464631352563</v>
      </c>
      <c r="P44" s="130">
        <f t="shared" si="14"/>
        <v>0.70054227211336806</v>
      </c>
      <c r="Q44" s="130">
        <f t="shared" si="14"/>
        <v>0.53031950338442124</v>
      </c>
      <c r="R44" s="130">
        <f t="shared" si="14"/>
        <v>0.40445605431953213</v>
      </c>
      <c r="S44" s="130">
        <f t="shared" si="14"/>
        <v>0.47425963378512681</v>
      </c>
      <c r="T44" s="130">
        <f t="shared" si="14"/>
        <v>0.55390620197922424</v>
      </c>
      <c r="U44" s="130">
        <f t="shared" si="14"/>
        <v>0.60873237147208581</v>
      </c>
      <c r="V44" s="130">
        <f t="shared" si="14"/>
        <v>0.67573293373723542</v>
      </c>
      <c r="W44" s="130">
        <f t="shared" si="14"/>
        <v>0.39031561915439295</v>
      </c>
      <c r="X44" s="130">
        <f t="shared" si="14"/>
        <v>0.72750510034634908</v>
      </c>
      <c r="Y44" s="130">
        <f t="shared" si="14"/>
        <v>3.5051896435041696E-2</v>
      </c>
      <c r="Z44" s="130">
        <f t="shared" si="14"/>
        <v>0.93490106258366801</v>
      </c>
      <c r="AA44" s="130">
        <f t="shared" si="14"/>
        <v>0.82342133407505202</v>
      </c>
      <c r="AB44" s="130">
        <f t="shared" si="14"/>
        <v>0.60136955152872029</v>
      </c>
      <c r="AC44" s="130">
        <f t="shared" si="14"/>
        <v>0.30447239634656309</v>
      </c>
      <c r="AD44" s="130">
        <f t="shared" si="14"/>
        <v>0.7145208475426561</v>
      </c>
      <c r="AE44" s="130">
        <f t="shared" si="14"/>
        <v>1</v>
      </c>
      <c r="AF44" s="130">
        <f t="shared" si="14"/>
        <v>0.37253354171357433</v>
      </c>
      <c r="AG44" s="130">
        <f t="shared" si="14"/>
        <v>0.44484759891061287</v>
      </c>
      <c r="AH44" s="130">
        <f t="shared" si="14"/>
        <v>0.51659850947620356</v>
      </c>
    </row>
    <row r="45" spans="1:34" x14ac:dyDescent="0.3">
      <c r="C45" s="122" t="str">
        <f t="shared" si="2"/>
        <v>AGRSOL</v>
      </c>
      <c r="D45" s="122" t="s">
        <v>63</v>
      </c>
      <c r="E45" s="122" t="s">
        <v>71</v>
      </c>
      <c r="F45" s="122">
        <v>2050</v>
      </c>
      <c r="G45" s="130">
        <f>MAX(G31*5,5%)</f>
        <v>0.05</v>
      </c>
      <c r="H45" s="130">
        <f t="shared" ref="H45:AH45" si="15">MAX(H31*5,5%)</f>
        <v>0.05</v>
      </c>
      <c r="I45" s="130">
        <f t="shared" si="15"/>
        <v>0.05</v>
      </c>
      <c r="J45" s="130">
        <f t="shared" si="15"/>
        <v>0.05</v>
      </c>
      <c r="K45" s="130">
        <f t="shared" si="15"/>
        <v>0.05</v>
      </c>
      <c r="L45" s="130">
        <f t="shared" si="15"/>
        <v>0.05</v>
      </c>
      <c r="M45" s="130">
        <f t="shared" si="15"/>
        <v>0.05</v>
      </c>
      <c r="N45" s="130">
        <f t="shared" si="15"/>
        <v>0.05</v>
      </c>
      <c r="O45" s="130">
        <f t="shared" si="15"/>
        <v>0.05</v>
      </c>
      <c r="P45" s="130">
        <f t="shared" si="15"/>
        <v>0.05</v>
      </c>
      <c r="Q45" s="130">
        <f t="shared" si="15"/>
        <v>0.05</v>
      </c>
      <c r="R45" s="130">
        <f t="shared" si="15"/>
        <v>0.05</v>
      </c>
      <c r="S45" s="130">
        <f t="shared" si="15"/>
        <v>0.05</v>
      </c>
      <c r="T45" s="130">
        <f t="shared" si="15"/>
        <v>0.05</v>
      </c>
      <c r="U45" s="130">
        <f t="shared" si="15"/>
        <v>0.05</v>
      </c>
      <c r="V45" s="130">
        <f t="shared" si="15"/>
        <v>0.05</v>
      </c>
      <c r="W45" s="130">
        <f t="shared" si="15"/>
        <v>0.05</v>
      </c>
      <c r="X45" s="130">
        <f t="shared" si="15"/>
        <v>0.05</v>
      </c>
      <c r="Y45" s="130">
        <f t="shared" si="15"/>
        <v>0.05</v>
      </c>
      <c r="Z45" s="130">
        <f t="shared" si="15"/>
        <v>0.05</v>
      </c>
      <c r="AA45" s="130">
        <f t="shared" si="15"/>
        <v>0.05</v>
      </c>
      <c r="AB45" s="130">
        <f t="shared" si="15"/>
        <v>0.05</v>
      </c>
      <c r="AC45" s="130">
        <f t="shared" si="15"/>
        <v>0.05</v>
      </c>
      <c r="AD45" s="130">
        <f t="shared" si="15"/>
        <v>0.05</v>
      </c>
      <c r="AE45" s="130">
        <f t="shared" si="15"/>
        <v>0.05</v>
      </c>
      <c r="AF45" s="130">
        <f t="shared" si="15"/>
        <v>0.05</v>
      </c>
      <c r="AG45" s="130">
        <f t="shared" si="15"/>
        <v>0.05</v>
      </c>
      <c r="AH45" s="130">
        <f t="shared" si="15"/>
        <v>0.05</v>
      </c>
    </row>
    <row r="46" spans="1:34" x14ac:dyDescent="0.3">
      <c r="C46" s="122" t="str">
        <f t="shared" si="2"/>
        <v>AGRBIO</v>
      </c>
      <c r="D46" s="122" t="s">
        <v>63</v>
      </c>
      <c r="E46" s="122" t="s">
        <v>71</v>
      </c>
      <c r="F46" s="122">
        <v>2050</v>
      </c>
      <c r="G46" s="130">
        <f>MAX(G32*1.5,5%)</f>
        <v>1.0490973111395647</v>
      </c>
      <c r="H46" s="130">
        <f t="shared" ref="H46:AH46" si="16">MAX(H32*1.5,5%)</f>
        <v>0.05</v>
      </c>
      <c r="I46" s="130">
        <f t="shared" si="16"/>
        <v>0.5792630483002128</v>
      </c>
      <c r="J46" s="130">
        <f t="shared" si="16"/>
        <v>0.1682086993036358</v>
      </c>
      <c r="K46" s="130">
        <f t="shared" si="16"/>
        <v>0.05</v>
      </c>
      <c r="L46" s="130">
        <f t="shared" si="16"/>
        <v>0.05</v>
      </c>
      <c r="M46" s="130">
        <f t="shared" si="16"/>
        <v>0.05</v>
      </c>
      <c r="N46" s="130">
        <f t="shared" si="16"/>
        <v>0.05</v>
      </c>
      <c r="O46" s="130">
        <f t="shared" si="16"/>
        <v>0.36043199775585577</v>
      </c>
      <c r="P46" s="130">
        <f t="shared" si="16"/>
        <v>0.05</v>
      </c>
      <c r="Q46" s="130">
        <f t="shared" si="16"/>
        <v>0.05</v>
      </c>
      <c r="R46" s="130">
        <f t="shared" si="16"/>
        <v>0.11678235155032858</v>
      </c>
      <c r="S46" s="130">
        <f t="shared" si="16"/>
        <v>0.05</v>
      </c>
      <c r="T46" s="130">
        <f t="shared" si="16"/>
        <v>7.9184338312127373E-2</v>
      </c>
      <c r="U46" s="130">
        <f t="shared" si="16"/>
        <v>0.13587791924181872</v>
      </c>
      <c r="V46" s="130">
        <f t="shared" si="16"/>
        <v>0.05</v>
      </c>
      <c r="W46" s="130">
        <f t="shared" si="16"/>
        <v>0.11395430493356411</v>
      </c>
      <c r="X46" s="130">
        <f t="shared" si="16"/>
        <v>8.2136333444038534E-2</v>
      </c>
      <c r="Y46" s="130">
        <f t="shared" si="16"/>
        <v>0.05</v>
      </c>
      <c r="Z46" s="130">
        <f t="shared" si="16"/>
        <v>0.05</v>
      </c>
      <c r="AA46" s="130">
        <f t="shared" si="16"/>
        <v>9.0853355167023794E-2</v>
      </c>
      <c r="AB46" s="130">
        <f t="shared" si="16"/>
        <v>0.05</v>
      </c>
      <c r="AC46" s="130">
        <f t="shared" si="16"/>
        <v>0.05</v>
      </c>
      <c r="AD46" s="130">
        <f t="shared" si="16"/>
        <v>0.05</v>
      </c>
      <c r="AE46" s="130">
        <f t="shared" si="16"/>
        <v>0.05</v>
      </c>
      <c r="AF46" s="130">
        <f t="shared" si="16"/>
        <v>0.05</v>
      </c>
      <c r="AG46" s="130">
        <f t="shared" si="16"/>
        <v>0.05</v>
      </c>
      <c r="AH46" s="130">
        <f t="shared" si="16"/>
        <v>9.8681861809025648E-2</v>
      </c>
    </row>
    <row r="47" spans="1:34" x14ac:dyDescent="0.3">
      <c r="A47" s="118"/>
      <c r="B47" s="118"/>
      <c r="C47" s="127" t="str">
        <f t="shared" si="2"/>
        <v>AGRWAS</v>
      </c>
      <c r="D47" s="127" t="s">
        <v>63</v>
      </c>
      <c r="E47" s="127" t="s">
        <v>71</v>
      </c>
      <c r="F47" s="127">
        <v>2050</v>
      </c>
      <c r="G47" s="131">
        <f>MAX(G29*1.5,1%)</f>
        <v>0.01</v>
      </c>
      <c r="H47" s="131">
        <f t="shared" ref="H47:AH47" si="17">MAX(H29*1.5,1%)</f>
        <v>2.6297205386281976E-2</v>
      </c>
      <c r="I47" s="131">
        <f t="shared" si="17"/>
        <v>0.01</v>
      </c>
      <c r="J47" s="131">
        <f t="shared" si="17"/>
        <v>0.01</v>
      </c>
      <c r="K47" s="131">
        <f t="shared" si="17"/>
        <v>2.99061044434039E-2</v>
      </c>
      <c r="L47" s="131">
        <f t="shared" si="17"/>
        <v>0.10389214031812141</v>
      </c>
      <c r="M47" s="131">
        <f t="shared" si="17"/>
        <v>0.01</v>
      </c>
      <c r="N47" s="131">
        <f t="shared" si="17"/>
        <v>1.5186786943477255E-2</v>
      </c>
      <c r="O47" s="131">
        <f t="shared" si="17"/>
        <v>0.01</v>
      </c>
      <c r="P47" s="131">
        <f t="shared" si="17"/>
        <v>0.20256306712907979</v>
      </c>
      <c r="Q47" s="131">
        <f t="shared" si="17"/>
        <v>5.4133202398905761E-2</v>
      </c>
      <c r="R47" s="131">
        <f t="shared" si="17"/>
        <v>0.01</v>
      </c>
      <c r="S47" s="131">
        <f t="shared" si="17"/>
        <v>6.689627208489303E-2</v>
      </c>
      <c r="T47" s="131">
        <f t="shared" si="17"/>
        <v>6.0406294179113647E-2</v>
      </c>
      <c r="U47" s="131">
        <f t="shared" si="17"/>
        <v>9.3224920757757263E-2</v>
      </c>
      <c r="V47" s="131">
        <f t="shared" si="17"/>
        <v>7.2301918965528386E-2</v>
      </c>
      <c r="W47" s="131">
        <f t="shared" si="17"/>
        <v>0.35470964721536064</v>
      </c>
      <c r="X47" s="131">
        <f t="shared" si="17"/>
        <v>0.01</v>
      </c>
      <c r="Y47" s="131">
        <f t="shared" si="17"/>
        <v>1.2589798391129118E-2</v>
      </c>
      <c r="Z47" s="131">
        <f t="shared" si="17"/>
        <v>0.01</v>
      </c>
      <c r="AA47" s="131">
        <f t="shared" si="17"/>
        <v>0.01</v>
      </c>
      <c r="AB47" s="131">
        <f t="shared" si="17"/>
        <v>4.5218813405163372E-2</v>
      </c>
      <c r="AC47" s="131">
        <f t="shared" si="17"/>
        <v>0.33269296059223441</v>
      </c>
      <c r="AD47" s="131">
        <f t="shared" si="17"/>
        <v>0.01</v>
      </c>
      <c r="AE47" s="131">
        <f t="shared" si="17"/>
        <v>0.01</v>
      </c>
      <c r="AF47" s="131">
        <f t="shared" si="17"/>
        <v>0.20524350025826787</v>
      </c>
      <c r="AG47" s="131">
        <f t="shared" si="17"/>
        <v>0.01</v>
      </c>
      <c r="AH47" s="131">
        <f t="shared" si="17"/>
        <v>0.10370662416712728</v>
      </c>
    </row>
    <row r="48" spans="1:34" x14ac:dyDescent="0.3">
      <c r="C48" s="9" t="str">
        <f>C22</f>
        <v>AGRELC</v>
      </c>
      <c r="D48" s="9" t="str">
        <f>D22</f>
        <v>SHARE-I</v>
      </c>
      <c r="E48" s="9" t="s">
        <v>241</v>
      </c>
      <c r="F48" s="9">
        <f>F22</f>
        <v>2019</v>
      </c>
      <c r="G48" s="119">
        <f>G22*0.99</f>
        <v>6.4660563380281699E-2</v>
      </c>
      <c r="H48" s="119">
        <f t="shared" ref="H48:AH48" si="18">H22*0.99</f>
        <v>0.35856717768697027</v>
      </c>
      <c r="I48" s="119">
        <f t="shared" si="18"/>
        <v>7.2151554931872711E-2</v>
      </c>
      <c r="J48" s="119">
        <f t="shared" si="18"/>
        <v>0.20657073870595236</v>
      </c>
      <c r="K48" s="119">
        <f t="shared" si="18"/>
        <v>0.13816620252852604</v>
      </c>
      <c r="L48" s="119">
        <f t="shared" si="18"/>
        <v>0.61522825033212447</v>
      </c>
      <c r="M48" s="119">
        <f t="shared" si="18"/>
        <v>2.0504738335244764E-2</v>
      </c>
      <c r="N48" s="119">
        <f t="shared" si="18"/>
        <v>0.43294805286025351</v>
      </c>
      <c r="O48" s="119">
        <f t="shared" si="18"/>
        <v>0.20757183599046236</v>
      </c>
      <c r="P48" s="119">
        <f t="shared" si="18"/>
        <v>0.12757060057145572</v>
      </c>
      <c r="Q48" s="119">
        <f t="shared" si="18"/>
        <v>0.29926033738996244</v>
      </c>
      <c r="R48" s="119">
        <f t="shared" si="18"/>
        <v>0.25707722654263604</v>
      </c>
      <c r="S48" s="119">
        <f t="shared" si="18"/>
        <v>0.10643071537004713</v>
      </c>
      <c r="T48" s="119">
        <f t="shared" si="18"/>
        <v>0.27588235294117647</v>
      </c>
      <c r="U48" s="119">
        <f t="shared" si="18"/>
        <v>7.4871039212984075E-2</v>
      </c>
      <c r="V48" s="119">
        <f t="shared" si="18"/>
        <v>0.18114692261485696</v>
      </c>
      <c r="W48" s="119">
        <f t="shared" si="18"/>
        <v>0.18052963896092697</v>
      </c>
      <c r="X48" s="119">
        <f t="shared" si="18"/>
        <v>0.21093923471082224</v>
      </c>
      <c r="Y48" s="119">
        <f t="shared" si="18"/>
        <v>0.94560678014190991</v>
      </c>
      <c r="Z48" s="119">
        <f t="shared" si="18"/>
        <v>6.1113987198795169E-2</v>
      </c>
      <c r="AA48" s="119">
        <f t="shared" si="18"/>
        <v>9.2153543600130047E-2</v>
      </c>
      <c r="AB48" s="119">
        <f t="shared" si="18"/>
        <v>0.25061691037570843</v>
      </c>
      <c r="AC48" s="119">
        <f t="shared" si="18"/>
        <v>0.46117966595728827</v>
      </c>
      <c r="AD48" s="119">
        <f t="shared" si="18"/>
        <v>0.26379612980322081</v>
      </c>
      <c r="AE48" s="119">
        <f t="shared" si="18"/>
        <v>0</v>
      </c>
      <c r="AF48" s="119">
        <f t="shared" si="18"/>
        <v>0.18606277896242532</v>
      </c>
      <c r="AG48" s="119">
        <f t="shared" si="18"/>
        <v>0.52985721370957217</v>
      </c>
      <c r="AH48" s="119">
        <f t="shared" si="18"/>
        <v>0.29809763030961561</v>
      </c>
    </row>
    <row r="49" spans="1:34" x14ac:dyDescent="0.3">
      <c r="A49" s="118"/>
      <c r="B49" s="118"/>
      <c r="C49" s="118" t="str">
        <f>C48</f>
        <v>AGRELC</v>
      </c>
      <c r="D49" s="118" t="str">
        <f t="shared" ref="D49:E49" si="19">D48</f>
        <v>SHARE-I</v>
      </c>
      <c r="E49" s="118" t="str">
        <f t="shared" si="19"/>
        <v>LO</v>
      </c>
      <c r="F49" s="118">
        <v>0</v>
      </c>
      <c r="G49" s="120">
        <v>5</v>
      </c>
      <c r="H49" s="120">
        <v>5</v>
      </c>
      <c r="I49" s="120">
        <v>5</v>
      </c>
      <c r="J49" s="120">
        <v>5</v>
      </c>
      <c r="K49" s="120">
        <v>5</v>
      </c>
      <c r="L49" s="120">
        <v>5</v>
      </c>
      <c r="M49" s="120">
        <v>5</v>
      </c>
      <c r="N49" s="120">
        <v>5</v>
      </c>
      <c r="O49" s="120">
        <v>5</v>
      </c>
      <c r="P49" s="120">
        <v>5</v>
      </c>
      <c r="Q49" s="120">
        <v>5</v>
      </c>
      <c r="R49" s="120">
        <v>5</v>
      </c>
      <c r="S49" s="120">
        <v>5</v>
      </c>
      <c r="T49" s="120">
        <v>5</v>
      </c>
      <c r="U49" s="120">
        <v>5</v>
      </c>
      <c r="V49" s="120">
        <v>5</v>
      </c>
      <c r="W49" s="120">
        <v>5</v>
      </c>
      <c r="X49" s="120">
        <v>5</v>
      </c>
      <c r="Y49" s="120">
        <v>5</v>
      </c>
      <c r="Z49" s="120">
        <v>5</v>
      </c>
      <c r="AA49" s="120">
        <v>5</v>
      </c>
      <c r="AB49" s="120">
        <v>5</v>
      </c>
      <c r="AC49" s="120">
        <v>5</v>
      </c>
      <c r="AD49" s="120">
        <v>5</v>
      </c>
      <c r="AE49" s="120">
        <v>5</v>
      </c>
      <c r="AF49" s="120">
        <v>5</v>
      </c>
      <c r="AG49" s="120">
        <v>5</v>
      </c>
      <c r="AH49" s="120">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Legend</vt:lpstr>
      <vt:lpstr>EB_AGR</vt:lpstr>
      <vt:lpstr>Commodities &amp; Processes</vt:lpstr>
      <vt:lpstr>Fuel Techs</vt:lpstr>
      <vt:lpstr>FuelMix &amp; Demands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E4SMA</dc:creator>
  <cp:lastModifiedBy>E4SMA Server2</cp:lastModifiedBy>
  <dcterms:created xsi:type="dcterms:W3CDTF">2019-01-10T17:18:58Z</dcterms:created>
  <dcterms:modified xsi:type="dcterms:W3CDTF">2025-07-23T09:47:34Z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527767360210418</vt:r8>
  </property>
</Properties>
</file>